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0CA4AF11-0A22-42DD-9AD7-6F8E6437BDFB}" xr6:coauthVersionLast="36" xr6:coauthVersionMax="36" xr10:uidLastSave="{00000000-0000-0000-0000-000000000000}"/>
  <bookViews>
    <workbookView xWindow="0" yWindow="0" windowWidth="7740" windowHeight="3285" activeTab="7" xr2:uid="{37CBBA56-91A8-400C-8519-D84B1C9C5B0B}"/>
  </bookViews>
  <sheets>
    <sheet name="3 variants" sheetId="2" r:id="rId1"/>
    <sheet name="COMT" sheetId="10" r:id="rId2"/>
    <sheet name="GRIK3" sheetId="4" r:id="rId3"/>
    <sheet name="CHRNE" sheetId="9" r:id="rId4"/>
    <sheet name="CLYBL" sheetId="5" r:id="rId5"/>
    <sheet name="MTHFR" sheetId="3" r:id="rId6"/>
    <sheet name="CHRNA3" sheetId="6" r:id="rId7"/>
    <sheet name="CRHR1" sheetId="11" r:id="rId8"/>
    <sheet name="CHRNA5" sheetId="7" r:id="rId9"/>
    <sheet name="CHRNB4" sheetId="8" r:id="rId10"/>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03" i="11" l="1"/>
  <c r="C201" i="11"/>
  <c r="B98" i="11"/>
  <c r="B78" i="11"/>
  <c r="B58" i="11"/>
  <c r="B38" i="11"/>
  <c r="C30" i="11"/>
  <c r="C2425" i="11" l="1"/>
  <c r="C2419" i="11"/>
  <c r="C2289" i="11"/>
  <c r="C2283" i="11"/>
  <c r="C2153" i="11"/>
  <c r="C2147" i="11"/>
  <c r="C2017" i="11"/>
  <c r="C2011" i="11"/>
  <c r="C1881" i="11"/>
  <c r="C1875" i="11"/>
  <c r="C1745" i="11"/>
  <c r="C1739" i="11"/>
  <c r="C1609" i="11"/>
  <c r="C1603" i="11"/>
  <c r="C1473" i="11"/>
  <c r="C1467" i="11"/>
  <c r="C1065" i="11"/>
  <c r="C1059" i="11"/>
  <c r="C929" i="11"/>
  <c r="C923" i="11"/>
  <c r="C238" i="11"/>
  <c r="C236" i="11"/>
  <c r="C234" i="11"/>
  <c r="C232" i="11"/>
  <c r="C230" i="11"/>
  <c r="C228" i="11"/>
  <c r="C225" i="11"/>
  <c r="C224" i="11"/>
  <c r="C220" i="11"/>
  <c r="C216" i="11"/>
  <c r="C214" i="11"/>
  <c r="C213" i="11"/>
  <c r="C212" i="11"/>
  <c r="C204" i="11"/>
  <c r="B201" i="11"/>
  <c r="C208" i="11" s="1"/>
  <c r="C200" i="11"/>
  <c r="C198" i="11"/>
  <c r="C197" i="11"/>
  <c r="C196" i="11"/>
  <c r="C192" i="11"/>
  <c r="C184" i="11"/>
  <c r="B181" i="11"/>
  <c r="C188" i="11" s="1"/>
  <c r="C177" i="11"/>
  <c r="C176" i="11"/>
  <c r="C172" i="11"/>
  <c r="C164" i="11"/>
  <c r="B161" i="11"/>
  <c r="C168" i="11" s="1"/>
  <c r="C157" i="11"/>
  <c r="C156" i="11"/>
  <c r="C152" i="11"/>
  <c r="C144" i="11"/>
  <c r="B141" i="11"/>
  <c r="C148" i="11" s="1"/>
  <c r="C137" i="11"/>
  <c r="C136" i="11"/>
  <c r="C132" i="11"/>
  <c r="C124" i="11"/>
  <c r="B121" i="11"/>
  <c r="C128" i="11" s="1"/>
  <c r="C117" i="11"/>
  <c r="C112" i="11"/>
  <c r="C108" i="11"/>
  <c r="C104" i="11"/>
  <c r="B103" i="11"/>
  <c r="C116" i="11" s="1"/>
  <c r="B101" i="11"/>
  <c r="J99" i="11"/>
  <c r="C97" i="11"/>
  <c r="C92" i="11"/>
  <c r="J86" i="11"/>
  <c r="J106" i="11" s="1"/>
  <c r="J126" i="11" s="1"/>
  <c r="C84" i="11"/>
  <c r="J81" i="11"/>
  <c r="J101" i="11" s="1"/>
  <c r="J121" i="11" s="1"/>
  <c r="B81" i="11"/>
  <c r="C88" i="11" s="1"/>
  <c r="C78" i="11"/>
  <c r="C77" i="11"/>
  <c r="C72" i="11"/>
  <c r="L67" i="11"/>
  <c r="L87" i="11" s="1"/>
  <c r="L107" i="11" s="1"/>
  <c r="L127" i="11" s="1"/>
  <c r="K67" i="11"/>
  <c r="K87" i="11" s="1"/>
  <c r="K107" i="11" s="1"/>
  <c r="K127" i="11" s="1"/>
  <c r="J67" i="11"/>
  <c r="J87" i="11" s="1"/>
  <c r="J107" i="11" s="1"/>
  <c r="J127" i="11" s="1"/>
  <c r="L66" i="11"/>
  <c r="L86" i="11" s="1"/>
  <c r="L106" i="11" s="1"/>
  <c r="L126" i="11" s="1"/>
  <c r="K66" i="11"/>
  <c r="K86" i="11" s="1"/>
  <c r="K106" i="11" s="1"/>
  <c r="K126" i="11" s="1"/>
  <c r="J66" i="11"/>
  <c r="L65" i="11"/>
  <c r="L85" i="11" s="1"/>
  <c r="K65" i="11"/>
  <c r="K85" i="11" s="1"/>
  <c r="K105" i="11" s="1"/>
  <c r="K125" i="11" s="1"/>
  <c r="J65" i="11"/>
  <c r="J85" i="11" s="1"/>
  <c r="J105" i="11" s="1"/>
  <c r="J125" i="11" s="1"/>
  <c r="J64" i="11"/>
  <c r="J84" i="11" s="1"/>
  <c r="J104" i="11" s="1"/>
  <c r="J124" i="11" s="1"/>
  <c r="C64" i="11"/>
  <c r="J63" i="11"/>
  <c r="J83" i="11" s="1"/>
  <c r="J103" i="11" s="1"/>
  <c r="J123" i="11" s="1"/>
  <c r="B63" i="11"/>
  <c r="C76" i="11" s="1"/>
  <c r="J62" i="11"/>
  <c r="J82" i="11" s="1"/>
  <c r="J102" i="11" s="1"/>
  <c r="J122" i="11" s="1"/>
  <c r="L61" i="11"/>
  <c r="L81" i="11" s="1"/>
  <c r="L101" i="11" s="1"/>
  <c r="L121" i="11" s="1"/>
  <c r="J61" i="11"/>
  <c r="B61" i="11"/>
  <c r="C68" i="11" s="1"/>
  <c r="J60" i="11"/>
  <c r="J80" i="11" s="1"/>
  <c r="J100" i="11" s="1"/>
  <c r="J120" i="11" s="1"/>
  <c r="C60" i="11"/>
  <c r="L58" i="11"/>
  <c r="L78" i="11" s="1"/>
  <c r="L98" i="11" s="1"/>
  <c r="L118" i="11" s="1"/>
  <c r="C58" i="11"/>
  <c r="L57" i="11"/>
  <c r="L77" i="11" s="1"/>
  <c r="L97" i="11" s="1"/>
  <c r="L117" i="11" s="1"/>
  <c r="K57" i="11"/>
  <c r="K77" i="11" s="1"/>
  <c r="K97" i="11" s="1"/>
  <c r="K117" i="11" s="1"/>
  <c r="C57" i="11"/>
  <c r="C52" i="11"/>
  <c r="C48" i="11"/>
  <c r="C44" i="11"/>
  <c r="B43" i="11"/>
  <c r="C56" i="11" s="1"/>
  <c r="L41" i="11"/>
  <c r="K41" i="11"/>
  <c r="K61" i="11" s="1"/>
  <c r="K81" i="11" s="1"/>
  <c r="K101" i="11" s="1"/>
  <c r="K121" i="11" s="1"/>
  <c r="B41" i="11"/>
  <c r="L40" i="11"/>
  <c r="L43" i="11" s="1"/>
  <c r="K40" i="11"/>
  <c r="K60" i="11" s="1"/>
  <c r="C40" i="11"/>
  <c r="L39" i="11"/>
  <c r="K39" i="11"/>
  <c r="L38" i="11"/>
  <c r="K38" i="11"/>
  <c r="K58" i="11" s="1"/>
  <c r="K78" i="11" s="1"/>
  <c r="K98" i="11" s="1"/>
  <c r="K118" i="11" s="1"/>
  <c r="C32" i="11"/>
  <c r="C28" i="11"/>
  <c r="C26" i="11"/>
  <c r="C24" i="11"/>
  <c r="C22" i="11"/>
  <c r="C20" i="11"/>
  <c r="C18" i="11"/>
  <c r="C16" i="11"/>
  <c r="C14" i="11"/>
  <c r="C12" i="11"/>
  <c r="C8" i="11"/>
  <c r="C6" i="11"/>
  <c r="C4" i="11"/>
  <c r="C2" i="11"/>
  <c r="Q95" i="10"/>
  <c r="Q92" i="10"/>
  <c r="Q51" i="10"/>
  <c r="Q48" i="10"/>
  <c r="R50" i="10" s="1"/>
  <c r="Q73" i="10"/>
  <c r="Q70" i="10"/>
  <c r="R72" i="10" s="1"/>
  <c r="R91" i="10"/>
  <c r="R90" i="10"/>
  <c r="R86" i="10"/>
  <c r="R78" i="10"/>
  <c r="R77" i="10"/>
  <c r="Q75" i="10"/>
  <c r="R82" i="10"/>
  <c r="R69" i="10"/>
  <c r="R64" i="10"/>
  <c r="R60" i="10"/>
  <c r="R56" i="10"/>
  <c r="R55" i="10"/>
  <c r="Q53" i="10"/>
  <c r="R68" i="10" s="1"/>
  <c r="R48" i="10"/>
  <c r="Z48" i="10"/>
  <c r="AA48" i="10"/>
  <c r="Z49" i="10"/>
  <c r="AA49" i="10"/>
  <c r="Q114" i="10"/>
  <c r="R116" i="10" s="1"/>
  <c r="B180" i="10"/>
  <c r="C180" i="10" s="1"/>
  <c r="AB201" i="10"/>
  <c r="AA201" i="10"/>
  <c r="Z201" i="10"/>
  <c r="C201" i="10"/>
  <c r="C196" i="10"/>
  <c r="C192" i="10"/>
  <c r="AB189" i="10"/>
  <c r="AA189" i="10"/>
  <c r="Z189" i="10"/>
  <c r="Y189" i="10"/>
  <c r="AB188" i="10"/>
  <c r="AA188" i="10"/>
  <c r="Z188" i="10"/>
  <c r="Y188" i="10"/>
  <c r="M188" i="10"/>
  <c r="C188" i="10"/>
  <c r="AB187" i="10"/>
  <c r="AA187" i="10"/>
  <c r="Z187" i="10"/>
  <c r="Y187" i="10"/>
  <c r="K187" i="10"/>
  <c r="AB186" i="10"/>
  <c r="Z186" i="10"/>
  <c r="Y186" i="10"/>
  <c r="AB185" i="10"/>
  <c r="Y185" i="10"/>
  <c r="AB184" i="10"/>
  <c r="Y184" i="10"/>
  <c r="AB183" i="10"/>
  <c r="Z183" i="10"/>
  <c r="Y183" i="10"/>
  <c r="B183" i="10"/>
  <c r="AB182" i="10"/>
  <c r="Y182" i="10"/>
  <c r="J182" i="10"/>
  <c r="C182" i="10"/>
  <c r="AB181" i="10"/>
  <c r="AA181" i="10"/>
  <c r="Z181" i="10"/>
  <c r="AB180" i="10"/>
  <c r="AA180" i="10"/>
  <c r="Z180" i="10"/>
  <c r="L180" i="10"/>
  <c r="K180" i="10"/>
  <c r="B158" i="10"/>
  <c r="C160" i="10" s="1"/>
  <c r="B139" i="10"/>
  <c r="B117" i="10"/>
  <c r="B136" i="10"/>
  <c r="B114" i="10"/>
  <c r="AB157" i="10"/>
  <c r="AA157" i="10"/>
  <c r="Z157" i="10"/>
  <c r="R157" i="10"/>
  <c r="L157" i="10"/>
  <c r="L201" i="10" s="1"/>
  <c r="K157" i="10"/>
  <c r="K201" i="10" s="1"/>
  <c r="C157" i="10"/>
  <c r="R152" i="10"/>
  <c r="C152" i="10"/>
  <c r="AB145" i="10"/>
  <c r="AA145" i="10"/>
  <c r="Z145" i="10"/>
  <c r="Y145" i="10"/>
  <c r="M145" i="10"/>
  <c r="M189" i="10" s="1"/>
  <c r="AB144" i="10"/>
  <c r="AA144" i="10"/>
  <c r="Z144" i="10"/>
  <c r="Y144" i="10"/>
  <c r="R144" i="10"/>
  <c r="M144" i="10"/>
  <c r="J144" i="10"/>
  <c r="J188" i="10" s="1"/>
  <c r="C144" i="10"/>
  <c r="AB143" i="10"/>
  <c r="AA143" i="10"/>
  <c r="Z143" i="10"/>
  <c r="Y143" i="10"/>
  <c r="K143" i="10"/>
  <c r="AB142" i="10"/>
  <c r="Z142" i="10"/>
  <c r="R143" i="10" s="1"/>
  <c r="Y142" i="10"/>
  <c r="AB141" i="10"/>
  <c r="Y141" i="10"/>
  <c r="R141" i="10"/>
  <c r="Q141" i="10"/>
  <c r="R156" i="10" s="1"/>
  <c r="AB140" i="10"/>
  <c r="Y140" i="10"/>
  <c r="AB139" i="10"/>
  <c r="Z139" i="10"/>
  <c r="Y139" i="10"/>
  <c r="C148" i="10"/>
  <c r="AB138" i="10"/>
  <c r="Y138" i="10"/>
  <c r="J138" i="10"/>
  <c r="C138" i="10"/>
  <c r="AB137" i="10"/>
  <c r="AA137" i="10"/>
  <c r="Z137" i="10"/>
  <c r="AB136" i="10"/>
  <c r="AA136" i="10"/>
  <c r="Z136" i="10"/>
  <c r="Q136" i="10"/>
  <c r="R136" i="10" s="1"/>
  <c r="L136" i="10"/>
  <c r="K136" i="10"/>
  <c r="C136" i="10"/>
  <c r="B51" i="10"/>
  <c r="C60" i="10" s="1"/>
  <c r="B48" i="10"/>
  <c r="C50" i="10" s="1"/>
  <c r="C64" i="10"/>
  <c r="C56" i="10"/>
  <c r="B53" i="10"/>
  <c r="C68" i="10" s="1"/>
  <c r="M51" i="10"/>
  <c r="L51" i="10"/>
  <c r="K51" i="10"/>
  <c r="M50" i="10"/>
  <c r="L50" i="10"/>
  <c r="K50" i="10"/>
  <c r="M49" i="10"/>
  <c r="L49" i="10"/>
  <c r="L53" i="10" s="1"/>
  <c r="K49" i="10"/>
  <c r="M48" i="10"/>
  <c r="L48" i="10"/>
  <c r="K48" i="10"/>
  <c r="AA51" i="10"/>
  <c r="Z51" i="10"/>
  <c r="AA50" i="10"/>
  <c r="Z50" i="10"/>
  <c r="AA54" i="10"/>
  <c r="Z54" i="10"/>
  <c r="C69" i="10"/>
  <c r="B70" i="10"/>
  <c r="J69" i="10"/>
  <c r="K69" i="10"/>
  <c r="L69" i="10"/>
  <c r="M69" i="10"/>
  <c r="AB69" i="10"/>
  <c r="AA69" i="10"/>
  <c r="Z69" i="10"/>
  <c r="B92" i="10"/>
  <c r="C70" i="10"/>
  <c r="Q21" i="10"/>
  <c r="R22" i="10" s="1"/>
  <c r="B39" i="10"/>
  <c r="B29" i="10"/>
  <c r="C31" i="10"/>
  <c r="C22" i="10"/>
  <c r="C16" i="10"/>
  <c r="R398" i="10"/>
  <c r="R396" i="10"/>
  <c r="R394" i="10"/>
  <c r="R392" i="10"/>
  <c r="R390" i="10"/>
  <c r="R388" i="10"/>
  <c r="R385" i="10"/>
  <c r="R384" i="10"/>
  <c r="R380" i="10"/>
  <c r="R376" i="10"/>
  <c r="R374" i="10"/>
  <c r="R373" i="10"/>
  <c r="R372" i="10"/>
  <c r="R364" i="10"/>
  <c r="Q359" i="10"/>
  <c r="R368" i="10" s="1"/>
  <c r="R358" i="10"/>
  <c r="R356" i="10"/>
  <c r="R311" i="10"/>
  <c r="R310" i="10"/>
  <c r="R306" i="10"/>
  <c r="R298" i="10"/>
  <c r="Q293" i="10"/>
  <c r="R302" i="10" s="1"/>
  <c r="R267" i="10"/>
  <c r="R266" i="10"/>
  <c r="R262" i="10"/>
  <c r="R254" i="10"/>
  <c r="Q249" i="10"/>
  <c r="R258" i="10" s="1"/>
  <c r="R135" i="10"/>
  <c r="R130" i="10"/>
  <c r="R122" i="10"/>
  <c r="Y120" i="10"/>
  <c r="Y164" i="10" s="1"/>
  <c r="Y208" i="10" s="1"/>
  <c r="Y119" i="10"/>
  <c r="Y163" i="10" s="1"/>
  <c r="Y207" i="10" s="1"/>
  <c r="Q119" i="10"/>
  <c r="R134" i="10" s="1"/>
  <c r="Q117" i="10"/>
  <c r="R126" i="10" s="1"/>
  <c r="R113" i="10"/>
  <c r="R108" i="10"/>
  <c r="AB101" i="10"/>
  <c r="AB123" i="10" s="1"/>
  <c r="AB167" i="10" s="1"/>
  <c r="AB211" i="10" s="1"/>
  <c r="AB233" i="10" s="1"/>
  <c r="AB255" i="10" s="1"/>
  <c r="AB277" i="10" s="1"/>
  <c r="AB299" i="10" s="1"/>
  <c r="AB321" i="10" s="1"/>
  <c r="AB343" i="10" s="1"/>
  <c r="AA101" i="10"/>
  <c r="AA123" i="10" s="1"/>
  <c r="AA167" i="10" s="1"/>
  <c r="AA211" i="10" s="1"/>
  <c r="Z101" i="10"/>
  <c r="Z123" i="10" s="1"/>
  <c r="Z167" i="10" s="1"/>
  <c r="Z211" i="10" s="1"/>
  <c r="Y101" i="10"/>
  <c r="Y123" i="10" s="1"/>
  <c r="Y167" i="10" s="1"/>
  <c r="Y211" i="10" s="1"/>
  <c r="AB100" i="10"/>
  <c r="AB122" i="10" s="1"/>
  <c r="AB166" i="10" s="1"/>
  <c r="AB210" i="10" s="1"/>
  <c r="AA100" i="10"/>
  <c r="AA122" i="10" s="1"/>
  <c r="AA166" i="10" s="1"/>
  <c r="AA210" i="10" s="1"/>
  <c r="Z100" i="10"/>
  <c r="Z122" i="10" s="1"/>
  <c r="Z166" i="10" s="1"/>
  <c r="Z210" i="10" s="1"/>
  <c r="Y100" i="10"/>
  <c r="Y122" i="10" s="1"/>
  <c r="Y166" i="10" s="1"/>
  <c r="Y210" i="10" s="1"/>
  <c r="Y364" i="10" s="1"/>
  <c r="R100" i="10"/>
  <c r="AB99" i="10"/>
  <c r="AB121" i="10" s="1"/>
  <c r="AB165" i="10" s="1"/>
  <c r="AB209" i="10" s="1"/>
  <c r="AA99" i="10"/>
  <c r="AA121" i="10" s="1"/>
  <c r="AA165" i="10" s="1"/>
  <c r="AA209" i="10" s="1"/>
  <c r="Z99" i="10"/>
  <c r="Z121" i="10" s="1"/>
  <c r="Z165" i="10" s="1"/>
  <c r="Z209" i="10" s="1"/>
  <c r="Y99" i="10"/>
  <c r="Y121" i="10" s="1"/>
  <c r="Y165" i="10" s="1"/>
  <c r="Y209" i="10" s="1"/>
  <c r="Y98" i="10"/>
  <c r="Y97" i="10"/>
  <c r="Q97" i="10"/>
  <c r="R112" i="10" s="1"/>
  <c r="Y96" i="10"/>
  <c r="Y118" i="10" s="1"/>
  <c r="Y162" i="10" s="1"/>
  <c r="Y206" i="10" s="1"/>
  <c r="Y95" i="10"/>
  <c r="Y117" i="10" s="1"/>
  <c r="Y161" i="10" s="1"/>
  <c r="Y205" i="10" s="1"/>
  <c r="R104" i="10"/>
  <c r="Y94" i="10"/>
  <c r="Y116" i="10" s="1"/>
  <c r="Y160" i="10" s="1"/>
  <c r="Y204" i="10" s="1"/>
  <c r="R94" i="10"/>
  <c r="AB91" i="10"/>
  <c r="AB113" i="10" s="1"/>
  <c r="AB135" i="10" s="1"/>
  <c r="AB179" i="10" s="1"/>
  <c r="AA91" i="10"/>
  <c r="AA113" i="10" s="1"/>
  <c r="AA135" i="10" s="1"/>
  <c r="AA179" i="10" s="1"/>
  <c r="Z91" i="10"/>
  <c r="Z113" i="10" s="1"/>
  <c r="Z135" i="10" s="1"/>
  <c r="Z179" i="10" s="1"/>
  <c r="AB73" i="10"/>
  <c r="AB95" i="10" s="1"/>
  <c r="AB117" i="10" s="1"/>
  <c r="AB161" i="10" s="1"/>
  <c r="AB205" i="10" s="1"/>
  <c r="AA73" i="10"/>
  <c r="AA95" i="10" s="1"/>
  <c r="AA117" i="10" s="1"/>
  <c r="AA161" i="10" s="1"/>
  <c r="AA205" i="10" s="1"/>
  <c r="Z73" i="10"/>
  <c r="Z95" i="10" s="1"/>
  <c r="Z117" i="10" s="1"/>
  <c r="Z161" i="10" s="1"/>
  <c r="Z205" i="10" s="1"/>
  <c r="AB72" i="10"/>
  <c r="AB94" i="10" s="1"/>
  <c r="AB116" i="10" s="1"/>
  <c r="AB160" i="10" s="1"/>
  <c r="AB204" i="10" s="1"/>
  <c r="AA72" i="10"/>
  <c r="AA94" i="10" s="1"/>
  <c r="AA116" i="10" s="1"/>
  <c r="AA160" i="10" s="1"/>
  <c r="AA204" i="10" s="1"/>
  <c r="Z72" i="10"/>
  <c r="Z94" i="10" s="1"/>
  <c r="AB71" i="10"/>
  <c r="AB93" i="10" s="1"/>
  <c r="AB115" i="10" s="1"/>
  <c r="AB159" i="10" s="1"/>
  <c r="AB203" i="10" s="1"/>
  <c r="AA71" i="10"/>
  <c r="Z71" i="10"/>
  <c r="Z93" i="10" s="1"/>
  <c r="Z115" i="10" s="1"/>
  <c r="Z159" i="10" s="1"/>
  <c r="Z203" i="10" s="1"/>
  <c r="AB70" i="10"/>
  <c r="AB92" i="10" s="1"/>
  <c r="AB114" i="10" s="1"/>
  <c r="AB158" i="10" s="1"/>
  <c r="AB202" i="10" s="1"/>
  <c r="AA70" i="10"/>
  <c r="AA92" i="10" s="1"/>
  <c r="AA114" i="10" s="1"/>
  <c r="AA158" i="10" s="1"/>
  <c r="AA202" i="10" s="1"/>
  <c r="Z70" i="10"/>
  <c r="Z92" i="10" s="1"/>
  <c r="Z114" i="10" s="1"/>
  <c r="Z158" i="10" s="1"/>
  <c r="Z202" i="10" s="1"/>
  <c r="R33" i="10"/>
  <c r="R31" i="10"/>
  <c r="R29" i="10"/>
  <c r="R27" i="10"/>
  <c r="R24" i="10"/>
  <c r="R20" i="10"/>
  <c r="R18" i="10"/>
  <c r="C2585" i="10"/>
  <c r="C2579" i="10"/>
  <c r="C2449" i="10"/>
  <c r="C2443" i="10"/>
  <c r="C2313" i="10"/>
  <c r="C2307" i="10"/>
  <c r="C2177" i="10"/>
  <c r="C2171" i="10"/>
  <c r="C2041" i="10"/>
  <c r="C2035" i="10"/>
  <c r="C1905" i="10"/>
  <c r="C1899" i="10"/>
  <c r="C1769" i="10"/>
  <c r="C1763" i="10"/>
  <c r="C1633" i="10"/>
  <c r="C1627" i="10"/>
  <c r="C1225" i="10"/>
  <c r="C1219" i="10"/>
  <c r="C1089" i="10"/>
  <c r="C1083" i="10"/>
  <c r="C398" i="10"/>
  <c r="C396" i="10"/>
  <c r="C394" i="10"/>
  <c r="C392" i="10"/>
  <c r="C390" i="10"/>
  <c r="C388" i="10"/>
  <c r="C385" i="10"/>
  <c r="C384" i="10"/>
  <c r="C380" i="10"/>
  <c r="C376" i="10"/>
  <c r="C374" i="10"/>
  <c r="C373" i="10"/>
  <c r="C372" i="10"/>
  <c r="C364" i="10"/>
  <c r="B359" i="10"/>
  <c r="C368" i="10" s="1"/>
  <c r="C358" i="10"/>
  <c r="C356" i="10"/>
  <c r="C355" i="10"/>
  <c r="C354" i="10"/>
  <c r="C350" i="10"/>
  <c r="C342" i="10"/>
  <c r="B337" i="10"/>
  <c r="C346" i="10" s="1"/>
  <c r="C333" i="10"/>
  <c r="C332" i="10"/>
  <c r="C328" i="10"/>
  <c r="C320" i="10"/>
  <c r="B315" i="10"/>
  <c r="C324" i="10" s="1"/>
  <c r="C311" i="10"/>
  <c r="C310" i="10"/>
  <c r="C306" i="10"/>
  <c r="C298" i="10"/>
  <c r="B293" i="10"/>
  <c r="C302" i="10" s="1"/>
  <c r="C289" i="10"/>
  <c r="C288" i="10"/>
  <c r="C284" i="10"/>
  <c r="C276" i="10"/>
  <c r="B271" i="10"/>
  <c r="C280" i="10" s="1"/>
  <c r="C267" i="10"/>
  <c r="C266" i="10"/>
  <c r="C262" i="10"/>
  <c r="C254" i="10"/>
  <c r="B249" i="10"/>
  <c r="C258" i="10" s="1"/>
  <c r="C245" i="10"/>
  <c r="C244" i="10"/>
  <c r="C240" i="10"/>
  <c r="C232" i="10"/>
  <c r="B227" i="10"/>
  <c r="C236" i="10" s="1"/>
  <c r="C223" i="10"/>
  <c r="C222" i="10"/>
  <c r="C218" i="10"/>
  <c r="C210" i="10"/>
  <c r="B205" i="10"/>
  <c r="C214" i="10" s="1"/>
  <c r="C179" i="10"/>
  <c r="C174" i="10"/>
  <c r="C166" i="10"/>
  <c r="B161" i="10"/>
  <c r="C170" i="10" s="1"/>
  <c r="C135" i="10"/>
  <c r="C130" i="10"/>
  <c r="L123" i="10"/>
  <c r="L167" i="10" s="1"/>
  <c r="L211" i="10" s="1"/>
  <c r="L365" i="10" s="1"/>
  <c r="J123" i="10"/>
  <c r="J167" i="10" s="1"/>
  <c r="J211" i="10" s="1"/>
  <c r="J233" i="10" s="1"/>
  <c r="J255" i="10" s="1"/>
  <c r="J277" i="10" s="1"/>
  <c r="J299" i="10" s="1"/>
  <c r="J321" i="10" s="1"/>
  <c r="J343" i="10" s="1"/>
  <c r="C122" i="10"/>
  <c r="J120" i="10"/>
  <c r="J164" i="10" s="1"/>
  <c r="J208" i="10" s="1"/>
  <c r="B119" i="10"/>
  <c r="C134" i="10" s="1"/>
  <c r="C126" i="10"/>
  <c r="L113" i="10"/>
  <c r="L135" i="10" s="1"/>
  <c r="L179" i="10" s="1"/>
  <c r="K113" i="10"/>
  <c r="K135" i="10" s="1"/>
  <c r="K179" i="10" s="1"/>
  <c r="C113" i="10"/>
  <c r="C108" i="10"/>
  <c r="C104" i="10"/>
  <c r="M101" i="10"/>
  <c r="M123" i="10" s="1"/>
  <c r="M167" i="10" s="1"/>
  <c r="M211" i="10" s="1"/>
  <c r="L101" i="10"/>
  <c r="K101" i="10"/>
  <c r="K123" i="10" s="1"/>
  <c r="J101" i="10"/>
  <c r="M100" i="10"/>
  <c r="M122" i="10" s="1"/>
  <c r="M166" i="10" s="1"/>
  <c r="M210" i="10" s="1"/>
  <c r="M364" i="10" s="1"/>
  <c r="L100" i="10"/>
  <c r="L122" i="10" s="1"/>
  <c r="L166" i="10" s="1"/>
  <c r="L210" i="10" s="1"/>
  <c r="K100" i="10"/>
  <c r="K122" i="10" s="1"/>
  <c r="K166" i="10" s="1"/>
  <c r="K210" i="10" s="1"/>
  <c r="J100" i="10"/>
  <c r="J122" i="10" s="1"/>
  <c r="J166" i="10" s="1"/>
  <c r="J210" i="10" s="1"/>
  <c r="C100" i="10"/>
  <c r="M99" i="10"/>
  <c r="M121" i="10" s="1"/>
  <c r="M165" i="10" s="1"/>
  <c r="L99" i="10"/>
  <c r="L121" i="10" s="1"/>
  <c r="L165" i="10" s="1"/>
  <c r="L209" i="10" s="1"/>
  <c r="K99" i="10"/>
  <c r="K121" i="10" s="1"/>
  <c r="K165" i="10" s="1"/>
  <c r="K209" i="10" s="1"/>
  <c r="J99" i="10"/>
  <c r="J121" i="10" s="1"/>
  <c r="J165" i="10" s="1"/>
  <c r="J209" i="10" s="1"/>
  <c r="J98" i="10"/>
  <c r="J97" i="10"/>
  <c r="J119" i="10" s="1"/>
  <c r="J163" i="10" s="1"/>
  <c r="J207" i="10" s="1"/>
  <c r="J361" i="10" s="1"/>
  <c r="B97" i="10"/>
  <c r="C112" i="10" s="1"/>
  <c r="J96" i="10"/>
  <c r="J118" i="10" s="1"/>
  <c r="J162" i="10" s="1"/>
  <c r="J206" i="10" s="1"/>
  <c r="J95" i="10"/>
  <c r="J117" i="10" s="1"/>
  <c r="B95" i="10"/>
  <c r="L94" i="10"/>
  <c r="L116" i="10" s="1"/>
  <c r="L160" i="10" s="1"/>
  <c r="L204" i="10" s="1"/>
  <c r="J94" i="10"/>
  <c r="J116" i="10" s="1"/>
  <c r="J160" i="10" s="1"/>
  <c r="J204" i="10" s="1"/>
  <c r="M91" i="10"/>
  <c r="M113" i="10" s="1"/>
  <c r="M135" i="10" s="1"/>
  <c r="M179" i="10" s="1"/>
  <c r="L91" i="10"/>
  <c r="K91" i="10"/>
  <c r="C91" i="10"/>
  <c r="C86" i="10"/>
  <c r="C78" i="10"/>
  <c r="B75" i="10"/>
  <c r="C90" i="10" s="1"/>
  <c r="M73" i="10"/>
  <c r="M95" i="10" s="1"/>
  <c r="M117" i="10" s="1"/>
  <c r="M161" i="10" s="1"/>
  <c r="M205" i="10" s="1"/>
  <c r="L73" i="10"/>
  <c r="L95" i="10" s="1"/>
  <c r="L117" i="10" s="1"/>
  <c r="L161" i="10" s="1"/>
  <c r="L205" i="10" s="1"/>
  <c r="L359" i="10" s="1"/>
  <c r="K73" i="10"/>
  <c r="K95" i="10" s="1"/>
  <c r="K117" i="10" s="1"/>
  <c r="K161" i="10" s="1"/>
  <c r="K205" i="10" s="1"/>
  <c r="B73" i="10"/>
  <c r="C82" i="10" s="1"/>
  <c r="M72" i="10"/>
  <c r="M94" i="10" s="1"/>
  <c r="M116" i="10" s="1"/>
  <c r="M160" i="10" s="1"/>
  <c r="M204" i="10" s="1"/>
  <c r="L72" i="10"/>
  <c r="K72" i="10"/>
  <c r="K94" i="10" s="1"/>
  <c r="M71" i="10"/>
  <c r="L71" i="10"/>
  <c r="K71" i="10"/>
  <c r="K93" i="10" s="1"/>
  <c r="K115" i="10" s="1"/>
  <c r="K159" i="10" s="1"/>
  <c r="K203" i="10" s="1"/>
  <c r="M70" i="10"/>
  <c r="M92" i="10" s="1"/>
  <c r="M114" i="10" s="1"/>
  <c r="M158" i="10" s="1"/>
  <c r="M202" i="10" s="1"/>
  <c r="L70" i="10"/>
  <c r="L92" i="10" s="1"/>
  <c r="L114" i="10" s="1"/>
  <c r="L158" i="10" s="1"/>
  <c r="L202" i="10" s="1"/>
  <c r="K70" i="10"/>
  <c r="K92" i="10" s="1"/>
  <c r="K114" i="10" s="1"/>
  <c r="K158" i="10" s="1"/>
  <c r="K202" i="10" s="1"/>
  <c r="C42" i="10"/>
  <c r="C40" i="10"/>
  <c r="C38" i="10"/>
  <c r="C36" i="10"/>
  <c r="C33" i="10"/>
  <c r="C29" i="10"/>
  <c r="C27" i="10"/>
  <c r="C24" i="10"/>
  <c r="C20" i="10"/>
  <c r="C18" i="10"/>
  <c r="C14" i="10"/>
  <c r="C12" i="10"/>
  <c r="C8" i="10"/>
  <c r="C6" i="10"/>
  <c r="C4" i="10"/>
  <c r="C2" i="10"/>
  <c r="C286" i="9"/>
  <c r="C284" i="9"/>
  <c r="C86" i="9"/>
  <c r="C66" i="9"/>
  <c r="C90" i="9"/>
  <c r="C64" i="9"/>
  <c r="K41" i="9"/>
  <c r="B86" i="9"/>
  <c r="B84" i="9"/>
  <c r="B83" i="9"/>
  <c r="C83" i="9"/>
  <c r="C85" i="9"/>
  <c r="C91" i="9"/>
  <c r="C95" i="9"/>
  <c r="C99" i="9"/>
  <c r="C104" i="9"/>
  <c r="B40" i="9"/>
  <c r="B42" i="9"/>
  <c r="B44" i="9"/>
  <c r="B39" i="9"/>
  <c r="C22" i="9"/>
  <c r="B29" i="9"/>
  <c r="C2510" i="9"/>
  <c r="C2504" i="9"/>
  <c r="C2374" i="9"/>
  <c r="C2368" i="9"/>
  <c r="C2238" i="9"/>
  <c r="C2232" i="9"/>
  <c r="C2102" i="9"/>
  <c r="C2096" i="9"/>
  <c r="C1966" i="9"/>
  <c r="C1960" i="9"/>
  <c r="C1830" i="9"/>
  <c r="C1824" i="9"/>
  <c r="C1694" i="9"/>
  <c r="C1688" i="9"/>
  <c r="C1558" i="9"/>
  <c r="C1552" i="9"/>
  <c r="C1150" i="9"/>
  <c r="C1144" i="9"/>
  <c r="C1014" i="9"/>
  <c r="C1008" i="9"/>
  <c r="C323" i="9"/>
  <c r="C321" i="9"/>
  <c r="C319" i="9"/>
  <c r="C317" i="9"/>
  <c r="C315" i="9"/>
  <c r="C313" i="9"/>
  <c r="C310" i="9"/>
  <c r="C309" i="9"/>
  <c r="C305" i="9"/>
  <c r="C301" i="9"/>
  <c r="C299" i="9"/>
  <c r="C298" i="9"/>
  <c r="C297" i="9"/>
  <c r="M289" i="9"/>
  <c r="C289" i="9"/>
  <c r="B284" i="9"/>
  <c r="C293" i="9" s="1"/>
  <c r="C283" i="9"/>
  <c r="C281" i="9"/>
  <c r="C236" i="9"/>
  <c r="C235" i="9"/>
  <c r="C231" i="9"/>
  <c r="C223" i="9"/>
  <c r="B218" i="9"/>
  <c r="C227" i="9" s="1"/>
  <c r="B174" i="9"/>
  <c r="L158" i="9"/>
  <c r="L180" i="9" s="1"/>
  <c r="L202" i="9" s="1"/>
  <c r="L224" i="9" s="1"/>
  <c r="L246" i="9" s="1"/>
  <c r="L268" i="9" s="1"/>
  <c r="M135" i="9"/>
  <c r="M157" i="9" s="1"/>
  <c r="M179" i="9" s="1"/>
  <c r="M201" i="9" s="1"/>
  <c r="M223" i="9" s="1"/>
  <c r="M245" i="9" s="1"/>
  <c r="M267" i="9" s="1"/>
  <c r="M114" i="9"/>
  <c r="M136" i="9" s="1"/>
  <c r="J113" i="9"/>
  <c r="J135" i="9" s="1"/>
  <c r="J109" i="9"/>
  <c r="J131" i="9" s="1"/>
  <c r="J92" i="9"/>
  <c r="J114" i="9" s="1"/>
  <c r="J136" i="9" s="1"/>
  <c r="J91" i="9"/>
  <c r="M90" i="9"/>
  <c r="M112" i="9" s="1"/>
  <c r="M134" i="9" s="1"/>
  <c r="J89" i="9"/>
  <c r="J111" i="9" s="1"/>
  <c r="J133" i="9" s="1"/>
  <c r="B88" i="9"/>
  <c r="C103" i="9" s="1"/>
  <c r="J86" i="9"/>
  <c r="J108" i="9" s="1"/>
  <c r="J130" i="9" s="1"/>
  <c r="M83" i="9"/>
  <c r="M105" i="9" s="1"/>
  <c r="M127" i="9" s="1"/>
  <c r="C82" i="9"/>
  <c r="C77" i="9"/>
  <c r="M70" i="9"/>
  <c r="M92" i="9" s="1"/>
  <c r="L70" i="9"/>
  <c r="L92" i="9" s="1"/>
  <c r="L114" i="9" s="1"/>
  <c r="L136" i="9" s="1"/>
  <c r="L290" i="9" s="1"/>
  <c r="K70" i="9"/>
  <c r="K92" i="9" s="1"/>
  <c r="K114" i="9" s="1"/>
  <c r="K136" i="9" s="1"/>
  <c r="J70" i="9"/>
  <c r="M69" i="9"/>
  <c r="M91" i="9" s="1"/>
  <c r="M113" i="9" s="1"/>
  <c r="L69" i="9"/>
  <c r="L91" i="9" s="1"/>
  <c r="L113" i="9" s="1"/>
  <c r="L135" i="9" s="1"/>
  <c r="K69" i="9"/>
  <c r="K91" i="9" s="1"/>
  <c r="K113" i="9" s="1"/>
  <c r="K135" i="9" s="1"/>
  <c r="J69" i="9"/>
  <c r="C69" i="9"/>
  <c r="M68" i="9"/>
  <c r="L68" i="9"/>
  <c r="L90" i="9" s="1"/>
  <c r="L112" i="9" s="1"/>
  <c r="L134" i="9" s="1"/>
  <c r="L288" i="9" s="1"/>
  <c r="K68" i="9"/>
  <c r="K90" i="9" s="1"/>
  <c r="K112" i="9" s="1"/>
  <c r="K134" i="9" s="1"/>
  <c r="J68" i="9"/>
  <c r="J90" i="9" s="1"/>
  <c r="J112" i="9" s="1"/>
  <c r="J134" i="9" s="1"/>
  <c r="J67" i="9"/>
  <c r="J66" i="9"/>
  <c r="J88" i="9" s="1"/>
  <c r="J110" i="9" s="1"/>
  <c r="J132" i="9" s="1"/>
  <c r="B66" i="9"/>
  <c r="C81" i="9" s="1"/>
  <c r="J65" i="9"/>
  <c r="J87" i="9" s="1"/>
  <c r="M64" i="9"/>
  <c r="M86" i="9" s="1"/>
  <c r="M108" i="9" s="1"/>
  <c r="M130" i="9" s="1"/>
  <c r="J64" i="9"/>
  <c r="B64" i="9"/>
  <c r="C73" i="9" s="1"/>
  <c r="J63" i="9"/>
  <c r="J85" i="9" s="1"/>
  <c r="J107" i="9" s="1"/>
  <c r="J129" i="9" s="1"/>
  <c r="L61" i="9"/>
  <c r="L83" i="9" s="1"/>
  <c r="L105" i="9" s="1"/>
  <c r="L127" i="9" s="1"/>
  <c r="B61" i="9"/>
  <c r="B215" i="9" s="1"/>
  <c r="C215" i="9" s="1"/>
  <c r="M60" i="9"/>
  <c r="M82" i="9" s="1"/>
  <c r="M104" i="9" s="1"/>
  <c r="M126" i="9" s="1"/>
  <c r="L60" i="9"/>
  <c r="L82" i="9" s="1"/>
  <c r="L104" i="9" s="1"/>
  <c r="L126" i="9" s="1"/>
  <c r="K60" i="9"/>
  <c r="K82" i="9" s="1"/>
  <c r="K104" i="9" s="1"/>
  <c r="K126" i="9" s="1"/>
  <c r="M45" i="9"/>
  <c r="M67" i="9" s="1"/>
  <c r="M89" i="9" s="1"/>
  <c r="M111" i="9" s="1"/>
  <c r="M133" i="9" s="1"/>
  <c r="M42" i="9"/>
  <c r="L42" i="9"/>
  <c r="L64" i="9" s="1"/>
  <c r="L86" i="9" s="1"/>
  <c r="L108" i="9" s="1"/>
  <c r="L130" i="9" s="1"/>
  <c r="K42" i="9"/>
  <c r="K64" i="9" s="1"/>
  <c r="K86" i="9" s="1"/>
  <c r="K108" i="9" s="1"/>
  <c r="K130" i="9" s="1"/>
  <c r="M41" i="9"/>
  <c r="M63" i="9" s="1"/>
  <c r="M85" i="9" s="1"/>
  <c r="M107" i="9" s="1"/>
  <c r="M129" i="9" s="1"/>
  <c r="L41" i="9"/>
  <c r="L63" i="9" s="1"/>
  <c r="L85" i="9" s="1"/>
  <c r="L107" i="9" s="1"/>
  <c r="L129" i="9" s="1"/>
  <c r="L283" i="9" s="1"/>
  <c r="K63" i="9"/>
  <c r="M40" i="9"/>
  <c r="L40" i="9"/>
  <c r="L62" i="9" s="1"/>
  <c r="L84" i="9" s="1"/>
  <c r="L106" i="9" s="1"/>
  <c r="L128" i="9" s="1"/>
  <c r="K40" i="9"/>
  <c r="M39" i="9"/>
  <c r="M61" i="9" s="1"/>
  <c r="L39" i="9"/>
  <c r="K39" i="9"/>
  <c r="K61" i="9" s="1"/>
  <c r="K83" i="9" s="1"/>
  <c r="K105" i="9" s="1"/>
  <c r="K127" i="9" s="1"/>
  <c r="C33" i="9"/>
  <c r="C29" i="9"/>
  <c r="C31" i="9"/>
  <c r="C27" i="9"/>
  <c r="C24" i="9"/>
  <c r="C20" i="9"/>
  <c r="C18" i="9"/>
  <c r="C16" i="9"/>
  <c r="C14" i="9"/>
  <c r="C12" i="9"/>
  <c r="C8" i="9"/>
  <c r="C6" i="9"/>
  <c r="C4" i="9"/>
  <c r="C2" i="9"/>
  <c r="C317" i="8"/>
  <c r="C319" i="8"/>
  <c r="C297" i="8"/>
  <c r="C295" i="8"/>
  <c r="C275" i="8"/>
  <c r="C273" i="8"/>
  <c r="C253" i="8"/>
  <c r="C251" i="8"/>
  <c r="C231" i="8"/>
  <c r="C229" i="8"/>
  <c r="C209" i="8"/>
  <c r="C207" i="8"/>
  <c r="C205" i="8"/>
  <c r="B312" i="8"/>
  <c r="C314" i="8" s="1"/>
  <c r="B268" i="8"/>
  <c r="C268" i="8" s="1"/>
  <c r="B224" i="8"/>
  <c r="B202" i="8"/>
  <c r="B180" i="8"/>
  <c r="C143" i="8"/>
  <c r="C141" i="8"/>
  <c r="C182" i="8"/>
  <c r="C180" i="8"/>
  <c r="B181" i="8"/>
  <c r="B183" i="8"/>
  <c r="C183" i="8"/>
  <c r="C185" i="8"/>
  <c r="C187" i="8"/>
  <c r="C188" i="8"/>
  <c r="C192" i="8"/>
  <c r="C196" i="8"/>
  <c r="C200" i="8"/>
  <c r="C201" i="8"/>
  <c r="C204" i="8"/>
  <c r="C202" i="8"/>
  <c r="B203" i="8"/>
  <c r="B205" i="8"/>
  <c r="C210" i="8"/>
  <c r="C214" i="8"/>
  <c r="C218" i="8"/>
  <c r="C222" i="8"/>
  <c r="C223" i="8"/>
  <c r="C226" i="8"/>
  <c r="C224" i="8"/>
  <c r="B225" i="8"/>
  <c r="B227" i="8"/>
  <c r="C227" i="8"/>
  <c r="C232" i="8"/>
  <c r="C236" i="8"/>
  <c r="C240" i="8"/>
  <c r="C244" i="8"/>
  <c r="C245" i="8"/>
  <c r="B269" i="8"/>
  <c r="C270" i="8"/>
  <c r="B271" i="8"/>
  <c r="C271" i="8"/>
  <c r="C276" i="8"/>
  <c r="C280" i="8"/>
  <c r="C284" i="8"/>
  <c r="C288" i="8"/>
  <c r="C289" i="8"/>
  <c r="B313" i="8"/>
  <c r="B315" i="8"/>
  <c r="C315" i="8"/>
  <c r="C320" i="8"/>
  <c r="C324" i="8"/>
  <c r="C328" i="8"/>
  <c r="C332" i="8"/>
  <c r="C333" i="8"/>
  <c r="C121" i="8"/>
  <c r="C119" i="8"/>
  <c r="C77" i="8"/>
  <c r="C75" i="8"/>
  <c r="C55" i="8"/>
  <c r="C53" i="8"/>
  <c r="L92" i="8"/>
  <c r="L114" i="8" s="1"/>
  <c r="K94" i="8"/>
  <c r="K116" i="8" s="1"/>
  <c r="L95" i="8"/>
  <c r="J98" i="8"/>
  <c r="J120" i="8" s="1"/>
  <c r="J99" i="8"/>
  <c r="J143" i="8" s="1"/>
  <c r="J187" i="8" s="1"/>
  <c r="M99" i="8"/>
  <c r="M121" i="8" s="1"/>
  <c r="L100" i="8"/>
  <c r="L122" i="8" s="1"/>
  <c r="M100" i="8"/>
  <c r="M122" i="8" s="1"/>
  <c r="L101" i="8"/>
  <c r="M101" i="8"/>
  <c r="M123" i="8" s="1"/>
  <c r="M113" i="8"/>
  <c r="L117" i="8"/>
  <c r="L123" i="8"/>
  <c r="B114" i="8"/>
  <c r="B48" i="8"/>
  <c r="B70" i="8"/>
  <c r="B136" i="8"/>
  <c r="C138" i="8" s="1"/>
  <c r="B20" i="8"/>
  <c r="C2563" i="8"/>
  <c r="C2557" i="8"/>
  <c r="C2427" i="8"/>
  <c r="C2421" i="8"/>
  <c r="C2291" i="8"/>
  <c r="C2285" i="8"/>
  <c r="C2155" i="8"/>
  <c r="C2149" i="8"/>
  <c r="C2019" i="8"/>
  <c r="C2013" i="8"/>
  <c r="C1883" i="8"/>
  <c r="C1877" i="8"/>
  <c r="C1747" i="8"/>
  <c r="C1741" i="8"/>
  <c r="C1611" i="8"/>
  <c r="C1605" i="8"/>
  <c r="C1203" i="8"/>
  <c r="C1197" i="8"/>
  <c r="C1067" i="8"/>
  <c r="C1061" i="8"/>
  <c r="C376" i="8"/>
  <c r="C374" i="8"/>
  <c r="C372" i="8"/>
  <c r="C370" i="8"/>
  <c r="C368" i="8"/>
  <c r="C366" i="8"/>
  <c r="C363" i="8"/>
  <c r="C362" i="8"/>
  <c r="C358" i="8"/>
  <c r="C354" i="8"/>
  <c r="C352" i="8"/>
  <c r="C351" i="8"/>
  <c r="C350" i="8"/>
  <c r="C342" i="8"/>
  <c r="B337" i="8"/>
  <c r="C346" i="8" s="1"/>
  <c r="C336" i="8"/>
  <c r="C334" i="8"/>
  <c r="C311" i="8"/>
  <c r="C310" i="8"/>
  <c r="C306" i="8"/>
  <c r="C298" i="8"/>
  <c r="B293" i="8"/>
  <c r="C302" i="8" s="1"/>
  <c r="C267" i="8"/>
  <c r="C266" i="8"/>
  <c r="C262" i="8"/>
  <c r="C254" i="8"/>
  <c r="B249" i="8"/>
  <c r="C258" i="8" s="1"/>
  <c r="C157" i="8"/>
  <c r="C152" i="8"/>
  <c r="C144" i="8"/>
  <c r="B139" i="8"/>
  <c r="C148" i="8" s="1"/>
  <c r="C135" i="8"/>
  <c r="C130" i="8"/>
  <c r="C122" i="8"/>
  <c r="B117" i="8"/>
  <c r="C126" i="8" s="1"/>
  <c r="C91" i="8"/>
  <c r="C86" i="8"/>
  <c r="C82" i="8"/>
  <c r="M79" i="8"/>
  <c r="L79" i="8"/>
  <c r="K79" i="8"/>
  <c r="K101" i="8" s="1"/>
  <c r="K123" i="8" s="1"/>
  <c r="J79" i="8"/>
  <c r="J101" i="8" s="1"/>
  <c r="J123" i="8" s="1"/>
  <c r="M78" i="8"/>
  <c r="L78" i="8"/>
  <c r="B119" i="8" s="1"/>
  <c r="C134" i="8" s="1"/>
  <c r="K78" i="8"/>
  <c r="K100" i="8" s="1"/>
  <c r="K122" i="8" s="1"/>
  <c r="J78" i="8"/>
  <c r="J100" i="8" s="1"/>
  <c r="J122" i="8" s="1"/>
  <c r="C78" i="8"/>
  <c r="M77" i="8"/>
  <c r="L77" i="8"/>
  <c r="L99" i="8" s="1"/>
  <c r="L121" i="8" s="1"/>
  <c r="K77" i="8"/>
  <c r="K99" i="8" s="1"/>
  <c r="K121" i="8" s="1"/>
  <c r="J77" i="8"/>
  <c r="J76" i="8"/>
  <c r="J75" i="8"/>
  <c r="J97" i="8" s="1"/>
  <c r="J119" i="8" s="1"/>
  <c r="B75" i="8"/>
  <c r="C90" i="8" s="1"/>
  <c r="J74" i="8"/>
  <c r="J96" i="8" s="1"/>
  <c r="J73" i="8"/>
  <c r="J95" i="8" s="1"/>
  <c r="J117" i="8" s="1"/>
  <c r="B73" i="8"/>
  <c r="J72" i="8"/>
  <c r="J94" i="8" s="1"/>
  <c r="J116" i="8" s="1"/>
  <c r="M69" i="8"/>
  <c r="M91" i="8" s="1"/>
  <c r="L69" i="8"/>
  <c r="L91" i="8" s="1"/>
  <c r="L113" i="8" s="1"/>
  <c r="K69" i="8"/>
  <c r="K91" i="8" s="1"/>
  <c r="K113" i="8" s="1"/>
  <c r="C69" i="8"/>
  <c r="C64" i="8"/>
  <c r="C56" i="8"/>
  <c r="B53" i="8"/>
  <c r="C68" i="8" s="1"/>
  <c r="M51" i="8"/>
  <c r="M73" i="8" s="1"/>
  <c r="L51" i="8"/>
  <c r="L73" i="8" s="1"/>
  <c r="K51" i="8"/>
  <c r="K73" i="8" s="1"/>
  <c r="K95" i="8" s="1"/>
  <c r="K117" i="8" s="1"/>
  <c r="B51" i="8"/>
  <c r="C60" i="8" s="1"/>
  <c r="M50" i="8"/>
  <c r="M72" i="8" s="1"/>
  <c r="M94" i="8" s="1"/>
  <c r="M116" i="8" s="1"/>
  <c r="L50" i="8"/>
  <c r="L72" i="8" s="1"/>
  <c r="L94" i="8" s="1"/>
  <c r="L116" i="8" s="1"/>
  <c r="K50" i="8"/>
  <c r="K72" i="8" s="1"/>
  <c r="B353" i="8" s="1"/>
  <c r="M49" i="8"/>
  <c r="L49" i="8"/>
  <c r="L71" i="8" s="1"/>
  <c r="L93" i="8" s="1"/>
  <c r="L115" i="8" s="1"/>
  <c r="K49" i="8"/>
  <c r="M48" i="8"/>
  <c r="M70" i="8" s="1"/>
  <c r="M92" i="8" s="1"/>
  <c r="M114" i="8" s="1"/>
  <c r="L48" i="8"/>
  <c r="L70" i="8" s="1"/>
  <c r="K48" i="8"/>
  <c r="K70" i="8" s="1"/>
  <c r="K92" i="8" s="1"/>
  <c r="K114" i="8" s="1"/>
  <c r="C42" i="8"/>
  <c r="C40" i="8"/>
  <c r="C38" i="8"/>
  <c r="C36" i="8"/>
  <c r="C33" i="8"/>
  <c r="C31" i="8"/>
  <c r="C29" i="8"/>
  <c r="C27" i="8"/>
  <c r="C24" i="8"/>
  <c r="C22" i="8"/>
  <c r="C20" i="8"/>
  <c r="C18" i="8"/>
  <c r="C16" i="8"/>
  <c r="C14" i="8"/>
  <c r="C12" i="8"/>
  <c r="C8" i="8"/>
  <c r="C6" i="8"/>
  <c r="C4" i="8"/>
  <c r="C2" i="8"/>
  <c r="K44" i="11" l="1"/>
  <c r="B199" i="11" s="1"/>
  <c r="L60" i="11"/>
  <c r="L80" i="11" s="1"/>
  <c r="L100" i="11" s="1"/>
  <c r="L120" i="11" s="1"/>
  <c r="B118" i="11"/>
  <c r="C120" i="11" s="1"/>
  <c r="C80" i="11"/>
  <c r="B138" i="11"/>
  <c r="C138" i="11" s="1"/>
  <c r="K80" i="11"/>
  <c r="K100" i="11" s="1"/>
  <c r="K120" i="11" s="1"/>
  <c r="B215" i="11"/>
  <c r="K161" i="11"/>
  <c r="K181" i="11" s="1"/>
  <c r="K141" i="11"/>
  <c r="B79" i="11"/>
  <c r="K64" i="11"/>
  <c r="K84" i="11" s="1"/>
  <c r="B99" i="11"/>
  <c r="K157" i="11"/>
  <c r="K177" i="11" s="1"/>
  <c r="K137" i="11"/>
  <c r="L158" i="11"/>
  <c r="L178" i="11" s="1"/>
  <c r="L138" i="11"/>
  <c r="J145" i="11"/>
  <c r="J165" i="11"/>
  <c r="J185" i="11" s="1"/>
  <c r="K146" i="11"/>
  <c r="K166" i="11"/>
  <c r="K186" i="11" s="1"/>
  <c r="L167" i="11"/>
  <c r="L187" i="11" s="1"/>
  <c r="L147" i="11"/>
  <c r="J166" i="11"/>
  <c r="J186" i="11" s="1"/>
  <c r="J146" i="11"/>
  <c r="L63" i="11"/>
  <c r="L83" i="11" s="1"/>
  <c r="L103" i="11" s="1"/>
  <c r="B100" i="11"/>
  <c r="L157" i="11"/>
  <c r="L177" i="11" s="1"/>
  <c r="L137" i="11"/>
  <c r="J143" i="11"/>
  <c r="J163" i="11"/>
  <c r="J183" i="11" s="1"/>
  <c r="K145" i="11"/>
  <c r="K165" i="11"/>
  <c r="K185" i="11" s="1"/>
  <c r="L146" i="11"/>
  <c r="L166" i="11"/>
  <c r="L186" i="11" s="1"/>
  <c r="J140" i="11"/>
  <c r="J160" i="11"/>
  <c r="J180" i="11" s="1"/>
  <c r="L141" i="11"/>
  <c r="L161" i="11"/>
  <c r="L181" i="11" s="1"/>
  <c r="B83" i="11"/>
  <c r="C96" i="11" s="1"/>
  <c r="L105" i="11"/>
  <c r="L125" i="11" s="1"/>
  <c r="J167" i="11"/>
  <c r="J187" i="11" s="1"/>
  <c r="J147" i="11"/>
  <c r="J161" i="11"/>
  <c r="J181" i="11" s="1"/>
  <c r="J141" i="11"/>
  <c r="K158" i="11"/>
  <c r="K178" i="11" s="1"/>
  <c r="K138" i="11"/>
  <c r="L140" i="11"/>
  <c r="L160" i="11"/>
  <c r="L180" i="11" s="1"/>
  <c r="J142" i="11"/>
  <c r="J162" i="11"/>
  <c r="J182" i="11" s="1"/>
  <c r="J144" i="11"/>
  <c r="J164" i="11"/>
  <c r="J184" i="11" s="1"/>
  <c r="K167" i="11"/>
  <c r="K187" i="11" s="1"/>
  <c r="K147" i="11"/>
  <c r="C38" i="11"/>
  <c r="K59" i="11"/>
  <c r="K79" i="11" s="1"/>
  <c r="K99" i="11" s="1"/>
  <c r="K119" i="11" s="1"/>
  <c r="K43" i="11"/>
  <c r="K42" i="11"/>
  <c r="C100" i="11"/>
  <c r="C98" i="11"/>
  <c r="B158" i="11"/>
  <c r="B178" i="11"/>
  <c r="L44" i="11"/>
  <c r="L42" i="11"/>
  <c r="L59" i="11"/>
  <c r="L79" i="11" s="1"/>
  <c r="L99" i="11" s="1"/>
  <c r="L119" i="11" s="1"/>
  <c r="C118" i="11"/>
  <c r="AA139" i="10"/>
  <c r="AA183" i="10" s="1"/>
  <c r="K53" i="10"/>
  <c r="AA138" i="10"/>
  <c r="AA182" i="10" s="1"/>
  <c r="M138" i="10"/>
  <c r="M182" i="10" s="1"/>
  <c r="R70" i="10"/>
  <c r="R138" i="10"/>
  <c r="Q139" i="10"/>
  <c r="R148" i="10" s="1"/>
  <c r="K167" i="10"/>
  <c r="K211" i="10" s="1"/>
  <c r="K145" i="10"/>
  <c r="K189" i="10" s="1"/>
  <c r="J161" i="10"/>
  <c r="J205" i="10" s="1"/>
  <c r="J359" i="10" s="1"/>
  <c r="J139" i="10"/>
  <c r="J183" i="10" s="1"/>
  <c r="J141" i="10"/>
  <c r="J185" i="10" s="1"/>
  <c r="L145" i="10"/>
  <c r="L189" i="10" s="1"/>
  <c r="K137" i="10"/>
  <c r="K181" i="10" s="1"/>
  <c r="K139" i="10"/>
  <c r="K183" i="10" s="1"/>
  <c r="L143" i="10"/>
  <c r="L187" i="10" s="1"/>
  <c r="M53" i="10"/>
  <c r="M136" i="10"/>
  <c r="M180" i="10" s="1"/>
  <c r="L139" i="10"/>
  <c r="L183" i="10" s="1"/>
  <c r="J140" i="10"/>
  <c r="J184" i="10" s="1"/>
  <c r="J142" i="10"/>
  <c r="J186" i="10" s="1"/>
  <c r="M143" i="10"/>
  <c r="M187" i="10" s="1"/>
  <c r="B185" i="10" s="1"/>
  <c r="C200" i="10" s="1"/>
  <c r="K144" i="10"/>
  <c r="K188" i="10" s="1"/>
  <c r="J145" i="10"/>
  <c r="J189" i="10" s="1"/>
  <c r="L233" i="10"/>
  <c r="L255" i="10" s="1"/>
  <c r="L277" i="10" s="1"/>
  <c r="L299" i="10" s="1"/>
  <c r="L321" i="10" s="1"/>
  <c r="L343" i="10" s="1"/>
  <c r="L138" i="10"/>
  <c r="L182" i="10" s="1"/>
  <c r="M139" i="10"/>
  <c r="M183" i="10" s="1"/>
  <c r="J143" i="10"/>
  <c r="J187" i="10" s="1"/>
  <c r="L144" i="10"/>
  <c r="M157" i="10"/>
  <c r="M201" i="10" s="1"/>
  <c r="K52" i="10"/>
  <c r="K54" i="10"/>
  <c r="L52" i="10"/>
  <c r="L54" i="10"/>
  <c r="C53" i="10" s="1"/>
  <c r="M52" i="10"/>
  <c r="M54" i="10"/>
  <c r="C48" i="10"/>
  <c r="Z53" i="10"/>
  <c r="Q71" i="10" s="1"/>
  <c r="R73" i="10" s="1"/>
  <c r="AA53" i="10"/>
  <c r="R53" i="10" s="1"/>
  <c r="Z52" i="10"/>
  <c r="AA52" i="10"/>
  <c r="M209" i="10"/>
  <c r="B163" i="10"/>
  <c r="C178" i="10" s="1"/>
  <c r="B268" i="10"/>
  <c r="C268" i="10" s="1"/>
  <c r="B334" i="10"/>
  <c r="C336" i="10" s="1"/>
  <c r="C158" i="10"/>
  <c r="J365" i="10"/>
  <c r="L223" i="10"/>
  <c r="L245" i="10" s="1"/>
  <c r="L267" i="10" s="1"/>
  <c r="L289" i="10" s="1"/>
  <c r="L311" i="10" s="1"/>
  <c r="L333" i="10" s="1"/>
  <c r="L355" i="10"/>
  <c r="AB75" i="10"/>
  <c r="AB97" i="10" s="1"/>
  <c r="AB119" i="10" s="1"/>
  <c r="AB163" i="10" s="1"/>
  <c r="AB207" i="10" s="1"/>
  <c r="AB229" i="10" s="1"/>
  <c r="AB251" i="10" s="1"/>
  <c r="AB273" i="10" s="1"/>
  <c r="AB295" i="10" s="1"/>
  <c r="AB317" i="10" s="1"/>
  <c r="AB339" i="10" s="1"/>
  <c r="K76" i="10"/>
  <c r="L76" i="10"/>
  <c r="B358" i="10" s="1"/>
  <c r="L75" i="10"/>
  <c r="L93" i="10"/>
  <c r="L115" i="10" s="1"/>
  <c r="M76" i="10"/>
  <c r="M75" i="10"/>
  <c r="M97" i="10" s="1"/>
  <c r="M119" i="10" s="1"/>
  <c r="M93" i="10"/>
  <c r="M115" i="10" s="1"/>
  <c r="AA76" i="10"/>
  <c r="AA98" i="10" s="1"/>
  <c r="AA120" i="10" s="1"/>
  <c r="AA75" i="10"/>
  <c r="AA93" i="10"/>
  <c r="AA115" i="10" s="1"/>
  <c r="AA159" i="10" s="1"/>
  <c r="AA203" i="10" s="1"/>
  <c r="AA225" i="10" s="1"/>
  <c r="AA247" i="10" s="1"/>
  <c r="AA269" i="10" s="1"/>
  <c r="AA291" i="10" s="1"/>
  <c r="AA313" i="10" s="1"/>
  <c r="AA335" i="10" s="1"/>
  <c r="Z76" i="10"/>
  <c r="Q357" i="10" s="1"/>
  <c r="R359" i="10" s="1"/>
  <c r="R114" i="10"/>
  <c r="R92" i="10"/>
  <c r="C270" i="10"/>
  <c r="B202" i="10"/>
  <c r="C204" i="10" s="1"/>
  <c r="C116" i="10"/>
  <c r="L356" i="10"/>
  <c r="L224" i="10"/>
  <c r="L246" i="10" s="1"/>
  <c r="L268" i="10" s="1"/>
  <c r="L290" i="10" s="1"/>
  <c r="L312" i="10" s="1"/>
  <c r="L334" i="10" s="1"/>
  <c r="C114" i="10"/>
  <c r="C72" i="10"/>
  <c r="B246" i="10"/>
  <c r="C248" i="10" s="1"/>
  <c r="Y359" i="10"/>
  <c r="Y227" i="10"/>
  <c r="Y249" i="10" s="1"/>
  <c r="Y271" i="10" s="1"/>
  <c r="Y293" i="10" s="1"/>
  <c r="Y315" i="10" s="1"/>
  <c r="Y337" i="10" s="1"/>
  <c r="Y365" i="10"/>
  <c r="Y233" i="10"/>
  <c r="Y255" i="10" s="1"/>
  <c r="Y277" i="10" s="1"/>
  <c r="Y299" i="10" s="1"/>
  <c r="Y321" i="10" s="1"/>
  <c r="Y343" i="10" s="1"/>
  <c r="Z359" i="10"/>
  <c r="Z227" i="10"/>
  <c r="Z249" i="10" s="1"/>
  <c r="Z271" i="10" s="1"/>
  <c r="Z293" i="10" s="1"/>
  <c r="Z315" i="10" s="1"/>
  <c r="Z337" i="10" s="1"/>
  <c r="AB361" i="10"/>
  <c r="Z357" i="10"/>
  <c r="Z225" i="10"/>
  <c r="Z247" i="10" s="1"/>
  <c r="Z269" i="10" s="1"/>
  <c r="Z291" i="10" s="1"/>
  <c r="Z313" i="10" s="1"/>
  <c r="Z335" i="10" s="1"/>
  <c r="AB355" i="10"/>
  <c r="AB223" i="10"/>
  <c r="AB245" i="10" s="1"/>
  <c r="AB267" i="10" s="1"/>
  <c r="AB289" i="10" s="1"/>
  <c r="AB311" i="10" s="1"/>
  <c r="AB333" i="10" s="1"/>
  <c r="AB356" i="10"/>
  <c r="AB224" i="10"/>
  <c r="AB246" i="10" s="1"/>
  <c r="AB268" i="10" s="1"/>
  <c r="AB290" i="10" s="1"/>
  <c r="AB312" i="10" s="1"/>
  <c r="AB334" i="10" s="1"/>
  <c r="Y231" i="10"/>
  <c r="Y253" i="10" s="1"/>
  <c r="Y275" i="10" s="1"/>
  <c r="Y297" i="10" s="1"/>
  <c r="Y319" i="10" s="1"/>
  <c r="Y341" i="10" s="1"/>
  <c r="Y363" i="10"/>
  <c r="AB232" i="10"/>
  <c r="AB254" i="10" s="1"/>
  <c r="AB276" i="10" s="1"/>
  <c r="AB298" i="10" s="1"/>
  <c r="AB320" i="10" s="1"/>
  <c r="AB342" i="10" s="1"/>
  <c r="AB364" i="10"/>
  <c r="Z355" i="10"/>
  <c r="Z223" i="10"/>
  <c r="Z245" i="10" s="1"/>
  <c r="Z267" i="10" s="1"/>
  <c r="Z289" i="10" s="1"/>
  <c r="Z311" i="10" s="1"/>
  <c r="Z333" i="10" s="1"/>
  <c r="Z356" i="10"/>
  <c r="Z224" i="10"/>
  <c r="Z246" i="10" s="1"/>
  <c r="Z268" i="10" s="1"/>
  <c r="Z290" i="10" s="1"/>
  <c r="Z312" i="10" s="1"/>
  <c r="Z334" i="10" s="1"/>
  <c r="AB359" i="10"/>
  <c r="AB227" i="10"/>
  <c r="AB249" i="10" s="1"/>
  <c r="AB271" i="10" s="1"/>
  <c r="AB293" i="10" s="1"/>
  <c r="AB315" i="10" s="1"/>
  <c r="AB337" i="10" s="1"/>
  <c r="AB357" i="10"/>
  <c r="AB225" i="10"/>
  <c r="AB247" i="10" s="1"/>
  <c r="AB269" i="10" s="1"/>
  <c r="AB291" i="10" s="1"/>
  <c r="AB313" i="10" s="1"/>
  <c r="AB335" i="10" s="1"/>
  <c r="AA226" i="10"/>
  <c r="AA248" i="10" s="1"/>
  <c r="AA270" i="10" s="1"/>
  <c r="AA292" i="10" s="1"/>
  <c r="AA314" i="10" s="1"/>
  <c r="AA336" i="10" s="1"/>
  <c r="AA358" i="10"/>
  <c r="AA363" i="10"/>
  <c r="AA231" i="10"/>
  <c r="AA253" i="10" s="1"/>
  <c r="AA275" i="10" s="1"/>
  <c r="AA297" i="10" s="1"/>
  <c r="AA319" i="10" s="1"/>
  <c r="AA341" i="10" s="1"/>
  <c r="Z365" i="10"/>
  <c r="Z233" i="10"/>
  <c r="Z255" i="10" s="1"/>
  <c r="Z277" i="10" s="1"/>
  <c r="Z299" i="10" s="1"/>
  <c r="Z321" i="10" s="1"/>
  <c r="Z343" i="10" s="1"/>
  <c r="Y226" i="10"/>
  <c r="Y248" i="10" s="1"/>
  <c r="Y270" i="10" s="1"/>
  <c r="Y292" i="10" s="1"/>
  <c r="Y314" i="10" s="1"/>
  <c r="Y336" i="10" s="1"/>
  <c r="Y358" i="10"/>
  <c r="AA227" i="10"/>
  <c r="AA249" i="10" s="1"/>
  <c r="AA271" i="10" s="1"/>
  <c r="AA293" i="10" s="1"/>
  <c r="AA315" i="10" s="1"/>
  <c r="AA337" i="10" s="1"/>
  <c r="AA359" i="10"/>
  <c r="Y362" i="10"/>
  <c r="Y230" i="10"/>
  <c r="Y252" i="10" s="1"/>
  <c r="Y274" i="10" s="1"/>
  <c r="Y296" i="10" s="1"/>
  <c r="Y318" i="10" s="1"/>
  <c r="Y340" i="10" s="1"/>
  <c r="Y361" i="10"/>
  <c r="Y229" i="10"/>
  <c r="Y251" i="10" s="1"/>
  <c r="Y273" i="10" s="1"/>
  <c r="Y295" i="10" s="1"/>
  <c r="Y317" i="10" s="1"/>
  <c r="Y339" i="10" s="1"/>
  <c r="AA365" i="10"/>
  <c r="AA233" i="10"/>
  <c r="AA255" i="10" s="1"/>
  <c r="AA277" i="10" s="1"/>
  <c r="AA299" i="10" s="1"/>
  <c r="AA321" i="10" s="1"/>
  <c r="AA343" i="10" s="1"/>
  <c r="AA356" i="10"/>
  <c r="AA224" i="10"/>
  <c r="AA246" i="10" s="1"/>
  <c r="AA268" i="10" s="1"/>
  <c r="AA290" i="10" s="1"/>
  <c r="AA312" i="10" s="1"/>
  <c r="AA334" i="10" s="1"/>
  <c r="Y360" i="10"/>
  <c r="Y228" i="10"/>
  <c r="Y250" i="10" s="1"/>
  <c r="Y272" i="10" s="1"/>
  <c r="Y294" i="10" s="1"/>
  <c r="Y316" i="10" s="1"/>
  <c r="Y338" i="10" s="1"/>
  <c r="AB358" i="10"/>
  <c r="AB226" i="10"/>
  <c r="AB248" i="10" s="1"/>
  <c r="AB270" i="10" s="1"/>
  <c r="AB292" i="10" s="1"/>
  <c r="AB314" i="10" s="1"/>
  <c r="AB336" i="10" s="1"/>
  <c r="Z363" i="10"/>
  <c r="Z231" i="10"/>
  <c r="Z253" i="10" s="1"/>
  <c r="Z275" i="10" s="1"/>
  <c r="Z297" i="10" s="1"/>
  <c r="Z319" i="10" s="1"/>
  <c r="Z341" i="10" s="1"/>
  <c r="AA364" i="10"/>
  <c r="AA232" i="10"/>
  <c r="AA254" i="10" s="1"/>
  <c r="AA276" i="10" s="1"/>
  <c r="AA298" i="10" s="1"/>
  <c r="AA320" i="10" s="1"/>
  <c r="AA342" i="10" s="1"/>
  <c r="AA223" i="10"/>
  <c r="AA245" i="10" s="1"/>
  <c r="AA267" i="10" s="1"/>
  <c r="AA289" i="10" s="1"/>
  <c r="AA311" i="10" s="1"/>
  <c r="AA333" i="10" s="1"/>
  <c r="AA355" i="10"/>
  <c r="Z74" i="10"/>
  <c r="Z75" i="10"/>
  <c r="Z364" i="10"/>
  <c r="Z232" i="10"/>
  <c r="Z254" i="10" s="1"/>
  <c r="Z276" i="10" s="1"/>
  <c r="Z298" i="10" s="1"/>
  <c r="Z320" i="10" s="1"/>
  <c r="Z342" i="10" s="1"/>
  <c r="AA74" i="10"/>
  <c r="AA96" i="10" s="1"/>
  <c r="AA118" i="10" s="1"/>
  <c r="AA140" i="10" s="1"/>
  <c r="Q290" i="10"/>
  <c r="AB76" i="10"/>
  <c r="Q375" i="10"/>
  <c r="Z116" i="10"/>
  <c r="AB363" i="10"/>
  <c r="AB231" i="10"/>
  <c r="AB253" i="10" s="1"/>
  <c r="AB275" i="10" s="1"/>
  <c r="AB297" i="10" s="1"/>
  <c r="AB319" i="10" s="1"/>
  <c r="AB341" i="10" s="1"/>
  <c r="Y232" i="10"/>
  <c r="Y254" i="10" s="1"/>
  <c r="Y276" i="10" s="1"/>
  <c r="Y298" i="10" s="1"/>
  <c r="Y320" i="10" s="1"/>
  <c r="Y342" i="10" s="1"/>
  <c r="AB365" i="10"/>
  <c r="Q246" i="10"/>
  <c r="AB74" i="10"/>
  <c r="AB96" i="10" s="1"/>
  <c r="AB118" i="10" s="1"/>
  <c r="AB162" i="10" s="1"/>
  <c r="M224" i="10"/>
  <c r="M246" i="10" s="1"/>
  <c r="M268" i="10" s="1"/>
  <c r="M290" i="10" s="1"/>
  <c r="M312" i="10" s="1"/>
  <c r="M334" i="10" s="1"/>
  <c r="M356" i="10"/>
  <c r="J364" i="10"/>
  <c r="J232" i="10"/>
  <c r="J254" i="10" s="1"/>
  <c r="J276" i="10" s="1"/>
  <c r="J298" i="10" s="1"/>
  <c r="J320" i="10" s="1"/>
  <c r="J342" i="10" s="1"/>
  <c r="K233" i="10"/>
  <c r="K255" i="10" s="1"/>
  <c r="K277" i="10" s="1"/>
  <c r="K299" i="10" s="1"/>
  <c r="K321" i="10" s="1"/>
  <c r="K343" i="10" s="1"/>
  <c r="K365" i="10"/>
  <c r="K359" i="10"/>
  <c r="K227" i="10"/>
  <c r="K249" i="10" s="1"/>
  <c r="K271" i="10" s="1"/>
  <c r="K293" i="10" s="1"/>
  <c r="K315" i="10" s="1"/>
  <c r="K337" i="10" s="1"/>
  <c r="J363" i="10"/>
  <c r="J231" i="10"/>
  <c r="J253" i="10" s="1"/>
  <c r="J275" i="10" s="1"/>
  <c r="J297" i="10" s="1"/>
  <c r="J319" i="10" s="1"/>
  <c r="J341" i="10" s="1"/>
  <c r="B375" i="10"/>
  <c r="K116" i="10"/>
  <c r="K231" i="10"/>
  <c r="K253" i="10" s="1"/>
  <c r="K275" i="10" s="1"/>
  <c r="K297" i="10" s="1"/>
  <c r="K319" i="10" s="1"/>
  <c r="K341" i="10" s="1"/>
  <c r="K363" i="10"/>
  <c r="K357" i="10"/>
  <c r="K225" i="10"/>
  <c r="K247" i="10" s="1"/>
  <c r="K269" i="10" s="1"/>
  <c r="K291" i="10" s="1"/>
  <c r="K313" i="10" s="1"/>
  <c r="K335" i="10" s="1"/>
  <c r="L226" i="10"/>
  <c r="L248" i="10" s="1"/>
  <c r="L270" i="10" s="1"/>
  <c r="L292" i="10" s="1"/>
  <c r="L314" i="10" s="1"/>
  <c r="L336" i="10" s="1"/>
  <c r="L358" i="10"/>
  <c r="M98" i="10"/>
  <c r="M120" i="10" s="1"/>
  <c r="M359" i="10"/>
  <c r="M227" i="10"/>
  <c r="M249" i="10" s="1"/>
  <c r="M271" i="10" s="1"/>
  <c r="M293" i="10" s="1"/>
  <c r="M315" i="10" s="1"/>
  <c r="M337" i="10" s="1"/>
  <c r="B357" i="10"/>
  <c r="C359" i="10" s="1"/>
  <c r="K98" i="10"/>
  <c r="K120" i="10" s="1"/>
  <c r="K142" i="10" s="1"/>
  <c r="M358" i="10"/>
  <c r="M226" i="10"/>
  <c r="M248" i="10" s="1"/>
  <c r="M270" i="10" s="1"/>
  <c r="M292" i="10" s="1"/>
  <c r="M314" i="10" s="1"/>
  <c r="M336" i="10" s="1"/>
  <c r="L227" i="10"/>
  <c r="L249" i="10" s="1"/>
  <c r="L271" i="10" s="1"/>
  <c r="L293" i="10" s="1"/>
  <c r="L315" i="10" s="1"/>
  <c r="L337" i="10" s="1"/>
  <c r="J228" i="10"/>
  <c r="J250" i="10" s="1"/>
  <c r="J272" i="10" s="1"/>
  <c r="J294" i="10" s="1"/>
  <c r="J316" i="10" s="1"/>
  <c r="J338" i="10" s="1"/>
  <c r="J360" i="10"/>
  <c r="M365" i="10"/>
  <c r="M233" i="10"/>
  <c r="M255" i="10" s="1"/>
  <c r="M277" i="10" s="1"/>
  <c r="M299" i="10" s="1"/>
  <c r="M321" i="10" s="1"/>
  <c r="M343" i="10" s="1"/>
  <c r="K355" i="10"/>
  <c r="K223" i="10"/>
  <c r="K245" i="10" s="1"/>
  <c r="K267" i="10" s="1"/>
  <c r="K289" i="10" s="1"/>
  <c r="K311" i="10" s="1"/>
  <c r="K333" i="10" s="1"/>
  <c r="M232" i="10"/>
  <c r="M254" i="10" s="1"/>
  <c r="M276" i="10" s="1"/>
  <c r="M298" i="10" s="1"/>
  <c r="M320" i="10" s="1"/>
  <c r="M342" i="10" s="1"/>
  <c r="K356" i="10"/>
  <c r="K224" i="10"/>
  <c r="K246" i="10" s="1"/>
  <c r="K268" i="10" s="1"/>
  <c r="K290" i="10" s="1"/>
  <c r="K312" i="10" s="1"/>
  <c r="K334" i="10" s="1"/>
  <c r="J227" i="10"/>
  <c r="J249" i="10" s="1"/>
  <c r="J271" i="10" s="1"/>
  <c r="J293" i="10" s="1"/>
  <c r="J315" i="10" s="1"/>
  <c r="J337" i="10" s="1"/>
  <c r="J358" i="10"/>
  <c r="J226" i="10"/>
  <c r="J248" i="10" s="1"/>
  <c r="J270" i="10" s="1"/>
  <c r="J292" i="10" s="1"/>
  <c r="J314" i="10" s="1"/>
  <c r="J336" i="10" s="1"/>
  <c r="C246" i="10"/>
  <c r="K74" i="10"/>
  <c r="K75" i="10"/>
  <c r="M223" i="10"/>
  <c r="M245" i="10" s="1"/>
  <c r="M267" i="10" s="1"/>
  <c r="M289" i="10" s="1"/>
  <c r="M311" i="10" s="1"/>
  <c r="M333" i="10" s="1"/>
  <c r="M355" i="10"/>
  <c r="J362" i="10"/>
  <c r="J230" i="10"/>
  <c r="J252" i="10" s="1"/>
  <c r="J274" i="10" s="1"/>
  <c r="J296" i="10" s="1"/>
  <c r="J318" i="10" s="1"/>
  <c r="J340" i="10" s="1"/>
  <c r="L231" i="10"/>
  <c r="L253" i="10" s="1"/>
  <c r="L275" i="10" s="1"/>
  <c r="L297" i="10" s="1"/>
  <c r="L319" i="10" s="1"/>
  <c r="L341" i="10" s="1"/>
  <c r="L363" i="10"/>
  <c r="K232" i="10"/>
  <c r="K254" i="10" s="1"/>
  <c r="K276" i="10" s="1"/>
  <c r="K298" i="10" s="1"/>
  <c r="K320" i="10" s="1"/>
  <c r="K342" i="10" s="1"/>
  <c r="K364" i="10"/>
  <c r="L74" i="10"/>
  <c r="L96" i="10" s="1"/>
  <c r="L118" i="10" s="1"/>
  <c r="L140" i="10" s="1"/>
  <c r="L184" i="10" s="1"/>
  <c r="B312" i="10"/>
  <c r="B224" i="10"/>
  <c r="B290" i="10"/>
  <c r="C94" i="10"/>
  <c r="C92" i="10"/>
  <c r="C334" i="10"/>
  <c r="L364" i="10"/>
  <c r="L232" i="10"/>
  <c r="L254" i="10" s="1"/>
  <c r="L276" i="10" s="1"/>
  <c r="L298" i="10" s="1"/>
  <c r="L320" i="10" s="1"/>
  <c r="L342" i="10" s="1"/>
  <c r="J229" i="10"/>
  <c r="J251" i="10" s="1"/>
  <c r="J273" i="10" s="1"/>
  <c r="J295" i="10" s="1"/>
  <c r="J317" i="10" s="1"/>
  <c r="J339" i="10" s="1"/>
  <c r="M74" i="10"/>
  <c r="M96" i="10" s="1"/>
  <c r="M118" i="10" s="1"/>
  <c r="L151" i="9"/>
  <c r="L173" i="9" s="1"/>
  <c r="L195" i="9" s="1"/>
  <c r="L217" i="9" s="1"/>
  <c r="L239" i="9" s="1"/>
  <c r="L261" i="9" s="1"/>
  <c r="L43" i="9"/>
  <c r="L65" i="9" s="1"/>
  <c r="L87" i="9" s="1"/>
  <c r="C63" i="9"/>
  <c r="C61" i="9"/>
  <c r="L281" i="9"/>
  <c r="L149" i="9"/>
  <c r="L171" i="9" s="1"/>
  <c r="L193" i="9" s="1"/>
  <c r="L215" i="9" s="1"/>
  <c r="L237" i="9" s="1"/>
  <c r="L259" i="9" s="1"/>
  <c r="M288" i="9"/>
  <c r="M156" i="9"/>
  <c r="M178" i="9" s="1"/>
  <c r="M200" i="9" s="1"/>
  <c r="M222" i="9" s="1"/>
  <c r="M244" i="9" s="1"/>
  <c r="M266" i="9" s="1"/>
  <c r="M280" i="9"/>
  <c r="M148" i="9"/>
  <c r="M170" i="9" s="1"/>
  <c r="M192" i="9" s="1"/>
  <c r="M214" i="9" s="1"/>
  <c r="M236" i="9" s="1"/>
  <c r="M258" i="9" s="1"/>
  <c r="K149" i="9"/>
  <c r="K171" i="9" s="1"/>
  <c r="K193" i="9" s="1"/>
  <c r="K215" i="9" s="1"/>
  <c r="K237" i="9" s="1"/>
  <c r="K259" i="9" s="1"/>
  <c r="K281" i="9"/>
  <c r="L150" i="9"/>
  <c r="L172" i="9" s="1"/>
  <c r="L194" i="9" s="1"/>
  <c r="L216" i="9" s="1"/>
  <c r="L238" i="9" s="1"/>
  <c r="L260" i="9" s="1"/>
  <c r="L282" i="9"/>
  <c r="M283" i="9"/>
  <c r="M151" i="9"/>
  <c r="M173" i="9" s="1"/>
  <c r="M195" i="9" s="1"/>
  <c r="M217" i="9" s="1"/>
  <c r="M239" i="9" s="1"/>
  <c r="M261" i="9" s="1"/>
  <c r="M287" i="9"/>
  <c r="M155" i="9"/>
  <c r="M177" i="9" s="1"/>
  <c r="M199" i="9" s="1"/>
  <c r="M221" i="9" s="1"/>
  <c r="M243" i="9" s="1"/>
  <c r="M265" i="9" s="1"/>
  <c r="L289" i="9"/>
  <c r="L157" i="9"/>
  <c r="L179" i="9" s="1"/>
  <c r="L201" i="9" s="1"/>
  <c r="L223" i="9" s="1"/>
  <c r="L245" i="9" s="1"/>
  <c r="L267" i="9" s="1"/>
  <c r="L284" i="9"/>
  <c r="L152" i="9"/>
  <c r="L174" i="9" s="1"/>
  <c r="L196" i="9" s="1"/>
  <c r="L218" i="9" s="1"/>
  <c r="L240" i="9" s="1"/>
  <c r="L262" i="9" s="1"/>
  <c r="J151" i="9"/>
  <c r="J173" i="9" s="1"/>
  <c r="J195" i="9" s="1"/>
  <c r="J217" i="9" s="1"/>
  <c r="J239" i="9" s="1"/>
  <c r="J261" i="9" s="1"/>
  <c r="J283" i="9"/>
  <c r="J156" i="9"/>
  <c r="J178" i="9" s="1"/>
  <c r="J200" i="9" s="1"/>
  <c r="J222" i="9" s="1"/>
  <c r="J244" i="9" s="1"/>
  <c r="J266" i="9" s="1"/>
  <c r="J288" i="9"/>
  <c r="J155" i="9"/>
  <c r="J177" i="9" s="1"/>
  <c r="J199" i="9" s="1"/>
  <c r="J221" i="9" s="1"/>
  <c r="J243" i="9" s="1"/>
  <c r="J265" i="9" s="1"/>
  <c r="J287" i="9"/>
  <c r="J158" i="9"/>
  <c r="J180" i="9" s="1"/>
  <c r="J202" i="9" s="1"/>
  <c r="J224" i="9" s="1"/>
  <c r="J246" i="9" s="1"/>
  <c r="J268" i="9" s="1"/>
  <c r="J290" i="9"/>
  <c r="J285" i="9"/>
  <c r="J153" i="9"/>
  <c r="J175" i="9" s="1"/>
  <c r="J197" i="9" s="1"/>
  <c r="J219" i="9" s="1"/>
  <c r="J241" i="9" s="1"/>
  <c r="J263" i="9" s="1"/>
  <c r="K290" i="9"/>
  <c r="K158" i="9"/>
  <c r="K180" i="9" s="1"/>
  <c r="K202" i="9" s="1"/>
  <c r="K224" i="9" s="1"/>
  <c r="K246" i="9" s="1"/>
  <c r="K268" i="9" s="1"/>
  <c r="K152" i="9"/>
  <c r="K174" i="9" s="1"/>
  <c r="K196" i="9" s="1"/>
  <c r="K218" i="9" s="1"/>
  <c r="K240" i="9" s="1"/>
  <c r="K262" i="9" s="1"/>
  <c r="K284" i="9"/>
  <c r="K280" i="9"/>
  <c r="K148" i="9"/>
  <c r="K170" i="9" s="1"/>
  <c r="K192" i="9" s="1"/>
  <c r="K214" i="9" s="1"/>
  <c r="K236" i="9" s="1"/>
  <c r="K258" i="9" s="1"/>
  <c r="M152" i="9"/>
  <c r="M174" i="9" s="1"/>
  <c r="M196" i="9" s="1"/>
  <c r="M218" i="9" s="1"/>
  <c r="M240" i="9" s="1"/>
  <c r="M262" i="9" s="1"/>
  <c r="M284" i="9"/>
  <c r="J154" i="9"/>
  <c r="J176" i="9" s="1"/>
  <c r="J198" i="9" s="1"/>
  <c r="J220" i="9" s="1"/>
  <c r="J242" i="9" s="1"/>
  <c r="J264" i="9" s="1"/>
  <c r="J286" i="9"/>
  <c r="K288" i="9"/>
  <c r="K156" i="9"/>
  <c r="K178" i="9" s="1"/>
  <c r="K200" i="9" s="1"/>
  <c r="K222" i="9" s="1"/>
  <c r="K244" i="9" s="1"/>
  <c r="K266" i="9" s="1"/>
  <c r="J284" i="9"/>
  <c r="J152" i="9"/>
  <c r="J174" i="9" s="1"/>
  <c r="J196" i="9" s="1"/>
  <c r="J218" i="9" s="1"/>
  <c r="J240" i="9" s="1"/>
  <c r="J262" i="9" s="1"/>
  <c r="M290" i="9"/>
  <c r="M158" i="9"/>
  <c r="M180" i="9" s="1"/>
  <c r="M202" i="9" s="1"/>
  <c r="M224" i="9" s="1"/>
  <c r="M246" i="9" s="1"/>
  <c r="M268" i="9" s="1"/>
  <c r="B171" i="9"/>
  <c r="K43" i="9"/>
  <c r="K62" i="9"/>
  <c r="K84" i="9" s="1"/>
  <c r="K106" i="9" s="1"/>
  <c r="K128" i="9" s="1"/>
  <c r="K45" i="9"/>
  <c r="K44" i="9"/>
  <c r="L148" i="9"/>
  <c r="L170" i="9" s="1"/>
  <c r="L192" i="9" s="1"/>
  <c r="L214" i="9" s="1"/>
  <c r="L236" i="9" s="1"/>
  <c r="L258" i="9" s="1"/>
  <c r="L280" i="9"/>
  <c r="K289" i="9"/>
  <c r="K157" i="9"/>
  <c r="K179" i="9" s="1"/>
  <c r="K201" i="9" s="1"/>
  <c r="K223" i="9" s="1"/>
  <c r="K245" i="9" s="1"/>
  <c r="K267" i="9" s="1"/>
  <c r="M149" i="9"/>
  <c r="M171" i="9" s="1"/>
  <c r="M193" i="9" s="1"/>
  <c r="M215" i="9" s="1"/>
  <c r="M237" i="9" s="1"/>
  <c r="M259" i="9" s="1"/>
  <c r="M281" i="9"/>
  <c r="L156" i="9"/>
  <c r="L178" i="9" s="1"/>
  <c r="L200" i="9" s="1"/>
  <c r="L222" i="9" s="1"/>
  <c r="L244" i="9" s="1"/>
  <c r="L266" i="9" s="1"/>
  <c r="M43" i="9"/>
  <c r="M65" i="9" s="1"/>
  <c r="M87" i="9" s="1"/>
  <c r="M109" i="9" s="1"/>
  <c r="M131" i="9" s="1"/>
  <c r="L44" i="9"/>
  <c r="J157" i="9"/>
  <c r="J179" i="9" s="1"/>
  <c r="J201" i="9" s="1"/>
  <c r="J223" i="9" s="1"/>
  <c r="J245" i="9" s="1"/>
  <c r="J267" i="9" s="1"/>
  <c r="J289" i="9"/>
  <c r="C217" i="9"/>
  <c r="M62" i="9"/>
  <c r="M84" i="9" s="1"/>
  <c r="M106" i="9" s="1"/>
  <c r="M128" i="9" s="1"/>
  <c r="M44" i="9"/>
  <c r="M66" i="9" s="1"/>
  <c r="M88" i="9" s="1"/>
  <c r="M110" i="9" s="1"/>
  <c r="M132" i="9" s="1"/>
  <c r="B300" i="9"/>
  <c r="K85" i="9"/>
  <c r="K107" i="9" s="1"/>
  <c r="K129" i="9" s="1"/>
  <c r="L45" i="9"/>
  <c r="C312" i="8"/>
  <c r="J140" i="8"/>
  <c r="J184" i="8" s="1"/>
  <c r="J118" i="8"/>
  <c r="J162" i="8" s="1"/>
  <c r="M95" i="8"/>
  <c r="M117" i="8" s="1"/>
  <c r="L136" i="8"/>
  <c r="L180" i="8" s="1"/>
  <c r="J121" i="8"/>
  <c r="J165" i="8" s="1"/>
  <c r="M166" i="8"/>
  <c r="M165" i="8"/>
  <c r="M135" i="8"/>
  <c r="M179" i="8" s="1"/>
  <c r="M201" i="8" s="1"/>
  <c r="M223" i="8" s="1"/>
  <c r="M245" i="8" s="1"/>
  <c r="M267" i="8" s="1"/>
  <c r="M289" i="8" s="1"/>
  <c r="M311" i="8" s="1"/>
  <c r="M157" i="8"/>
  <c r="L135" i="8"/>
  <c r="L179" i="8" s="1"/>
  <c r="L157" i="8"/>
  <c r="L166" i="8"/>
  <c r="M54" i="8"/>
  <c r="C50" i="8"/>
  <c r="C48" i="8"/>
  <c r="B246" i="8"/>
  <c r="K52" i="8"/>
  <c r="K54" i="8"/>
  <c r="K71" i="8"/>
  <c r="K93" i="8" s="1"/>
  <c r="K115" i="8" s="1"/>
  <c r="L160" i="8"/>
  <c r="L138" i="8"/>
  <c r="L182" i="8" s="1"/>
  <c r="L161" i="8"/>
  <c r="L139" i="8"/>
  <c r="L183" i="8" s="1"/>
  <c r="K53" i="8"/>
  <c r="K157" i="8"/>
  <c r="K135" i="8"/>
  <c r="K179" i="8" s="1"/>
  <c r="J163" i="8"/>
  <c r="J141" i="8"/>
  <c r="J185" i="8" s="1"/>
  <c r="M167" i="8"/>
  <c r="M145" i="8"/>
  <c r="M189" i="8" s="1"/>
  <c r="K136" i="8"/>
  <c r="K180" i="8" s="1"/>
  <c r="K158" i="8"/>
  <c r="L159" i="8"/>
  <c r="L137" i="8"/>
  <c r="L181" i="8" s="1"/>
  <c r="M138" i="8"/>
  <c r="M182" i="8" s="1"/>
  <c r="M160" i="8"/>
  <c r="M76" i="8"/>
  <c r="M98" i="8" s="1"/>
  <c r="B290" i="8"/>
  <c r="C72" i="8"/>
  <c r="C70" i="8"/>
  <c r="J161" i="8"/>
  <c r="J139" i="8"/>
  <c r="J183" i="8" s="1"/>
  <c r="K165" i="8"/>
  <c r="K143" i="8"/>
  <c r="K187" i="8" s="1"/>
  <c r="J144" i="8"/>
  <c r="J188" i="8" s="1"/>
  <c r="J166" i="8"/>
  <c r="J167" i="8"/>
  <c r="J145" i="8"/>
  <c r="J189" i="8" s="1"/>
  <c r="K139" i="8"/>
  <c r="K183" i="8" s="1"/>
  <c r="K161" i="8"/>
  <c r="L334" i="8"/>
  <c r="L202" i="8"/>
  <c r="L224" i="8" s="1"/>
  <c r="L246" i="8" s="1"/>
  <c r="L268" i="8" s="1"/>
  <c r="L290" i="8" s="1"/>
  <c r="L312" i="8" s="1"/>
  <c r="L52" i="8"/>
  <c r="L74" i="8" s="1"/>
  <c r="L96" i="8" s="1"/>
  <c r="J142" i="8"/>
  <c r="J186" i="8" s="1"/>
  <c r="J164" i="8"/>
  <c r="K144" i="8"/>
  <c r="K188" i="8" s="1"/>
  <c r="K166" i="8"/>
  <c r="K145" i="8"/>
  <c r="K189" i="8" s="1"/>
  <c r="K167" i="8"/>
  <c r="M333" i="8"/>
  <c r="J341" i="8"/>
  <c r="J209" i="8"/>
  <c r="J231" i="8" s="1"/>
  <c r="J253" i="8" s="1"/>
  <c r="J275" i="8" s="1"/>
  <c r="J297" i="8" s="1"/>
  <c r="J319" i="8" s="1"/>
  <c r="M161" i="8"/>
  <c r="M136" i="8"/>
  <c r="M180" i="8" s="1"/>
  <c r="M158" i="8"/>
  <c r="J160" i="8"/>
  <c r="J138" i="8"/>
  <c r="J182" i="8" s="1"/>
  <c r="L145" i="8"/>
  <c r="L189" i="8" s="1"/>
  <c r="L167" i="8"/>
  <c r="K160" i="8"/>
  <c r="K138" i="8"/>
  <c r="K182" i="8" s="1"/>
  <c r="L143" i="8"/>
  <c r="L187" i="8" s="1"/>
  <c r="L165" i="8"/>
  <c r="L158" i="8"/>
  <c r="J338" i="8"/>
  <c r="J206" i="8"/>
  <c r="J228" i="8" s="1"/>
  <c r="J250" i="8" s="1"/>
  <c r="J272" i="8" s="1"/>
  <c r="J294" i="8" s="1"/>
  <c r="J316" i="8" s="1"/>
  <c r="M52" i="8"/>
  <c r="M74" i="8" s="1"/>
  <c r="M96" i="8" s="1"/>
  <c r="M118" i="8" s="1"/>
  <c r="L53" i="8"/>
  <c r="C136" i="8"/>
  <c r="M143" i="8"/>
  <c r="M144" i="8"/>
  <c r="M188" i="8" s="1"/>
  <c r="M53" i="8"/>
  <c r="M75" i="8" s="1"/>
  <c r="M97" i="8" s="1"/>
  <c r="M119" i="8" s="1"/>
  <c r="M71" i="8"/>
  <c r="M93" i="8" s="1"/>
  <c r="M115" i="8" s="1"/>
  <c r="C116" i="8"/>
  <c r="C114" i="8"/>
  <c r="L54" i="8"/>
  <c r="B315" i="7"/>
  <c r="C324" i="7" s="1"/>
  <c r="B293" i="7"/>
  <c r="B271" i="7"/>
  <c r="C280" i="7" s="1"/>
  <c r="B249" i="7"/>
  <c r="B227" i="7"/>
  <c r="B205" i="7"/>
  <c r="B183" i="7"/>
  <c r="B53" i="7"/>
  <c r="C319" i="7"/>
  <c r="C317" i="7"/>
  <c r="C315" i="7"/>
  <c r="C297" i="7"/>
  <c r="C295" i="7"/>
  <c r="C275" i="7"/>
  <c r="C273" i="7"/>
  <c r="C253" i="7"/>
  <c r="C251" i="7"/>
  <c r="C231" i="7"/>
  <c r="C227" i="7"/>
  <c r="C254" i="7"/>
  <c r="C258" i="7"/>
  <c r="C262" i="7"/>
  <c r="C192" i="7"/>
  <c r="B161" i="7"/>
  <c r="C170" i="7" s="1"/>
  <c r="B117" i="7"/>
  <c r="C126" i="7" s="1"/>
  <c r="B95" i="7"/>
  <c r="C104" i="7" s="1"/>
  <c r="B73" i="7"/>
  <c r="C82" i="7" s="1"/>
  <c r="B158" i="7"/>
  <c r="C160" i="7" s="1"/>
  <c r="C174" i="7"/>
  <c r="C166" i="7"/>
  <c r="C157" i="7"/>
  <c r="B136" i="7"/>
  <c r="C136" i="7" s="1"/>
  <c r="B114" i="7"/>
  <c r="C116" i="7" s="1"/>
  <c r="B92" i="7"/>
  <c r="C130" i="7"/>
  <c r="C122" i="7"/>
  <c r="C113" i="7"/>
  <c r="B70" i="7"/>
  <c r="B48" i="7"/>
  <c r="C31" i="7"/>
  <c r="C22" i="7"/>
  <c r="C2563" i="7"/>
  <c r="C2557" i="7"/>
  <c r="C2427" i="7"/>
  <c r="C2421" i="7"/>
  <c r="C2291" i="7"/>
  <c r="C2285" i="7"/>
  <c r="C2155" i="7"/>
  <c r="C2149" i="7"/>
  <c r="C2019" i="7"/>
  <c r="C2013" i="7"/>
  <c r="C1883" i="7"/>
  <c r="C1877" i="7"/>
  <c r="C1747" i="7"/>
  <c r="C1741" i="7"/>
  <c r="C1611" i="7"/>
  <c r="C1605" i="7"/>
  <c r="C1203" i="7"/>
  <c r="C1197" i="7"/>
  <c r="C1067" i="7"/>
  <c r="C1061" i="7"/>
  <c r="C376" i="7"/>
  <c r="C374" i="7"/>
  <c r="C372" i="7"/>
  <c r="C370" i="7"/>
  <c r="C368" i="7"/>
  <c r="C366" i="7"/>
  <c r="C363" i="7"/>
  <c r="C362" i="7"/>
  <c r="C358" i="7"/>
  <c r="C354" i="7"/>
  <c r="C352" i="7"/>
  <c r="C351" i="7"/>
  <c r="C350" i="7"/>
  <c r="C342" i="7"/>
  <c r="B337" i="7"/>
  <c r="C346" i="7" s="1"/>
  <c r="C336" i="7"/>
  <c r="C334" i="7"/>
  <c r="C333" i="7"/>
  <c r="C332" i="7"/>
  <c r="C328" i="7"/>
  <c r="C320" i="7"/>
  <c r="C311" i="7"/>
  <c r="C310" i="7"/>
  <c r="C306" i="7"/>
  <c r="C298" i="7"/>
  <c r="C302" i="7"/>
  <c r="C289" i="7"/>
  <c r="C288" i="7"/>
  <c r="C284" i="7"/>
  <c r="C276" i="7"/>
  <c r="C267" i="7"/>
  <c r="C266" i="7"/>
  <c r="C245" i="7"/>
  <c r="C244" i="7"/>
  <c r="C240" i="7"/>
  <c r="C232" i="7"/>
  <c r="C236" i="7"/>
  <c r="C223" i="7"/>
  <c r="C222" i="7"/>
  <c r="C218" i="7"/>
  <c r="C210" i="7"/>
  <c r="C214" i="7"/>
  <c r="C201" i="7"/>
  <c r="C200" i="7"/>
  <c r="C196" i="7"/>
  <c r="C188" i="7"/>
  <c r="C179" i="7"/>
  <c r="C152" i="7"/>
  <c r="C144" i="7"/>
  <c r="B139" i="7"/>
  <c r="C148" i="7" s="1"/>
  <c r="C135" i="7"/>
  <c r="C108" i="7"/>
  <c r="C100" i="7"/>
  <c r="B97" i="7"/>
  <c r="C112" i="7" s="1"/>
  <c r="C91" i="7"/>
  <c r="C86" i="7"/>
  <c r="M79" i="7"/>
  <c r="M101" i="7" s="1"/>
  <c r="L79" i="7"/>
  <c r="L101" i="7" s="1"/>
  <c r="L145" i="7" s="1"/>
  <c r="L189" i="7" s="1"/>
  <c r="K79" i="7"/>
  <c r="K101" i="7" s="1"/>
  <c r="K145" i="7" s="1"/>
  <c r="K189" i="7" s="1"/>
  <c r="J79" i="7"/>
  <c r="J101" i="7" s="1"/>
  <c r="J145" i="7" s="1"/>
  <c r="J189" i="7" s="1"/>
  <c r="M78" i="7"/>
  <c r="M100" i="7" s="1"/>
  <c r="M144" i="7" s="1"/>
  <c r="M188" i="7" s="1"/>
  <c r="L78" i="7"/>
  <c r="L100" i="7" s="1"/>
  <c r="L144" i="7" s="1"/>
  <c r="L188" i="7" s="1"/>
  <c r="L342" i="7" s="1"/>
  <c r="K78" i="7"/>
  <c r="K100" i="7" s="1"/>
  <c r="J78" i="7"/>
  <c r="J100" i="7" s="1"/>
  <c r="J144" i="7" s="1"/>
  <c r="J188" i="7" s="1"/>
  <c r="C78" i="7"/>
  <c r="M77" i="7"/>
  <c r="M99" i="7" s="1"/>
  <c r="M143" i="7" s="1"/>
  <c r="B141" i="7" s="1"/>
  <c r="C156" i="7" s="1"/>
  <c r="L77" i="7"/>
  <c r="K77" i="7"/>
  <c r="K99" i="7" s="1"/>
  <c r="K143" i="7" s="1"/>
  <c r="K187" i="7" s="1"/>
  <c r="K341" i="7" s="1"/>
  <c r="J77" i="7"/>
  <c r="J99" i="7" s="1"/>
  <c r="J76" i="7"/>
  <c r="J98" i="7" s="1"/>
  <c r="J142" i="7" s="1"/>
  <c r="J186" i="7" s="1"/>
  <c r="J340" i="7" s="1"/>
  <c r="J75" i="7"/>
  <c r="J97" i="7" s="1"/>
  <c r="J141" i="7" s="1"/>
  <c r="J185" i="7" s="1"/>
  <c r="J207" i="7" s="1"/>
  <c r="J229" i="7" s="1"/>
  <c r="J251" i="7" s="1"/>
  <c r="J273" i="7" s="1"/>
  <c r="J295" i="7" s="1"/>
  <c r="J317" i="7" s="1"/>
  <c r="B75" i="7"/>
  <c r="C90" i="7" s="1"/>
  <c r="J74" i="7"/>
  <c r="J96" i="7" s="1"/>
  <c r="J118" i="7" s="1"/>
  <c r="J162" i="7" s="1"/>
  <c r="J73" i="7"/>
  <c r="J95" i="7" s="1"/>
  <c r="J139" i="7" s="1"/>
  <c r="J183" i="7" s="1"/>
  <c r="J72" i="7"/>
  <c r="J94" i="7" s="1"/>
  <c r="J138" i="7" s="1"/>
  <c r="J182" i="7" s="1"/>
  <c r="J204" i="7" s="1"/>
  <c r="J226" i="7" s="1"/>
  <c r="J248" i="7" s="1"/>
  <c r="J270" i="7" s="1"/>
  <c r="J292" i="7" s="1"/>
  <c r="J314" i="7" s="1"/>
  <c r="M69" i="7"/>
  <c r="M91" i="7" s="1"/>
  <c r="M135" i="7" s="1"/>
  <c r="M179" i="7" s="1"/>
  <c r="M333" i="7" s="1"/>
  <c r="L69" i="7"/>
  <c r="L91" i="7" s="1"/>
  <c r="L135" i="7" s="1"/>
  <c r="L179" i="7" s="1"/>
  <c r="K69" i="7"/>
  <c r="K91" i="7" s="1"/>
  <c r="K135" i="7" s="1"/>
  <c r="K179" i="7" s="1"/>
  <c r="K333" i="7" s="1"/>
  <c r="C69" i="7"/>
  <c r="C64" i="7"/>
  <c r="C56" i="7"/>
  <c r="C68" i="7"/>
  <c r="M51" i="7"/>
  <c r="M73" i="7" s="1"/>
  <c r="M95" i="7" s="1"/>
  <c r="M139" i="7" s="1"/>
  <c r="M183" i="7" s="1"/>
  <c r="L51" i="7"/>
  <c r="L73" i="7" s="1"/>
  <c r="L95" i="7" s="1"/>
  <c r="L139" i="7" s="1"/>
  <c r="L183" i="7" s="1"/>
  <c r="K51" i="7"/>
  <c r="K73" i="7" s="1"/>
  <c r="K95" i="7" s="1"/>
  <c r="K139" i="7" s="1"/>
  <c r="K183" i="7" s="1"/>
  <c r="B51" i="7"/>
  <c r="C60" i="7" s="1"/>
  <c r="M50" i="7"/>
  <c r="M72" i="7" s="1"/>
  <c r="M94" i="7" s="1"/>
  <c r="M138" i="7" s="1"/>
  <c r="M182" i="7" s="1"/>
  <c r="L50" i="7"/>
  <c r="L72" i="7" s="1"/>
  <c r="L94" i="7" s="1"/>
  <c r="L138" i="7" s="1"/>
  <c r="L182" i="7" s="1"/>
  <c r="K50" i="7"/>
  <c r="K72" i="7" s="1"/>
  <c r="M49" i="7"/>
  <c r="L49" i="7"/>
  <c r="K49" i="7"/>
  <c r="M48" i="7"/>
  <c r="M70" i="7" s="1"/>
  <c r="M92" i="7" s="1"/>
  <c r="M136" i="7" s="1"/>
  <c r="M180" i="7" s="1"/>
  <c r="L48" i="7"/>
  <c r="L70" i="7" s="1"/>
  <c r="L92" i="7" s="1"/>
  <c r="L136" i="7" s="1"/>
  <c r="L180" i="7" s="1"/>
  <c r="K48" i="7"/>
  <c r="K70" i="7" s="1"/>
  <c r="K92" i="7" s="1"/>
  <c r="K136" i="7" s="1"/>
  <c r="K180" i="7" s="1"/>
  <c r="C42" i="7"/>
  <c r="C40" i="7"/>
  <c r="C38" i="7"/>
  <c r="C36" i="7"/>
  <c r="C33" i="7"/>
  <c r="C29" i="7"/>
  <c r="C27" i="7"/>
  <c r="C24" i="7"/>
  <c r="C20" i="7"/>
  <c r="C18" i="7"/>
  <c r="C16" i="7"/>
  <c r="C14" i="7"/>
  <c r="C12" i="7"/>
  <c r="C8" i="7"/>
  <c r="C6" i="7"/>
  <c r="C4" i="7"/>
  <c r="C2" i="7"/>
  <c r="B121" i="6"/>
  <c r="B141" i="6"/>
  <c r="B161" i="6"/>
  <c r="C168" i="6" s="1"/>
  <c r="B181" i="6"/>
  <c r="C148" i="6"/>
  <c r="C128" i="6"/>
  <c r="C141" i="6"/>
  <c r="B138" i="6"/>
  <c r="C156" i="6"/>
  <c r="C152" i="6"/>
  <c r="L147" i="6"/>
  <c r="L145" i="6"/>
  <c r="K145" i="6"/>
  <c r="J145" i="6"/>
  <c r="C144" i="6"/>
  <c r="C140" i="6"/>
  <c r="B140" i="6"/>
  <c r="L139" i="6"/>
  <c r="K139" i="6"/>
  <c r="B139" i="6"/>
  <c r="K138" i="6"/>
  <c r="C138" i="6"/>
  <c r="K137" i="6"/>
  <c r="C137" i="6"/>
  <c r="B178" i="6"/>
  <c r="B98" i="6"/>
  <c r="C196" i="6"/>
  <c r="C192" i="6"/>
  <c r="L185" i="6"/>
  <c r="K185" i="6"/>
  <c r="J185" i="6"/>
  <c r="C184" i="6"/>
  <c r="C188" i="6"/>
  <c r="L179" i="6"/>
  <c r="K179" i="6"/>
  <c r="C178" i="6"/>
  <c r="K177" i="6"/>
  <c r="C177" i="6"/>
  <c r="C176" i="6"/>
  <c r="C172" i="6"/>
  <c r="L165" i="6"/>
  <c r="K165" i="6"/>
  <c r="J165" i="6"/>
  <c r="C164" i="6"/>
  <c r="K161" i="6"/>
  <c r="K181" i="6" s="1"/>
  <c r="B160" i="6"/>
  <c r="L159" i="6"/>
  <c r="K159" i="6"/>
  <c r="B159" i="6"/>
  <c r="K158" i="6"/>
  <c r="K178" i="6" s="1"/>
  <c r="B158" i="6"/>
  <c r="C158" i="6" s="1"/>
  <c r="K157" i="6"/>
  <c r="C157" i="6"/>
  <c r="L117" i="6"/>
  <c r="K117" i="6"/>
  <c r="C63" i="6"/>
  <c r="C61" i="6"/>
  <c r="C43" i="6"/>
  <c r="C41" i="6"/>
  <c r="B83" i="6"/>
  <c r="J99" i="6"/>
  <c r="J103" i="6"/>
  <c r="J104" i="6"/>
  <c r="J124" i="6" s="1"/>
  <c r="J105" i="6"/>
  <c r="J107" i="6"/>
  <c r="J127" i="6" s="1"/>
  <c r="L97" i="6"/>
  <c r="L98" i="6"/>
  <c r="L99" i="6"/>
  <c r="L100" i="6"/>
  <c r="L120" i="6" s="1"/>
  <c r="L101" i="6"/>
  <c r="L121" i="6" s="1"/>
  <c r="L161" i="6" s="1"/>
  <c r="L181" i="6" s="1"/>
  <c r="L104" i="6"/>
  <c r="L105" i="6"/>
  <c r="K98" i="6"/>
  <c r="K99" i="6"/>
  <c r="K101" i="6"/>
  <c r="K121" i="6" s="1"/>
  <c r="K141" i="6" s="1"/>
  <c r="K105" i="6"/>
  <c r="K125" i="6" s="1"/>
  <c r="K107" i="6"/>
  <c r="K127" i="6" s="1"/>
  <c r="L125" i="6"/>
  <c r="J123" i="6"/>
  <c r="L118" i="6"/>
  <c r="K118" i="6"/>
  <c r="J125" i="6"/>
  <c r="L124" i="6"/>
  <c r="L119" i="6"/>
  <c r="K119" i="6"/>
  <c r="J87" i="6"/>
  <c r="L86" i="6"/>
  <c r="L106" i="6" s="1"/>
  <c r="L126" i="6" s="1"/>
  <c r="J86" i="6"/>
  <c r="J106" i="6" s="1"/>
  <c r="J126" i="6" s="1"/>
  <c r="K85" i="6"/>
  <c r="J84" i="6"/>
  <c r="J83" i="6"/>
  <c r="J82" i="6"/>
  <c r="J102" i="6" s="1"/>
  <c r="J122" i="6" s="1"/>
  <c r="J80" i="6"/>
  <c r="J100" i="6" s="1"/>
  <c r="J120" i="6" s="1"/>
  <c r="J60" i="6"/>
  <c r="J61" i="6"/>
  <c r="J81" i="6" s="1"/>
  <c r="J101" i="6" s="1"/>
  <c r="J121" i="6" s="1"/>
  <c r="J62" i="6"/>
  <c r="J63" i="6"/>
  <c r="J64" i="6"/>
  <c r="J65" i="6"/>
  <c r="J85" i="6" s="1"/>
  <c r="J66" i="6"/>
  <c r="J67" i="6"/>
  <c r="K65" i="6"/>
  <c r="L65" i="6"/>
  <c r="L85" i="6" s="1"/>
  <c r="K66" i="6"/>
  <c r="K86" i="6" s="1"/>
  <c r="K106" i="6" s="1"/>
  <c r="K126" i="6" s="1"/>
  <c r="L66" i="6"/>
  <c r="K67" i="6"/>
  <c r="K87" i="6" s="1"/>
  <c r="L67" i="6"/>
  <c r="L87" i="6" s="1"/>
  <c r="L107" i="6" s="1"/>
  <c r="L127" i="6" s="1"/>
  <c r="L167" i="6" s="1"/>
  <c r="L187" i="6" s="1"/>
  <c r="K59" i="6"/>
  <c r="K79" i="6" s="1"/>
  <c r="L61" i="6"/>
  <c r="L81" i="6" s="1"/>
  <c r="L57" i="6"/>
  <c r="L77" i="6" s="1"/>
  <c r="K57" i="6"/>
  <c r="K77" i="6" s="1"/>
  <c r="K97" i="6" s="1"/>
  <c r="B78" i="6"/>
  <c r="C2425" i="6"/>
  <c r="C2419" i="6"/>
  <c r="C2289" i="6"/>
  <c r="C2283" i="6"/>
  <c r="C2153" i="6"/>
  <c r="C2147" i="6"/>
  <c r="C2017" i="6"/>
  <c r="C2011" i="6"/>
  <c r="C1881" i="6"/>
  <c r="C1875" i="6"/>
  <c r="C1745" i="6"/>
  <c r="C1739" i="6"/>
  <c r="C1609" i="6"/>
  <c r="C1603" i="6"/>
  <c r="C1473" i="6"/>
  <c r="C1467" i="6"/>
  <c r="C1065" i="6"/>
  <c r="C1059" i="6"/>
  <c r="C929" i="6"/>
  <c r="C923" i="6"/>
  <c r="C238" i="6"/>
  <c r="C236" i="6"/>
  <c r="C234" i="6"/>
  <c r="C232" i="6"/>
  <c r="C230" i="6"/>
  <c r="C228" i="6"/>
  <c r="C225" i="6"/>
  <c r="C224" i="6"/>
  <c r="C220" i="6"/>
  <c r="C216" i="6"/>
  <c r="C214" i="6"/>
  <c r="C213" i="6"/>
  <c r="C212" i="6"/>
  <c r="C204" i="6"/>
  <c r="C200" i="6"/>
  <c r="C198" i="6"/>
  <c r="C197" i="6"/>
  <c r="C136" i="6"/>
  <c r="C132" i="6"/>
  <c r="C124" i="6"/>
  <c r="C117" i="6"/>
  <c r="C116" i="6"/>
  <c r="C112" i="6"/>
  <c r="C104" i="6"/>
  <c r="B103" i="6"/>
  <c r="B101" i="6"/>
  <c r="C108" i="6" s="1"/>
  <c r="C98" i="6"/>
  <c r="C97" i="6"/>
  <c r="C92" i="6"/>
  <c r="C88" i="6"/>
  <c r="C84" i="6"/>
  <c r="C96" i="6"/>
  <c r="B81" i="6"/>
  <c r="C78" i="6"/>
  <c r="C77" i="6"/>
  <c r="C76" i="6"/>
  <c r="C72" i="6"/>
  <c r="C64" i="6"/>
  <c r="B63" i="6"/>
  <c r="B61" i="6"/>
  <c r="C68" i="6" s="1"/>
  <c r="B58" i="6"/>
  <c r="C58" i="6" s="1"/>
  <c r="C57" i="6"/>
  <c r="C52" i="6"/>
  <c r="C48" i="6"/>
  <c r="C44" i="6"/>
  <c r="B43" i="6"/>
  <c r="C56" i="6" s="1"/>
  <c r="L41" i="6"/>
  <c r="K41" i="6"/>
  <c r="K61" i="6" s="1"/>
  <c r="K81" i="6" s="1"/>
  <c r="B41" i="6"/>
  <c r="L40" i="6"/>
  <c r="L60" i="6" s="1"/>
  <c r="L80" i="6" s="1"/>
  <c r="K40" i="6"/>
  <c r="K60" i="6" s="1"/>
  <c r="L39" i="6"/>
  <c r="L44" i="6" s="1"/>
  <c r="L64" i="6" s="1"/>
  <c r="L84" i="6" s="1"/>
  <c r="K39" i="6"/>
  <c r="L38" i="6"/>
  <c r="L58" i="6" s="1"/>
  <c r="L78" i="6" s="1"/>
  <c r="K38" i="6"/>
  <c r="K58" i="6" s="1"/>
  <c r="K78" i="6" s="1"/>
  <c r="B38" i="6"/>
  <c r="C32" i="6"/>
  <c r="C30" i="6"/>
  <c r="C28" i="6"/>
  <c r="C26" i="6"/>
  <c r="C24" i="6"/>
  <c r="C22" i="6"/>
  <c r="C20" i="6"/>
  <c r="C18" i="6"/>
  <c r="C16" i="6"/>
  <c r="C14" i="6"/>
  <c r="B201" i="6"/>
  <c r="C208" i="6" s="1"/>
  <c r="C8" i="6"/>
  <c r="C6" i="6"/>
  <c r="C4" i="6"/>
  <c r="C2" i="6"/>
  <c r="C16" i="5"/>
  <c r="J74" i="5"/>
  <c r="J75" i="5"/>
  <c r="J76" i="5"/>
  <c r="J77" i="5"/>
  <c r="J78" i="5"/>
  <c r="J79" i="5"/>
  <c r="J80" i="5"/>
  <c r="J73" i="5"/>
  <c r="K74" i="5"/>
  <c r="K78" i="5"/>
  <c r="K79" i="5"/>
  <c r="K80" i="5"/>
  <c r="K59" i="5"/>
  <c r="K60" i="5"/>
  <c r="K61" i="5"/>
  <c r="B57" i="5"/>
  <c r="C68" i="5" s="1"/>
  <c r="B52" i="5"/>
  <c r="B30" i="5"/>
  <c r="C30" i="5" s="1"/>
  <c r="C2297" i="5"/>
  <c r="C2291" i="5"/>
  <c r="C2161" i="5"/>
  <c r="C2155" i="5"/>
  <c r="C2025" i="5"/>
  <c r="C2019" i="5"/>
  <c r="C1889" i="5"/>
  <c r="C1883" i="5"/>
  <c r="C1753" i="5"/>
  <c r="C1747" i="5"/>
  <c r="C1617" i="5"/>
  <c r="C1611" i="5"/>
  <c r="C1481" i="5"/>
  <c r="C1475" i="5"/>
  <c r="C1345" i="5"/>
  <c r="C1339" i="5"/>
  <c r="C937" i="5"/>
  <c r="C931" i="5"/>
  <c r="C801" i="5"/>
  <c r="C795" i="5"/>
  <c r="C110" i="5"/>
  <c r="C108" i="5"/>
  <c r="C106" i="5"/>
  <c r="C104" i="5"/>
  <c r="C102" i="5"/>
  <c r="C100" i="5"/>
  <c r="C97" i="5"/>
  <c r="C96" i="5"/>
  <c r="C92" i="5"/>
  <c r="C88" i="5"/>
  <c r="C86" i="5"/>
  <c r="C84" i="5"/>
  <c r="C83" i="5"/>
  <c r="C75" i="5"/>
  <c r="B74" i="5"/>
  <c r="C79" i="5" s="1"/>
  <c r="C73" i="5"/>
  <c r="C71" i="5"/>
  <c r="C69" i="5"/>
  <c r="C64" i="5"/>
  <c r="M61" i="5"/>
  <c r="L61" i="5"/>
  <c r="J61" i="5"/>
  <c r="M60" i="5"/>
  <c r="L60" i="5"/>
  <c r="J60" i="5"/>
  <c r="C56" i="5"/>
  <c r="M59" i="5"/>
  <c r="L59" i="5"/>
  <c r="J59" i="5"/>
  <c r="M58" i="5"/>
  <c r="J58" i="5"/>
  <c r="J57" i="5"/>
  <c r="J56" i="5"/>
  <c r="L55" i="5"/>
  <c r="J55" i="5"/>
  <c r="B55" i="5"/>
  <c r="C60" i="5" s="1"/>
  <c r="M54" i="5"/>
  <c r="L54" i="5"/>
  <c r="J54" i="5"/>
  <c r="M53" i="5"/>
  <c r="M52" i="5"/>
  <c r="M51" i="5"/>
  <c r="L51" i="5"/>
  <c r="K51" i="5"/>
  <c r="K70" i="5" s="1"/>
  <c r="C51" i="5"/>
  <c r="C46" i="5"/>
  <c r="C38" i="5"/>
  <c r="B73" i="5"/>
  <c r="M57" i="5"/>
  <c r="B35" i="5"/>
  <c r="C50" i="5" s="1"/>
  <c r="M55" i="5"/>
  <c r="K33" i="5"/>
  <c r="K55" i="5" s="1"/>
  <c r="B33" i="5"/>
  <c r="C42" i="5" s="1"/>
  <c r="K32" i="5"/>
  <c r="K54" i="5" s="1"/>
  <c r="K31" i="5"/>
  <c r="K72" i="5" s="1"/>
  <c r="L52" i="5"/>
  <c r="K30" i="5"/>
  <c r="K52" i="5" s="1"/>
  <c r="C24" i="5"/>
  <c r="C22" i="5"/>
  <c r="C20" i="5"/>
  <c r="C18" i="5"/>
  <c r="C14" i="5"/>
  <c r="C12" i="5"/>
  <c r="C8" i="5"/>
  <c r="C6" i="5"/>
  <c r="C4" i="5"/>
  <c r="C2" i="5"/>
  <c r="L105" i="4"/>
  <c r="J107" i="4"/>
  <c r="L107" i="4"/>
  <c r="L129" i="4" s="1"/>
  <c r="J108" i="4"/>
  <c r="M108" i="4"/>
  <c r="J109" i="4"/>
  <c r="J112" i="4"/>
  <c r="K112" i="4"/>
  <c r="J113" i="4"/>
  <c r="M113" i="4"/>
  <c r="J114" i="4"/>
  <c r="M114" i="4"/>
  <c r="K126" i="4"/>
  <c r="L127" i="4"/>
  <c r="J129" i="4"/>
  <c r="J151" i="4" s="1"/>
  <c r="J173" i="4" s="1"/>
  <c r="J195" i="4" s="1"/>
  <c r="J217" i="4" s="1"/>
  <c r="J239" i="4" s="1"/>
  <c r="J261" i="4" s="1"/>
  <c r="J130" i="4"/>
  <c r="M130" i="4"/>
  <c r="C16" i="4"/>
  <c r="C2510" i="4"/>
  <c r="C2504" i="4"/>
  <c r="C2374" i="4"/>
  <c r="C2368" i="4"/>
  <c r="C2238" i="4"/>
  <c r="C2232" i="4"/>
  <c r="C2102" i="4"/>
  <c r="C2096" i="4"/>
  <c r="C1966" i="4"/>
  <c r="C1960" i="4"/>
  <c r="C1830" i="4"/>
  <c r="C1824" i="4"/>
  <c r="C1694" i="4"/>
  <c r="C1688" i="4"/>
  <c r="C1558" i="4"/>
  <c r="C1552" i="4"/>
  <c r="C1150" i="4"/>
  <c r="C1144" i="4"/>
  <c r="C1014" i="4"/>
  <c r="C1008" i="4"/>
  <c r="C323" i="4"/>
  <c r="C321" i="4"/>
  <c r="C319" i="4"/>
  <c r="C317" i="4"/>
  <c r="C315" i="4"/>
  <c r="C313" i="4"/>
  <c r="C310" i="4"/>
  <c r="C309" i="4"/>
  <c r="C305" i="4"/>
  <c r="C301" i="4"/>
  <c r="C299" i="4"/>
  <c r="C298" i="4"/>
  <c r="C297" i="4"/>
  <c r="C289" i="4"/>
  <c r="B284" i="4"/>
  <c r="C293" i="4" s="1"/>
  <c r="C283" i="4"/>
  <c r="C281" i="4"/>
  <c r="C236" i="4"/>
  <c r="C235" i="4"/>
  <c r="C231" i="4"/>
  <c r="C223" i="4"/>
  <c r="B218" i="4"/>
  <c r="C227" i="4" s="1"/>
  <c r="C192" i="4"/>
  <c r="C191" i="4"/>
  <c r="C187" i="4"/>
  <c r="C179" i="4"/>
  <c r="B174" i="4"/>
  <c r="C183" i="4" s="1"/>
  <c r="C104" i="4"/>
  <c r="C99" i="4"/>
  <c r="C91" i="4"/>
  <c r="B88" i="4"/>
  <c r="C103" i="4" s="1"/>
  <c r="B86" i="4"/>
  <c r="C95" i="4" s="1"/>
  <c r="B83" i="4"/>
  <c r="C82" i="4"/>
  <c r="C77" i="4"/>
  <c r="M70" i="4"/>
  <c r="M92" i="4" s="1"/>
  <c r="L70" i="4"/>
  <c r="L92" i="4" s="1"/>
  <c r="K70" i="4"/>
  <c r="K92" i="4" s="1"/>
  <c r="J70" i="4"/>
  <c r="J92" i="4" s="1"/>
  <c r="M69" i="4"/>
  <c r="M91" i="4" s="1"/>
  <c r="L69" i="4"/>
  <c r="L91" i="4" s="1"/>
  <c r="K69" i="4"/>
  <c r="K91" i="4" s="1"/>
  <c r="J69" i="4"/>
  <c r="J91" i="4" s="1"/>
  <c r="C69" i="4"/>
  <c r="M68" i="4"/>
  <c r="M90" i="4" s="1"/>
  <c r="M112" i="4" s="1"/>
  <c r="L68" i="4"/>
  <c r="L90" i="4" s="1"/>
  <c r="K68" i="4"/>
  <c r="K90" i="4" s="1"/>
  <c r="J68" i="4"/>
  <c r="J90" i="4" s="1"/>
  <c r="J67" i="4"/>
  <c r="J89" i="4" s="1"/>
  <c r="J66" i="4"/>
  <c r="J88" i="4" s="1"/>
  <c r="B66" i="4"/>
  <c r="C81" i="4" s="1"/>
  <c r="J65" i="4"/>
  <c r="J87" i="4" s="1"/>
  <c r="J64" i="4"/>
  <c r="J86" i="4" s="1"/>
  <c r="B64" i="4"/>
  <c r="C73" i="4" s="1"/>
  <c r="J63" i="4"/>
  <c r="J85" i="4" s="1"/>
  <c r="B61" i="4"/>
  <c r="M60" i="4"/>
  <c r="M82" i="4" s="1"/>
  <c r="M104" i="4" s="1"/>
  <c r="L60" i="4"/>
  <c r="L82" i="4" s="1"/>
  <c r="L104" i="4" s="1"/>
  <c r="L126" i="4" s="1"/>
  <c r="K60" i="4"/>
  <c r="K82" i="4" s="1"/>
  <c r="K104" i="4" s="1"/>
  <c r="C60" i="4"/>
  <c r="C55" i="4"/>
  <c r="C47" i="4"/>
  <c r="B44" i="4"/>
  <c r="C59" i="4" s="1"/>
  <c r="M42" i="4"/>
  <c r="M64" i="4" s="1"/>
  <c r="M86" i="4" s="1"/>
  <c r="L42" i="4"/>
  <c r="L64" i="4" s="1"/>
  <c r="L86" i="4" s="1"/>
  <c r="L108" i="4" s="1"/>
  <c r="L130" i="4" s="1"/>
  <c r="K42" i="4"/>
  <c r="K64" i="4" s="1"/>
  <c r="K86" i="4" s="1"/>
  <c r="K108" i="4" s="1"/>
  <c r="K130" i="4" s="1"/>
  <c r="B42" i="4"/>
  <c r="C51" i="4" s="1"/>
  <c r="M41" i="4"/>
  <c r="M63" i="4" s="1"/>
  <c r="M85" i="4" s="1"/>
  <c r="M107" i="4" s="1"/>
  <c r="M129" i="4" s="1"/>
  <c r="L41" i="4"/>
  <c r="L63" i="4" s="1"/>
  <c r="L85" i="4" s="1"/>
  <c r="K41" i="4"/>
  <c r="K63" i="4" s="1"/>
  <c r="M40" i="4"/>
  <c r="L40" i="4"/>
  <c r="K40" i="4"/>
  <c r="M39" i="4"/>
  <c r="M61" i="4" s="1"/>
  <c r="M83" i="4" s="1"/>
  <c r="M105" i="4" s="1"/>
  <c r="M127" i="4" s="1"/>
  <c r="L39" i="4"/>
  <c r="L61" i="4" s="1"/>
  <c r="L83" i="4" s="1"/>
  <c r="K39" i="4"/>
  <c r="K61" i="4" s="1"/>
  <c r="K83" i="4" s="1"/>
  <c r="K105" i="4" s="1"/>
  <c r="K127" i="4" s="1"/>
  <c r="B39" i="4"/>
  <c r="C33" i="4"/>
  <c r="C29" i="4"/>
  <c r="B29" i="4"/>
  <c r="C31" i="4" s="1"/>
  <c r="C27" i="4"/>
  <c r="C24" i="4"/>
  <c r="C22" i="4"/>
  <c r="C20" i="4"/>
  <c r="C18" i="4"/>
  <c r="C14" i="4"/>
  <c r="C12" i="4"/>
  <c r="C8" i="4"/>
  <c r="C6" i="4"/>
  <c r="C4" i="4"/>
  <c r="C2" i="4"/>
  <c r="C16" i="2"/>
  <c r="B183" i="2"/>
  <c r="B205" i="2"/>
  <c r="B227" i="2"/>
  <c r="C236" i="2"/>
  <c r="B249" i="2"/>
  <c r="C258" i="2" s="1"/>
  <c r="C273" i="2"/>
  <c r="C271" i="2"/>
  <c r="B271" i="2"/>
  <c r="B268" i="2"/>
  <c r="B246" i="2"/>
  <c r="B224" i="2"/>
  <c r="B158" i="2"/>
  <c r="B136" i="2"/>
  <c r="B202" i="2"/>
  <c r="B180" i="2"/>
  <c r="C288" i="2"/>
  <c r="C284" i="2"/>
  <c r="M277" i="2"/>
  <c r="L277" i="2"/>
  <c r="K277" i="2"/>
  <c r="J277" i="2"/>
  <c r="M276" i="2"/>
  <c r="L276" i="2"/>
  <c r="K276" i="2"/>
  <c r="J276" i="2"/>
  <c r="C276" i="2"/>
  <c r="M275" i="2"/>
  <c r="L275" i="2"/>
  <c r="K275" i="2"/>
  <c r="J275" i="2"/>
  <c r="M274" i="2"/>
  <c r="L274" i="2"/>
  <c r="K274" i="2"/>
  <c r="J274" i="2"/>
  <c r="M273" i="2"/>
  <c r="L273" i="2"/>
  <c r="K273" i="2"/>
  <c r="J273" i="2"/>
  <c r="M272" i="2"/>
  <c r="L272" i="2"/>
  <c r="K272" i="2"/>
  <c r="J272" i="2"/>
  <c r="M271" i="2"/>
  <c r="L271" i="2"/>
  <c r="K271" i="2"/>
  <c r="J271" i="2"/>
  <c r="C280" i="2"/>
  <c r="M270" i="2"/>
  <c r="L270" i="2"/>
  <c r="K270" i="2"/>
  <c r="J270" i="2"/>
  <c r="M269" i="2"/>
  <c r="L269" i="2"/>
  <c r="K269" i="2"/>
  <c r="B269" i="2"/>
  <c r="M268" i="2"/>
  <c r="L268" i="2"/>
  <c r="K268" i="2"/>
  <c r="K267" i="2"/>
  <c r="C267" i="2"/>
  <c r="C266" i="2"/>
  <c r="C262" i="2"/>
  <c r="M255" i="2"/>
  <c r="L255" i="2"/>
  <c r="K255" i="2"/>
  <c r="J255" i="2"/>
  <c r="M254" i="2"/>
  <c r="L254" i="2"/>
  <c r="K254" i="2"/>
  <c r="J254" i="2"/>
  <c r="C254" i="2"/>
  <c r="M253" i="2"/>
  <c r="L253" i="2"/>
  <c r="K253" i="2"/>
  <c r="J253" i="2"/>
  <c r="M252" i="2"/>
  <c r="L252" i="2"/>
  <c r="K252" i="2"/>
  <c r="J252" i="2"/>
  <c r="M251" i="2"/>
  <c r="L251" i="2"/>
  <c r="K251" i="2"/>
  <c r="J251" i="2"/>
  <c r="M250" i="2"/>
  <c r="C253" i="2" s="1"/>
  <c r="L250" i="2"/>
  <c r="C251" i="2" s="1"/>
  <c r="K250" i="2"/>
  <c r="J250" i="2"/>
  <c r="M249" i="2"/>
  <c r="L249" i="2"/>
  <c r="K249" i="2"/>
  <c r="J249" i="2"/>
  <c r="C249" i="2"/>
  <c r="M248" i="2"/>
  <c r="L248" i="2"/>
  <c r="K248" i="2"/>
  <c r="J248" i="2"/>
  <c r="M247" i="2"/>
  <c r="L247" i="2"/>
  <c r="K247" i="2"/>
  <c r="B247" i="2"/>
  <c r="M246" i="2"/>
  <c r="L246" i="2"/>
  <c r="K246" i="2"/>
  <c r="K245" i="2"/>
  <c r="C245" i="2"/>
  <c r="C244" i="2"/>
  <c r="C240" i="2"/>
  <c r="M233" i="2"/>
  <c r="L233" i="2"/>
  <c r="K233" i="2"/>
  <c r="J233" i="2"/>
  <c r="M232" i="2"/>
  <c r="L232" i="2"/>
  <c r="K232" i="2"/>
  <c r="J232" i="2"/>
  <c r="C232" i="2"/>
  <c r="M231" i="2"/>
  <c r="L231" i="2"/>
  <c r="K231" i="2"/>
  <c r="J231" i="2"/>
  <c r="M230" i="2"/>
  <c r="L230" i="2"/>
  <c r="K230" i="2"/>
  <c r="J230" i="2"/>
  <c r="M229" i="2"/>
  <c r="L229" i="2"/>
  <c r="K229" i="2"/>
  <c r="J229" i="2"/>
  <c r="M228" i="2"/>
  <c r="C231" i="2" s="1"/>
  <c r="L228" i="2"/>
  <c r="C229" i="2" s="1"/>
  <c r="K228" i="2"/>
  <c r="J228" i="2"/>
  <c r="M227" i="2"/>
  <c r="L227" i="2"/>
  <c r="K227" i="2"/>
  <c r="J227" i="2"/>
  <c r="C227" i="2"/>
  <c r="M226" i="2"/>
  <c r="L226" i="2"/>
  <c r="K226" i="2"/>
  <c r="J226" i="2"/>
  <c r="M225" i="2"/>
  <c r="L225" i="2"/>
  <c r="K225" i="2"/>
  <c r="B225" i="2"/>
  <c r="M224" i="2"/>
  <c r="L224" i="2"/>
  <c r="K224" i="2"/>
  <c r="K223" i="2"/>
  <c r="C223" i="2"/>
  <c r="C222" i="2"/>
  <c r="C218" i="2"/>
  <c r="M211" i="2"/>
  <c r="L211" i="2"/>
  <c r="K211" i="2"/>
  <c r="J211" i="2"/>
  <c r="M210" i="2"/>
  <c r="L210" i="2"/>
  <c r="K210" i="2"/>
  <c r="J210" i="2"/>
  <c r="C210" i="2"/>
  <c r="M209" i="2"/>
  <c r="L209" i="2"/>
  <c r="K209" i="2"/>
  <c r="J209" i="2"/>
  <c r="M208" i="2"/>
  <c r="L208" i="2"/>
  <c r="K208" i="2"/>
  <c r="J208" i="2"/>
  <c r="M207" i="2"/>
  <c r="L207" i="2"/>
  <c r="K207" i="2"/>
  <c r="J207" i="2"/>
  <c r="M206" i="2"/>
  <c r="C209" i="2" s="1"/>
  <c r="L206" i="2"/>
  <c r="C207" i="2" s="1"/>
  <c r="K206" i="2"/>
  <c r="J206" i="2"/>
  <c r="M205" i="2"/>
  <c r="L205" i="2"/>
  <c r="K205" i="2"/>
  <c r="J205" i="2"/>
  <c r="C205" i="2"/>
  <c r="C214" i="2"/>
  <c r="M204" i="2"/>
  <c r="L204" i="2"/>
  <c r="K204" i="2"/>
  <c r="J204" i="2"/>
  <c r="M203" i="2"/>
  <c r="L203" i="2"/>
  <c r="K203" i="2"/>
  <c r="B203" i="2"/>
  <c r="M202" i="2"/>
  <c r="L202" i="2"/>
  <c r="K202" i="2"/>
  <c r="K201" i="2"/>
  <c r="C201" i="2"/>
  <c r="C200" i="2"/>
  <c r="C196" i="2"/>
  <c r="M189" i="2"/>
  <c r="L189" i="2"/>
  <c r="K189" i="2"/>
  <c r="J189" i="2"/>
  <c r="M188" i="2"/>
  <c r="L188" i="2"/>
  <c r="K188" i="2"/>
  <c r="J188" i="2"/>
  <c r="C188" i="2"/>
  <c r="M187" i="2"/>
  <c r="L187" i="2"/>
  <c r="K187" i="2"/>
  <c r="J187" i="2"/>
  <c r="M186" i="2"/>
  <c r="L186" i="2"/>
  <c r="K186" i="2"/>
  <c r="J186" i="2"/>
  <c r="M185" i="2"/>
  <c r="L185" i="2"/>
  <c r="K185" i="2"/>
  <c r="J185" i="2"/>
  <c r="M184" i="2"/>
  <c r="C187" i="2" s="1"/>
  <c r="L184" i="2"/>
  <c r="C185" i="2" s="1"/>
  <c r="K184" i="2"/>
  <c r="J184" i="2"/>
  <c r="M183" i="2"/>
  <c r="L183" i="2"/>
  <c r="K183" i="2"/>
  <c r="J183" i="2"/>
  <c r="C183" i="2"/>
  <c r="C192" i="2"/>
  <c r="M182" i="2"/>
  <c r="L182" i="2"/>
  <c r="K182" i="2"/>
  <c r="J182" i="2"/>
  <c r="M181" i="2"/>
  <c r="L181" i="2"/>
  <c r="K181" i="2"/>
  <c r="B181" i="2"/>
  <c r="M180" i="2"/>
  <c r="L180" i="2"/>
  <c r="K180" i="2"/>
  <c r="K179" i="2"/>
  <c r="C179" i="2"/>
  <c r="C289" i="2"/>
  <c r="K289" i="2"/>
  <c r="L289" i="2"/>
  <c r="C290" i="2"/>
  <c r="K290" i="2"/>
  <c r="L290" i="2"/>
  <c r="M290" i="2"/>
  <c r="B291" i="2"/>
  <c r="K291" i="2"/>
  <c r="L291" i="2"/>
  <c r="M291" i="2"/>
  <c r="B292" i="2"/>
  <c r="C292" i="2"/>
  <c r="J292" i="2"/>
  <c r="K292" i="2"/>
  <c r="L292" i="2"/>
  <c r="M292" i="2"/>
  <c r="B293" i="2"/>
  <c r="C293" i="2"/>
  <c r="J293" i="2"/>
  <c r="K293" i="2"/>
  <c r="L293" i="2"/>
  <c r="M293" i="2"/>
  <c r="J294" i="2"/>
  <c r="K294" i="2"/>
  <c r="L294" i="2"/>
  <c r="M294" i="2"/>
  <c r="J295" i="2"/>
  <c r="K295" i="2"/>
  <c r="L295" i="2"/>
  <c r="C295" i="2" s="1"/>
  <c r="M295" i="2"/>
  <c r="J296" i="2"/>
  <c r="K296" i="2"/>
  <c r="L296" i="2"/>
  <c r="M296" i="2"/>
  <c r="C297" i="2"/>
  <c r="J297" i="2"/>
  <c r="K297" i="2"/>
  <c r="L297" i="2"/>
  <c r="M297" i="2"/>
  <c r="C298" i="2"/>
  <c r="J298" i="2"/>
  <c r="K298" i="2"/>
  <c r="L298" i="2"/>
  <c r="M298" i="2"/>
  <c r="J299" i="2"/>
  <c r="K299" i="2"/>
  <c r="L299" i="2"/>
  <c r="M299" i="2"/>
  <c r="C302" i="2"/>
  <c r="C306" i="2"/>
  <c r="C307" i="2"/>
  <c r="C308" i="2"/>
  <c r="B309" i="2"/>
  <c r="C310" i="2"/>
  <c r="B161" i="2"/>
  <c r="C170" i="2"/>
  <c r="C161" i="2"/>
  <c r="C178" i="2"/>
  <c r="C174" i="2"/>
  <c r="M167" i="2"/>
  <c r="L167" i="2"/>
  <c r="K167" i="2"/>
  <c r="J167" i="2"/>
  <c r="M166" i="2"/>
  <c r="L166" i="2"/>
  <c r="K166" i="2"/>
  <c r="J166" i="2"/>
  <c r="C166" i="2"/>
  <c r="M165" i="2"/>
  <c r="L165" i="2"/>
  <c r="K165" i="2"/>
  <c r="J165" i="2"/>
  <c r="M164" i="2"/>
  <c r="L164" i="2"/>
  <c r="K164" i="2"/>
  <c r="J164" i="2"/>
  <c r="M163" i="2"/>
  <c r="L163" i="2"/>
  <c r="K163" i="2"/>
  <c r="J163" i="2"/>
  <c r="M162" i="2"/>
  <c r="C165" i="2" s="1"/>
  <c r="L162" i="2"/>
  <c r="C163" i="2" s="1"/>
  <c r="K162" i="2"/>
  <c r="J162" i="2"/>
  <c r="M161" i="2"/>
  <c r="L161" i="2"/>
  <c r="K161" i="2"/>
  <c r="J161" i="2"/>
  <c r="M160" i="2"/>
  <c r="L160" i="2"/>
  <c r="K160" i="2"/>
  <c r="J160" i="2"/>
  <c r="M159" i="2"/>
  <c r="L159" i="2"/>
  <c r="K159" i="2"/>
  <c r="B159" i="2"/>
  <c r="M158" i="2"/>
  <c r="L158" i="2"/>
  <c r="K158" i="2"/>
  <c r="M157" i="2"/>
  <c r="M179" i="2" s="1"/>
  <c r="M201" i="2" s="1"/>
  <c r="M223" i="2" s="1"/>
  <c r="M245" i="2" s="1"/>
  <c r="M267" i="2" s="1"/>
  <c r="K157" i="2"/>
  <c r="C157" i="2"/>
  <c r="B117" i="2"/>
  <c r="B139" i="2"/>
  <c r="C148" i="2"/>
  <c r="C143" i="2"/>
  <c r="C141" i="2"/>
  <c r="C139" i="2"/>
  <c r="B119" i="2"/>
  <c r="C134" i="2" s="1"/>
  <c r="B95" i="2"/>
  <c r="B115" i="2"/>
  <c r="C119" i="2"/>
  <c r="C97" i="2"/>
  <c r="B114" i="2"/>
  <c r="C114" i="2" s="1"/>
  <c r="B92" i="2"/>
  <c r="C92" i="2" s="1"/>
  <c r="B70" i="2"/>
  <c r="B48" i="2"/>
  <c r="C122" i="2"/>
  <c r="C99" i="2"/>
  <c r="C121" i="2"/>
  <c r="B93" i="2"/>
  <c r="C51" i="2"/>
  <c r="C78" i="2"/>
  <c r="M123" i="2"/>
  <c r="M145" i="2" s="1"/>
  <c r="J72" i="2"/>
  <c r="J94" i="2" s="1"/>
  <c r="J116" i="2" s="1"/>
  <c r="J138" i="2" s="1"/>
  <c r="K72" i="2"/>
  <c r="J73" i="2"/>
  <c r="J95" i="2" s="1"/>
  <c r="J117" i="2" s="1"/>
  <c r="J139" i="2" s="1"/>
  <c r="J74" i="2"/>
  <c r="J96" i="2" s="1"/>
  <c r="J118" i="2" s="1"/>
  <c r="J140" i="2" s="1"/>
  <c r="J75" i="2"/>
  <c r="J97" i="2" s="1"/>
  <c r="J119" i="2" s="1"/>
  <c r="J141" i="2" s="1"/>
  <c r="J76" i="2"/>
  <c r="J98" i="2" s="1"/>
  <c r="J120" i="2" s="1"/>
  <c r="J142" i="2" s="1"/>
  <c r="J77" i="2"/>
  <c r="J99" i="2" s="1"/>
  <c r="J121" i="2" s="1"/>
  <c r="J143" i="2" s="1"/>
  <c r="K77" i="2"/>
  <c r="K99" i="2" s="1"/>
  <c r="K121" i="2" s="1"/>
  <c r="K143" i="2" s="1"/>
  <c r="L77" i="2"/>
  <c r="L99" i="2" s="1"/>
  <c r="L121" i="2" s="1"/>
  <c r="L143" i="2" s="1"/>
  <c r="M77" i="2"/>
  <c r="M99" i="2" s="1"/>
  <c r="M121" i="2" s="1"/>
  <c r="M143" i="2" s="1"/>
  <c r="J78" i="2"/>
  <c r="J100" i="2" s="1"/>
  <c r="J122" i="2" s="1"/>
  <c r="J144" i="2" s="1"/>
  <c r="K78" i="2"/>
  <c r="K100" i="2" s="1"/>
  <c r="K122" i="2" s="1"/>
  <c r="K144" i="2" s="1"/>
  <c r="L78" i="2"/>
  <c r="L100" i="2" s="1"/>
  <c r="L122" i="2" s="1"/>
  <c r="L144" i="2" s="1"/>
  <c r="M78" i="2"/>
  <c r="M100" i="2" s="1"/>
  <c r="M122" i="2" s="1"/>
  <c r="M144" i="2" s="1"/>
  <c r="J79" i="2"/>
  <c r="J101" i="2" s="1"/>
  <c r="J123" i="2" s="1"/>
  <c r="J145" i="2" s="1"/>
  <c r="K79" i="2"/>
  <c r="K101" i="2" s="1"/>
  <c r="K123" i="2" s="1"/>
  <c r="K145" i="2" s="1"/>
  <c r="L79" i="2"/>
  <c r="L101" i="2" s="1"/>
  <c r="L123" i="2" s="1"/>
  <c r="L145" i="2" s="1"/>
  <c r="M79" i="2"/>
  <c r="M101" i="2" s="1"/>
  <c r="K69" i="2"/>
  <c r="K91" i="2" s="1"/>
  <c r="K113" i="2" s="1"/>
  <c r="K135" i="2" s="1"/>
  <c r="L69" i="2"/>
  <c r="L91" i="2" s="1"/>
  <c r="L113" i="2" s="1"/>
  <c r="L135" i="2" s="1"/>
  <c r="L157" i="2" s="1"/>
  <c r="L179" i="2" s="1"/>
  <c r="L201" i="2" s="1"/>
  <c r="L223" i="2" s="1"/>
  <c r="L245" i="2" s="1"/>
  <c r="L267" i="2" s="1"/>
  <c r="M69" i="2"/>
  <c r="M91" i="2" s="1"/>
  <c r="M113" i="2" s="1"/>
  <c r="M135" i="2" s="1"/>
  <c r="M289" i="2" s="1"/>
  <c r="M48" i="2"/>
  <c r="M70" i="2" s="1"/>
  <c r="M92" i="2" s="1"/>
  <c r="M114" i="2" s="1"/>
  <c r="M136" i="2" s="1"/>
  <c r="B75" i="2"/>
  <c r="C90" i="2" s="1"/>
  <c r="M50" i="2"/>
  <c r="M72" i="2" s="1"/>
  <c r="M94" i="2" s="1"/>
  <c r="M116" i="2" s="1"/>
  <c r="M138" i="2" s="1"/>
  <c r="M51" i="2"/>
  <c r="M49" i="2"/>
  <c r="M71" i="2" s="1"/>
  <c r="M93" i="2" s="1"/>
  <c r="M115" i="2" s="1"/>
  <c r="M137" i="2" s="1"/>
  <c r="B39" i="2"/>
  <c r="C40" i="2" s="1"/>
  <c r="B29" i="2"/>
  <c r="C31" i="2" s="1"/>
  <c r="C42" i="2"/>
  <c r="C38" i="2"/>
  <c r="C36" i="2"/>
  <c r="C2365" i="3"/>
  <c r="C2359" i="3"/>
  <c r="C2229" i="3"/>
  <c r="C2223" i="3"/>
  <c r="C2093" i="3"/>
  <c r="C2087" i="3"/>
  <c r="C1957" i="3"/>
  <c r="C1951" i="3"/>
  <c r="C1821" i="3"/>
  <c r="C1815" i="3"/>
  <c r="C1685" i="3"/>
  <c r="C1679" i="3"/>
  <c r="C1549" i="3"/>
  <c r="C1543" i="3"/>
  <c r="C1413" i="3"/>
  <c r="C1407" i="3"/>
  <c r="C1005" i="3"/>
  <c r="C999" i="3"/>
  <c r="C869" i="3"/>
  <c r="C863" i="3"/>
  <c r="C178" i="3"/>
  <c r="C176" i="3"/>
  <c r="C174" i="3"/>
  <c r="C172" i="3"/>
  <c r="C170" i="3"/>
  <c r="C168" i="3"/>
  <c r="C165" i="3"/>
  <c r="C164" i="3"/>
  <c r="C160" i="3"/>
  <c r="C156" i="3"/>
  <c r="B155" i="3"/>
  <c r="C154" i="3"/>
  <c r="C153" i="3"/>
  <c r="C152" i="3"/>
  <c r="C144" i="3"/>
  <c r="C140" i="3"/>
  <c r="C138" i="3"/>
  <c r="C137" i="3"/>
  <c r="C136" i="3"/>
  <c r="C132" i="3"/>
  <c r="C124" i="3"/>
  <c r="B121" i="3"/>
  <c r="C128" i="3" s="1"/>
  <c r="C117" i="3"/>
  <c r="C116" i="3"/>
  <c r="C112" i="3"/>
  <c r="C104" i="3"/>
  <c r="B103" i="3"/>
  <c r="B101" i="3"/>
  <c r="C108" i="3" s="1"/>
  <c r="B98" i="3"/>
  <c r="C98" i="3" s="1"/>
  <c r="C97" i="3"/>
  <c r="C92" i="3"/>
  <c r="C88" i="3"/>
  <c r="C84" i="3"/>
  <c r="B83" i="3"/>
  <c r="C96" i="3" s="1"/>
  <c r="B81" i="3"/>
  <c r="B78" i="3"/>
  <c r="C78" i="3" s="1"/>
  <c r="C77" i="3"/>
  <c r="C76" i="3"/>
  <c r="C72" i="3"/>
  <c r="C64" i="3"/>
  <c r="B63" i="3"/>
  <c r="B61" i="3"/>
  <c r="C68" i="3" s="1"/>
  <c r="B58" i="3"/>
  <c r="C58" i="3" s="1"/>
  <c r="C57" i="3"/>
  <c r="C52" i="3"/>
  <c r="C48" i="3"/>
  <c r="C44" i="3"/>
  <c r="L43" i="3"/>
  <c r="B100" i="3" s="1"/>
  <c r="C103" i="3" s="1"/>
  <c r="B43" i="3"/>
  <c r="C56" i="3" s="1"/>
  <c r="L42" i="3"/>
  <c r="B120" i="3" s="1"/>
  <c r="C123" i="3" s="1"/>
  <c r="L41" i="3"/>
  <c r="K41" i="3"/>
  <c r="B41" i="3"/>
  <c r="L40" i="3"/>
  <c r="K40" i="3"/>
  <c r="L39" i="3"/>
  <c r="L44" i="3" s="1"/>
  <c r="K39" i="3"/>
  <c r="K43" i="3" s="1"/>
  <c r="B59" i="3" s="1"/>
  <c r="C61" i="3" s="1"/>
  <c r="L38" i="3"/>
  <c r="K38" i="3"/>
  <c r="B38" i="3"/>
  <c r="B118" i="3" s="1"/>
  <c r="C32" i="3"/>
  <c r="B30" i="3"/>
  <c r="C30" i="3" s="1"/>
  <c r="C28" i="3"/>
  <c r="C26" i="3"/>
  <c r="C24" i="3"/>
  <c r="C22" i="3"/>
  <c r="C20" i="3"/>
  <c r="C18" i="3"/>
  <c r="C16" i="3"/>
  <c r="C14" i="3"/>
  <c r="C12" i="3"/>
  <c r="B12" i="3"/>
  <c r="B141" i="3" s="1"/>
  <c r="C148" i="3" s="1"/>
  <c r="C8" i="3"/>
  <c r="C6" i="3"/>
  <c r="C4" i="3"/>
  <c r="C2" i="3"/>
  <c r="C144" i="2"/>
  <c r="C100" i="2"/>
  <c r="C56" i="2"/>
  <c r="C318" i="2"/>
  <c r="C319" i="2"/>
  <c r="C314" i="2"/>
  <c r="C332" i="2"/>
  <c r="C324" i="2"/>
  <c r="C328" i="2"/>
  <c r="C330" i="2"/>
  <c r="C326" i="2"/>
  <c r="C322" i="2"/>
  <c r="C156" i="2"/>
  <c r="C152" i="2"/>
  <c r="C126" i="2"/>
  <c r="C104" i="2"/>
  <c r="B97" i="2"/>
  <c r="C112" i="2" s="1"/>
  <c r="C135" i="2"/>
  <c r="C130" i="2"/>
  <c r="C113" i="2"/>
  <c r="C108" i="2"/>
  <c r="C18" i="2"/>
  <c r="B73" i="2"/>
  <c r="C82" i="2" s="1"/>
  <c r="C70" i="2"/>
  <c r="C91" i="2"/>
  <c r="C86" i="2"/>
  <c r="C64" i="2"/>
  <c r="C69" i="2"/>
  <c r="B51" i="2"/>
  <c r="C60" i="2" s="1"/>
  <c r="C50" i="2"/>
  <c r="B53" i="2"/>
  <c r="C68" i="2" s="1"/>
  <c r="K49" i="2"/>
  <c r="K71" i="2" s="1"/>
  <c r="K93" i="2" s="1"/>
  <c r="K115" i="2" s="1"/>
  <c r="K137" i="2" s="1"/>
  <c r="L50" i="2"/>
  <c r="L72" i="2" s="1"/>
  <c r="L94" i="2" s="1"/>
  <c r="L116" i="2" s="1"/>
  <c r="L138" i="2" s="1"/>
  <c r="L51" i="2"/>
  <c r="L73" i="2" s="1"/>
  <c r="L95" i="2" s="1"/>
  <c r="L117" i="2" s="1"/>
  <c r="L139" i="2" s="1"/>
  <c r="L49" i="2"/>
  <c r="L71" i="2" s="1"/>
  <c r="L93" i="2" s="1"/>
  <c r="L115" i="2" s="1"/>
  <c r="L137" i="2" s="1"/>
  <c r="K51" i="2"/>
  <c r="K73" i="2" s="1"/>
  <c r="K95" i="2" s="1"/>
  <c r="K117" i="2" s="1"/>
  <c r="K139" i="2" s="1"/>
  <c r="K50" i="2"/>
  <c r="C12" i="2"/>
  <c r="C2519" i="2"/>
  <c r="C2513" i="2"/>
  <c r="C2383" i="2"/>
  <c r="C2377" i="2"/>
  <c r="C2247" i="2"/>
  <c r="C2241" i="2"/>
  <c r="C2111" i="2"/>
  <c r="C2105" i="2"/>
  <c r="C1975" i="2"/>
  <c r="C1969" i="2"/>
  <c r="C1839" i="2"/>
  <c r="C1833" i="2"/>
  <c r="C1703" i="2"/>
  <c r="C1697" i="2"/>
  <c r="C1567" i="2"/>
  <c r="C1561" i="2"/>
  <c r="C1159" i="2"/>
  <c r="C1153" i="2"/>
  <c r="C1023" i="2"/>
  <c r="C1017" i="2"/>
  <c r="C33" i="2"/>
  <c r="C29" i="2"/>
  <c r="C27" i="2"/>
  <c r="C24" i="2"/>
  <c r="C22" i="2"/>
  <c r="C20" i="2"/>
  <c r="L48" i="2"/>
  <c r="L70" i="2" s="1"/>
  <c r="L92" i="2" s="1"/>
  <c r="L114" i="2" s="1"/>
  <c r="L136" i="2" s="1"/>
  <c r="K48" i="2"/>
  <c r="K70" i="2" s="1"/>
  <c r="K92" i="2" s="1"/>
  <c r="K114" i="2" s="1"/>
  <c r="K136" i="2" s="1"/>
  <c r="C8" i="2"/>
  <c r="C6" i="2"/>
  <c r="C4" i="2"/>
  <c r="C2" i="2"/>
  <c r="C140" i="11" l="1"/>
  <c r="L62" i="11"/>
  <c r="B120" i="11"/>
  <c r="B80" i="11"/>
  <c r="K139" i="11"/>
  <c r="K159" i="11"/>
  <c r="K179" i="11" s="1"/>
  <c r="L165" i="11"/>
  <c r="L185" i="11" s="1"/>
  <c r="L145" i="11"/>
  <c r="B200" i="11"/>
  <c r="B40" i="11"/>
  <c r="L64" i="11"/>
  <c r="C43" i="11"/>
  <c r="B60" i="11"/>
  <c r="C81" i="11"/>
  <c r="K104" i="11"/>
  <c r="C178" i="11"/>
  <c r="C180" i="11"/>
  <c r="B119" i="11"/>
  <c r="K62" i="11"/>
  <c r="B39" i="11"/>
  <c r="C41" i="11"/>
  <c r="L159" i="11"/>
  <c r="L179" i="11" s="1"/>
  <c r="L139" i="11"/>
  <c r="C158" i="11"/>
  <c r="C160" i="11"/>
  <c r="K63" i="11"/>
  <c r="B59" i="11"/>
  <c r="L123" i="11"/>
  <c r="C103" i="11"/>
  <c r="K160" i="11"/>
  <c r="K180" i="11" s="1"/>
  <c r="K140" i="11"/>
  <c r="Z160" i="10"/>
  <c r="Z204" i="10" s="1"/>
  <c r="Z226" i="10" s="1"/>
  <c r="Z248" i="10" s="1"/>
  <c r="Z270" i="10" s="1"/>
  <c r="Z292" i="10" s="1"/>
  <c r="Z314" i="10" s="1"/>
  <c r="Z336" i="10" s="1"/>
  <c r="Z138" i="10"/>
  <c r="Z182" i="10" s="1"/>
  <c r="R51" i="10"/>
  <c r="Q49" i="10"/>
  <c r="AA164" i="10"/>
  <c r="AA208" i="10" s="1"/>
  <c r="AA230" i="10" s="1"/>
  <c r="AA252" i="10" s="1"/>
  <c r="AA274" i="10" s="1"/>
  <c r="AA296" i="10" s="1"/>
  <c r="AA318" i="10" s="1"/>
  <c r="AA340" i="10" s="1"/>
  <c r="AA142" i="10"/>
  <c r="AA186" i="10" s="1"/>
  <c r="R139" i="10"/>
  <c r="Q137" i="10"/>
  <c r="AA184" i="10"/>
  <c r="AA97" i="10"/>
  <c r="R75" i="10"/>
  <c r="C55" i="10"/>
  <c r="C143" i="10"/>
  <c r="K186" i="10"/>
  <c r="C187" i="10" s="1"/>
  <c r="B141" i="10"/>
  <c r="C156" i="10" s="1"/>
  <c r="L188" i="10"/>
  <c r="K160" i="10"/>
  <c r="K204" i="10" s="1"/>
  <c r="K226" i="10" s="1"/>
  <c r="K248" i="10" s="1"/>
  <c r="K270" i="10" s="1"/>
  <c r="K292" i="10" s="1"/>
  <c r="K314" i="10" s="1"/>
  <c r="K336" i="10" s="1"/>
  <c r="K138" i="10"/>
  <c r="K182" i="10" s="1"/>
  <c r="M159" i="10"/>
  <c r="M203" i="10" s="1"/>
  <c r="M225" i="10" s="1"/>
  <c r="M247" i="10" s="1"/>
  <c r="M269" i="10" s="1"/>
  <c r="M291" i="10" s="1"/>
  <c r="M313" i="10" s="1"/>
  <c r="M335" i="10" s="1"/>
  <c r="M137" i="10"/>
  <c r="M181" i="10" s="1"/>
  <c r="C139" i="10"/>
  <c r="M164" i="10"/>
  <c r="M208" i="10" s="1"/>
  <c r="M362" i="10" s="1"/>
  <c r="M142" i="10"/>
  <c r="M186" i="10" s="1"/>
  <c r="M163" i="10"/>
  <c r="M207" i="10" s="1"/>
  <c r="M361" i="10" s="1"/>
  <c r="M141" i="10"/>
  <c r="M185" i="10" s="1"/>
  <c r="B181" i="10" s="1"/>
  <c r="M162" i="10"/>
  <c r="M206" i="10" s="1"/>
  <c r="M140" i="10"/>
  <c r="M184" i="10" s="1"/>
  <c r="L159" i="10"/>
  <c r="L203" i="10" s="1"/>
  <c r="L357" i="10" s="1"/>
  <c r="L137" i="10"/>
  <c r="L181" i="10" s="1"/>
  <c r="B49" i="10"/>
  <c r="C51" i="10"/>
  <c r="C75" i="10"/>
  <c r="C99" i="10"/>
  <c r="L225" i="10"/>
  <c r="L247" i="10" s="1"/>
  <c r="L269" i="10" s="1"/>
  <c r="L291" i="10" s="1"/>
  <c r="L313" i="10" s="1"/>
  <c r="L335" i="10" s="1"/>
  <c r="AA362" i="10"/>
  <c r="AA357" i="10"/>
  <c r="M363" i="10"/>
  <c r="M231" i="10"/>
  <c r="M253" i="10" s="1"/>
  <c r="M275" i="10" s="1"/>
  <c r="M297" i="10" s="1"/>
  <c r="M319" i="10" s="1"/>
  <c r="M341" i="10" s="1"/>
  <c r="M357" i="10"/>
  <c r="C77" i="10"/>
  <c r="C202" i="10"/>
  <c r="L98" i="10"/>
  <c r="L120" i="10" s="1"/>
  <c r="L97" i="10"/>
  <c r="C119" i="10"/>
  <c r="Q358" i="10"/>
  <c r="Z98" i="10"/>
  <c r="Z120" i="10" s="1"/>
  <c r="Z164" i="10" s="1"/>
  <c r="R246" i="10"/>
  <c r="R248" i="10"/>
  <c r="AB98" i="10"/>
  <c r="Z96" i="10"/>
  <c r="AB206" i="10"/>
  <c r="R117" i="10"/>
  <c r="AA162" i="10"/>
  <c r="AA206" i="10" s="1"/>
  <c r="Q115" i="10"/>
  <c r="Z358" i="10"/>
  <c r="R121" i="10"/>
  <c r="R290" i="10"/>
  <c r="R292" i="10"/>
  <c r="Z97" i="10"/>
  <c r="Z119" i="10" s="1"/>
  <c r="C224" i="10"/>
  <c r="C226" i="10"/>
  <c r="C314" i="10"/>
  <c r="C312" i="10"/>
  <c r="B93" i="10"/>
  <c r="C95" i="10" s="1"/>
  <c r="K97" i="10"/>
  <c r="K119" i="10" s="1"/>
  <c r="K164" i="10"/>
  <c r="C121" i="10"/>
  <c r="C292" i="10"/>
  <c r="C290" i="10"/>
  <c r="L162" i="10"/>
  <c r="L206" i="10" s="1"/>
  <c r="C117" i="10"/>
  <c r="B115" i="10"/>
  <c r="K96" i="10"/>
  <c r="B203" i="10"/>
  <c r="C73" i="10"/>
  <c r="B71" i="10"/>
  <c r="M229" i="10"/>
  <c r="M251" i="10" s="1"/>
  <c r="M273" i="10" s="1"/>
  <c r="M295" i="10" s="1"/>
  <c r="M317" i="10" s="1"/>
  <c r="M339" i="10" s="1"/>
  <c r="M230" i="10"/>
  <c r="M252" i="10" s="1"/>
  <c r="M274" i="10" s="1"/>
  <c r="M296" i="10" s="1"/>
  <c r="M318" i="10" s="1"/>
  <c r="M340" i="10" s="1"/>
  <c r="L109" i="9"/>
  <c r="L131" i="9" s="1"/>
  <c r="K283" i="9"/>
  <c r="K151" i="9"/>
  <c r="K173" i="9" s="1"/>
  <c r="K195" i="9" s="1"/>
  <c r="K217" i="9" s="1"/>
  <c r="K239" i="9" s="1"/>
  <c r="K261" i="9" s="1"/>
  <c r="M285" i="9"/>
  <c r="M153" i="9"/>
  <c r="M175" i="9" s="1"/>
  <c r="M197" i="9" s="1"/>
  <c r="M219" i="9" s="1"/>
  <c r="M241" i="9" s="1"/>
  <c r="M263" i="9" s="1"/>
  <c r="K66" i="9"/>
  <c r="K88" i="9" s="1"/>
  <c r="K110" i="9" s="1"/>
  <c r="K132" i="9" s="1"/>
  <c r="B62" i="9"/>
  <c r="B282" i="9"/>
  <c r="K67" i="9"/>
  <c r="K89" i="9" s="1"/>
  <c r="M286" i="9"/>
  <c r="M154" i="9"/>
  <c r="M176" i="9" s="1"/>
  <c r="M198" i="9" s="1"/>
  <c r="M220" i="9" s="1"/>
  <c r="M242" i="9" s="1"/>
  <c r="M264" i="9" s="1"/>
  <c r="K150" i="9"/>
  <c r="K172" i="9" s="1"/>
  <c r="K194" i="9" s="1"/>
  <c r="K216" i="9" s="1"/>
  <c r="K238" i="9" s="1"/>
  <c r="K260" i="9" s="1"/>
  <c r="K282" i="9"/>
  <c r="B283" i="9"/>
  <c r="L67" i="9"/>
  <c r="L89" i="9" s="1"/>
  <c r="L111" i="9" s="1"/>
  <c r="L133" i="9" s="1"/>
  <c r="M282" i="9"/>
  <c r="M150" i="9"/>
  <c r="M172" i="9" s="1"/>
  <c r="M194" i="9" s="1"/>
  <c r="M216" i="9" s="1"/>
  <c r="M238" i="9" s="1"/>
  <c r="M260" i="9" s="1"/>
  <c r="L66" i="9"/>
  <c r="K65" i="9"/>
  <c r="K87" i="9" s="1"/>
  <c r="L153" i="9"/>
  <c r="L175" i="9" s="1"/>
  <c r="L285" i="9"/>
  <c r="M120" i="8"/>
  <c r="M139" i="8"/>
  <c r="M183" i="8" s="1"/>
  <c r="L118" i="8"/>
  <c r="L333" i="8"/>
  <c r="L201" i="8"/>
  <c r="L223" i="8" s="1"/>
  <c r="L245" i="8" s="1"/>
  <c r="L267" i="8" s="1"/>
  <c r="L289" i="8" s="1"/>
  <c r="L311" i="8" s="1"/>
  <c r="L144" i="8"/>
  <c r="L188" i="8" s="1"/>
  <c r="M137" i="8"/>
  <c r="M181" i="8" s="1"/>
  <c r="M159" i="8"/>
  <c r="K336" i="8"/>
  <c r="K204" i="8"/>
  <c r="K226" i="8" s="1"/>
  <c r="K248" i="8" s="1"/>
  <c r="K270" i="8" s="1"/>
  <c r="K292" i="8" s="1"/>
  <c r="K314" i="8" s="1"/>
  <c r="J336" i="8"/>
  <c r="J204" i="8"/>
  <c r="J226" i="8" s="1"/>
  <c r="J248" i="8" s="1"/>
  <c r="J270" i="8" s="1"/>
  <c r="J292" i="8" s="1"/>
  <c r="J314" i="8" s="1"/>
  <c r="K343" i="8"/>
  <c r="K211" i="8"/>
  <c r="K233" i="8" s="1"/>
  <c r="K255" i="8" s="1"/>
  <c r="K277" i="8" s="1"/>
  <c r="K299" i="8" s="1"/>
  <c r="K321" i="8" s="1"/>
  <c r="J340" i="8"/>
  <c r="J208" i="8"/>
  <c r="J230" i="8" s="1"/>
  <c r="J252" i="8" s="1"/>
  <c r="J274" i="8" s="1"/>
  <c r="J296" i="8" s="1"/>
  <c r="J318" i="8" s="1"/>
  <c r="J205" i="8"/>
  <c r="J227" i="8" s="1"/>
  <c r="J249" i="8" s="1"/>
  <c r="J271" i="8" s="1"/>
  <c r="J293" i="8" s="1"/>
  <c r="J315" i="8" s="1"/>
  <c r="J337" i="8"/>
  <c r="M336" i="8"/>
  <c r="M204" i="8"/>
  <c r="M226" i="8" s="1"/>
  <c r="M248" i="8" s="1"/>
  <c r="M270" i="8" s="1"/>
  <c r="M292" i="8" s="1"/>
  <c r="M314" i="8" s="1"/>
  <c r="K334" i="8"/>
  <c r="K202" i="8"/>
  <c r="K224" i="8" s="1"/>
  <c r="K246" i="8" s="1"/>
  <c r="K268" i="8" s="1"/>
  <c r="K290" i="8" s="1"/>
  <c r="K312" i="8" s="1"/>
  <c r="L337" i="8"/>
  <c r="L205" i="8"/>
  <c r="L227" i="8" s="1"/>
  <c r="L249" i="8" s="1"/>
  <c r="L271" i="8" s="1"/>
  <c r="L293" i="8" s="1"/>
  <c r="L315" i="8" s="1"/>
  <c r="K137" i="8"/>
  <c r="K181" i="8" s="1"/>
  <c r="K159" i="8"/>
  <c r="C248" i="8"/>
  <c r="C246" i="8"/>
  <c r="B336" i="8"/>
  <c r="L76" i="8"/>
  <c r="L98" i="8" s="1"/>
  <c r="L120" i="8" s="1"/>
  <c r="M141" i="8"/>
  <c r="M185" i="8" s="1"/>
  <c r="M163" i="8"/>
  <c r="B138" i="8"/>
  <c r="L75" i="8"/>
  <c r="L97" i="8" s="1"/>
  <c r="L119" i="8" s="1"/>
  <c r="L342" i="8"/>
  <c r="L210" i="8"/>
  <c r="L232" i="8" s="1"/>
  <c r="L254" i="8" s="1"/>
  <c r="L276" i="8" s="1"/>
  <c r="L298" i="8" s="1"/>
  <c r="L320" i="8" s="1"/>
  <c r="L140" i="8"/>
  <c r="L184" i="8" s="1"/>
  <c r="K337" i="8"/>
  <c r="K205" i="8"/>
  <c r="K227" i="8" s="1"/>
  <c r="K249" i="8" s="1"/>
  <c r="K271" i="8" s="1"/>
  <c r="K293" i="8" s="1"/>
  <c r="K315" i="8" s="1"/>
  <c r="J342" i="8"/>
  <c r="J210" i="8"/>
  <c r="J232" i="8" s="1"/>
  <c r="J254" i="8" s="1"/>
  <c r="J276" i="8" s="1"/>
  <c r="J298" i="8" s="1"/>
  <c r="J320" i="8" s="1"/>
  <c r="L203" i="8"/>
  <c r="L225" i="8" s="1"/>
  <c r="L247" i="8" s="1"/>
  <c r="L269" i="8" s="1"/>
  <c r="L291" i="8" s="1"/>
  <c r="L313" i="8" s="1"/>
  <c r="L335" i="8"/>
  <c r="M211" i="8"/>
  <c r="M233" i="8" s="1"/>
  <c r="M255" i="8" s="1"/>
  <c r="M277" i="8" s="1"/>
  <c r="M299" i="8" s="1"/>
  <c r="M321" i="8" s="1"/>
  <c r="M343" i="8"/>
  <c r="K333" i="8"/>
  <c r="K201" i="8"/>
  <c r="K223" i="8" s="1"/>
  <c r="K245" i="8" s="1"/>
  <c r="K267" i="8" s="1"/>
  <c r="K289" i="8" s="1"/>
  <c r="K311" i="8" s="1"/>
  <c r="K76" i="8"/>
  <c r="K98" i="8" s="1"/>
  <c r="B335" i="8"/>
  <c r="C337" i="8" s="1"/>
  <c r="M342" i="8"/>
  <c r="M210" i="8"/>
  <c r="M232" i="8" s="1"/>
  <c r="M254" i="8" s="1"/>
  <c r="M276" i="8" s="1"/>
  <c r="M298" i="8" s="1"/>
  <c r="M320" i="8" s="1"/>
  <c r="M162" i="8"/>
  <c r="M140" i="8"/>
  <c r="K342" i="8"/>
  <c r="K210" i="8"/>
  <c r="K232" i="8" s="1"/>
  <c r="K254" i="8" s="1"/>
  <c r="K276" i="8" s="1"/>
  <c r="K298" i="8" s="1"/>
  <c r="K320" i="8" s="1"/>
  <c r="J211" i="8"/>
  <c r="J233" i="8" s="1"/>
  <c r="J255" i="8" s="1"/>
  <c r="J277" i="8" s="1"/>
  <c r="J299" i="8" s="1"/>
  <c r="J321" i="8" s="1"/>
  <c r="J343" i="8"/>
  <c r="K341" i="8"/>
  <c r="K209" i="8"/>
  <c r="K231" i="8" s="1"/>
  <c r="K253" i="8" s="1"/>
  <c r="K275" i="8" s="1"/>
  <c r="K297" i="8" s="1"/>
  <c r="K319" i="8" s="1"/>
  <c r="C292" i="8"/>
  <c r="C290" i="8"/>
  <c r="L336" i="8"/>
  <c r="L204" i="8"/>
  <c r="L226" i="8" s="1"/>
  <c r="L248" i="8" s="1"/>
  <c r="L270" i="8" s="1"/>
  <c r="L292" i="8" s="1"/>
  <c r="L314" i="8" s="1"/>
  <c r="B49" i="8"/>
  <c r="C51" i="8"/>
  <c r="K74" i="8"/>
  <c r="K96" i="8" s="1"/>
  <c r="K118" i="8" s="1"/>
  <c r="M187" i="8"/>
  <c r="B141" i="8"/>
  <c r="C156" i="8" s="1"/>
  <c r="L209" i="8"/>
  <c r="L231" i="8" s="1"/>
  <c r="L253" i="8" s="1"/>
  <c r="L275" i="8" s="1"/>
  <c r="L297" i="8" s="1"/>
  <c r="L319" i="8" s="1"/>
  <c r="L341" i="8"/>
  <c r="L343" i="8"/>
  <c r="L211" i="8"/>
  <c r="L233" i="8" s="1"/>
  <c r="L255" i="8" s="1"/>
  <c r="L277" i="8" s="1"/>
  <c r="L299" i="8" s="1"/>
  <c r="L321" i="8" s="1"/>
  <c r="M334" i="8"/>
  <c r="M202" i="8"/>
  <c r="M224" i="8" s="1"/>
  <c r="M246" i="8" s="1"/>
  <c r="M268" i="8" s="1"/>
  <c r="M290" i="8" s="1"/>
  <c r="M312" i="8" s="1"/>
  <c r="J339" i="8"/>
  <c r="J207" i="8"/>
  <c r="J229" i="8" s="1"/>
  <c r="J251" i="8" s="1"/>
  <c r="J273" i="8" s="1"/>
  <c r="J295" i="8" s="1"/>
  <c r="J317" i="8" s="1"/>
  <c r="K75" i="8"/>
  <c r="K97" i="8" s="1"/>
  <c r="K119" i="8" s="1"/>
  <c r="B71" i="8"/>
  <c r="C73" i="8" s="1"/>
  <c r="B119" i="7"/>
  <c r="C134" i="7"/>
  <c r="L114" i="7"/>
  <c r="L158" i="7" s="1"/>
  <c r="C158" i="7"/>
  <c r="L54" i="7"/>
  <c r="L76" i="7" s="1"/>
  <c r="J116" i="7"/>
  <c r="J160" i="7" s="1"/>
  <c r="K113" i="7"/>
  <c r="K157" i="7" s="1"/>
  <c r="M116" i="7"/>
  <c r="M160" i="7" s="1"/>
  <c r="K114" i="7"/>
  <c r="K158" i="7" s="1"/>
  <c r="B312" i="7"/>
  <c r="C314" i="7" s="1"/>
  <c r="C138" i="7"/>
  <c r="C114" i="7"/>
  <c r="M145" i="7"/>
  <c r="M189" i="7" s="1"/>
  <c r="M343" i="7" s="1"/>
  <c r="M123" i="7"/>
  <c r="M167" i="7" s="1"/>
  <c r="K144" i="7"/>
  <c r="K188" i="7" s="1"/>
  <c r="K342" i="7" s="1"/>
  <c r="K122" i="7"/>
  <c r="K166" i="7" s="1"/>
  <c r="J143" i="7"/>
  <c r="J187" i="7" s="1"/>
  <c r="J341" i="7" s="1"/>
  <c r="J121" i="7"/>
  <c r="J165" i="7" s="1"/>
  <c r="K117" i="7"/>
  <c r="K161" i="7" s="1"/>
  <c r="K123" i="7"/>
  <c r="K167" i="7" s="1"/>
  <c r="J140" i="7"/>
  <c r="J184" i="7" s="1"/>
  <c r="J338" i="7" s="1"/>
  <c r="L113" i="7"/>
  <c r="L157" i="7" s="1"/>
  <c r="L117" i="7"/>
  <c r="L161" i="7" s="1"/>
  <c r="J119" i="7"/>
  <c r="J163" i="7" s="1"/>
  <c r="J120" i="7"/>
  <c r="J164" i="7" s="1"/>
  <c r="M121" i="7"/>
  <c r="M165" i="7" s="1"/>
  <c r="L122" i="7"/>
  <c r="L166" i="7" s="1"/>
  <c r="L123" i="7"/>
  <c r="L167" i="7" s="1"/>
  <c r="M113" i="7"/>
  <c r="M157" i="7" s="1"/>
  <c r="M117" i="7"/>
  <c r="M161" i="7" s="1"/>
  <c r="M122" i="7"/>
  <c r="M166" i="7" s="1"/>
  <c r="B163" i="7" s="1"/>
  <c r="L99" i="7"/>
  <c r="M114" i="7"/>
  <c r="M158" i="7" s="1"/>
  <c r="L116" i="7"/>
  <c r="L160" i="7" s="1"/>
  <c r="J117" i="7"/>
  <c r="J161" i="7" s="1"/>
  <c r="K121" i="7"/>
  <c r="K165" i="7" s="1"/>
  <c r="J122" i="7"/>
  <c r="J166" i="7" s="1"/>
  <c r="J123" i="7"/>
  <c r="J167" i="7" s="1"/>
  <c r="M54" i="7"/>
  <c r="M53" i="7"/>
  <c r="M75" i="7" s="1"/>
  <c r="M97" i="7" s="1"/>
  <c r="M52" i="7"/>
  <c r="M74" i="7" s="1"/>
  <c r="M96" i="7" s="1"/>
  <c r="L71" i="7"/>
  <c r="L93" i="7" s="1"/>
  <c r="L53" i="7"/>
  <c r="K53" i="7"/>
  <c r="B71" i="7" s="1"/>
  <c r="C73" i="7" s="1"/>
  <c r="C94" i="7"/>
  <c r="L336" i="7"/>
  <c r="L204" i="7"/>
  <c r="L226" i="7" s="1"/>
  <c r="L248" i="7" s="1"/>
  <c r="L270" i="7" s="1"/>
  <c r="L292" i="7" s="1"/>
  <c r="L314" i="7" s="1"/>
  <c r="K202" i="7"/>
  <c r="K224" i="7" s="1"/>
  <c r="K246" i="7" s="1"/>
  <c r="K268" i="7" s="1"/>
  <c r="K290" i="7" s="1"/>
  <c r="K312" i="7" s="1"/>
  <c r="K334" i="7"/>
  <c r="M336" i="7"/>
  <c r="M204" i="7"/>
  <c r="M226" i="7" s="1"/>
  <c r="M248" i="7" s="1"/>
  <c r="M270" i="7" s="1"/>
  <c r="M292" i="7" s="1"/>
  <c r="M314" i="7" s="1"/>
  <c r="L334" i="7"/>
  <c r="L202" i="7"/>
  <c r="L224" i="7" s="1"/>
  <c r="L246" i="7" s="1"/>
  <c r="L268" i="7" s="1"/>
  <c r="L290" i="7" s="1"/>
  <c r="L312" i="7" s="1"/>
  <c r="K343" i="7"/>
  <c r="K211" i="7"/>
  <c r="K233" i="7" s="1"/>
  <c r="K255" i="7" s="1"/>
  <c r="K277" i="7" s="1"/>
  <c r="K299" i="7" s="1"/>
  <c r="K321" i="7" s="1"/>
  <c r="L201" i="7"/>
  <c r="L223" i="7" s="1"/>
  <c r="L245" i="7" s="1"/>
  <c r="L267" i="7" s="1"/>
  <c r="L289" i="7" s="1"/>
  <c r="L311" i="7" s="1"/>
  <c r="L333" i="7"/>
  <c r="J205" i="7"/>
  <c r="J227" i="7" s="1"/>
  <c r="J249" i="7" s="1"/>
  <c r="J271" i="7" s="1"/>
  <c r="J293" i="7" s="1"/>
  <c r="J315" i="7" s="1"/>
  <c r="J337" i="7"/>
  <c r="M210" i="7"/>
  <c r="M232" i="7" s="1"/>
  <c r="M254" i="7" s="1"/>
  <c r="M276" i="7" s="1"/>
  <c r="M298" i="7" s="1"/>
  <c r="M320" i="7" s="1"/>
  <c r="M342" i="7"/>
  <c r="M334" i="7"/>
  <c r="M202" i="7"/>
  <c r="M224" i="7" s="1"/>
  <c r="M246" i="7" s="1"/>
  <c r="M268" i="7" s="1"/>
  <c r="M290" i="7" s="1"/>
  <c r="M312" i="7" s="1"/>
  <c r="B353" i="7"/>
  <c r="K94" i="7"/>
  <c r="K337" i="7"/>
  <c r="K205" i="7"/>
  <c r="K227" i="7" s="1"/>
  <c r="K249" i="7" s="1"/>
  <c r="K271" i="7" s="1"/>
  <c r="K293" i="7" s="1"/>
  <c r="K315" i="7" s="1"/>
  <c r="J343" i="7"/>
  <c r="J211" i="7"/>
  <c r="J233" i="7" s="1"/>
  <c r="J255" i="7" s="1"/>
  <c r="J277" i="7" s="1"/>
  <c r="J299" i="7" s="1"/>
  <c r="J321" i="7" s="1"/>
  <c r="M337" i="7"/>
  <c r="M205" i="7"/>
  <c r="M227" i="7" s="1"/>
  <c r="M249" i="7" s="1"/>
  <c r="M271" i="7" s="1"/>
  <c r="M293" i="7" s="1"/>
  <c r="M315" i="7" s="1"/>
  <c r="J342" i="7"/>
  <c r="J210" i="7"/>
  <c r="J232" i="7" s="1"/>
  <c r="J254" i="7" s="1"/>
  <c r="J276" i="7" s="1"/>
  <c r="J298" i="7" s="1"/>
  <c r="J320" i="7" s="1"/>
  <c r="K52" i="7"/>
  <c r="C51" i="7" s="1"/>
  <c r="B268" i="7"/>
  <c r="B202" i="7"/>
  <c r="C72" i="7"/>
  <c r="C70" i="7"/>
  <c r="K71" i="7"/>
  <c r="K93" i="7" s="1"/>
  <c r="L205" i="7"/>
  <c r="L227" i="7" s="1"/>
  <c r="L249" i="7" s="1"/>
  <c r="L271" i="7" s="1"/>
  <c r="L293" i="7" s="1"/>
  <c r="L315" i="7" s="1"/>
  <c r="L337" i="7"/>
  <c r="K201" i="7"/>
  <c r="K223" i="7" s="1"/>
  <c r="K245" i="7" s="1"/>
  <c r="K267" i="7" s="1"/>
  <c r="K289" i="7" s="1"/>
  <c r="K311" i="7" s="1"/>
  <c r="L75" i="7"/>
  <c r="B160" i="7" s="1"/>
  <c r="L343" i="7"/>
  <c r="L211" i="7"/>
  <c r="L233" i="7" s="1"/>
  <c r="L255" i="7" s="1"/>
  <c r="L277" i="7" s="1"/>
  <c r="L299" i="7" s="1"/>
  <c r="L321" i="7" s="1"/>
  <c r="M201" i="7"/>
  <c r="M223" i="7" s="1"/>
  <c r="M245" i="7" s="1"/>
  <c r="M267" i="7" s="1"/>
  <c r="M289" i="7" s="1"/>
  <c r="M311" i="7" s="1"/>
  <c r="B224" i="7"/>
  <c r="K54" i="7"/>
  <c r="M71" i="7"/>
  <c r="M93" i="7" s="1"/>
  <c r="C92" i="7"/>
  <c r="B138" i="7"/>
  <c r="B180" i="7"/>
  <c r="M187" i="7"/>
  <c r="K209" i="7"/>
  <c r="K231" i="7" s="1"/>
  <c r="K253" i="7" s="1"/>
  <c r="K275" i="7" s="1"/>
  <c r="K297" i="7" s="1"/>
  <c r="K319" i="7" s="1"/>
  <c r="L210" i="7"/>
  <c r="L232" i="7" s="1"/>
  <c r="L254" i="7" s="1"/>
  <c r="L276" i="7" s="1"/>
  <c r="L298" i="7" s="1"/>
  <c r="L320" i="7" s="1"/>
  <c r="B246" i="7"/>
  <c r="J336" i="7"/>
  <c r="C48" i="7"/>
  <c r="C50" i="7"/>
  <c r="J208" i="7"/>
  <c r="J230" i="7" s="1"/>
  <c r="J252" i="7" s="1"/>
  <c r="J274" i="7" s="1"/>
  <c r="J296" i="7" s="1"/>
  <c r="J318" i="7" s="1"/>
  <c r="B290" i="7"/>
  <c r="J339" i="7"/>
  <c r="L52" i="7"/>
  <c r="L74" i="7" s="1"/>
  <c r="L96" i="7" s="1"/>
  <c r="L118" i="7" s="1"/>
  <c r="L162" i="7" s="1"/>
  <c r="J160" i="6"/>
  <c r="J180" i="6" s="1"/>
  <c r="J140" i="6"/>
  <c r="K147" i="6"/>
  <c r="K167" i="6"/>
  <c r="K187" i="6" s="1"/>
  <c r="J147" i="6"/>
  <c r="J167" i="6"/>
  <c r="J187" i="6" s="1"/>
  <c r="K166" i="6"/>
  <c r="K186" i="6" s="1"/>
  <c r="K146" i="6"/>
  <c r="L144" i="6"/>
  <c r="L164" i="6"/>
  <c r="L184" i="6" s="1"/>
  <c r="J143" i="6"/>
  <c r="J163" i="6"/>
  <c r="J183" i="6" s="1"/>
  <c r="L138" i="6"/>
  <c r="L158" i="6"/>
  <c r="L178" i="6" s="1"/>
  <c r="L140" i="6"/>
  <c r="L160" i="6"/>
  <c r="L180" i="6" s="1"/>
  <c r="L137" i="6"/>
  <c r="L157" i="6"/>
  <c r="L177" i="6" s="1"/>
  <c r="J162" i="6"/>
  <c r="J182" i="6" s="1"/>
  <c r="J142" i="6"/>
  <c r="J146" i="6"/>
  <c r="J166" i="6"/>
  <c r="J186" i="6" s="1"/>
  <c r="L141" i="6"/>
  <c r="J161" i="6"/>
  <c r="J181" i="6" s="1"/>
  <c r="J141" i="6"/>
  <c r="L146" i="6"/>
  <c r="L166" i="6"/>
  <c r="L186" i="6" s="1"/>
  <c r="J144" i="6"/>
  <c r="J164" i="6"/>
  <c r="J184" i="6" s="1"/>
  <c r="C180" i="6"/>
  <c r="C160" i="6"/>
  <c r="B215" i="6"/>
  <c r="K80" i="6"/>
  <c r="K100" i="6" s="1"/>
  <c r="K120" i="6" s="1"/>
  <c r="L59" i="6"/>
  <c r="L79" i="6" s="1"/>
  <c r="B118" i="6"/>
  <c r="C118" i="6" s="1"/>
  <c r="L43" i="6"/>
  <c r="L42" i="6"/>
  <c r="K43" i="6"/>
  <c r="C12" i="6"/>
  <c r="B60" i="6"/>
  <c r="B40" i="6"/>
  <c r="B200" i="6"/>
  <c r="C203" i="6" s="1"/>
  <c r="C40" i="6"/>
  <c r="C60" i="6"/>
  <c r="C100" i="6"/>
  <c r="C38" i="6"/>
  <c r="B80" i="6"/>
  <c r="K44" i="6"/>
  <c r="K64" i="6" s="1"/>
  <c r="K84" i="6" s="1"/>
  <c r="C80" i="6"/>
  <c r="K42" i="6"/>
  <c r="K62" i="6" s="1"/>
  <c r="K82" i="6" s="1"/>
  <c r="K71" i="5"/>
  <c r="K73" i="5"/>
  <c r="K36" i="5"/>
  <c r="C54" i="5"/>
  <c r="C52" i="5"/>
  <c r="C32" i="5"/>
  <c r="K34" i="5"/>
  <c r="K75" i="5" s="1"/>
  <c r="K35" i="5"/>
  <c r="K76" i="5" s="1"/>
  <c r="K53" i="5"/>
  <c r="L53" i="5"/>
  <c r="L56" i="5"/>
  <c r="B87" i="5"/>
  <c r="L58" i="5"/>
  <c r="M56" i="5"/>
  <c r="J132" i="4"/>
  <c r="J154" i="4" s="1"/>
  <c r="J176" i="4" s="1"/>
  <c r="J198" i="4" s="1"/>
  <c r="J220" i="4" s="1"/>
  <c r="J242" i="4" s="1"/>
  <c r="J264" i="4" s="1"/>
  <c r="L134" i="4"/>
  <c r="L288" i="4" s="1"/>
  <c r="K136" i="4"/>
  <c r="K158" i="4" s="1"/>
  <c r="K180" i="4" s="1"/>
  <c r="K202" i="4" s="1"/>
  <c r="K224" i="4" s="1"/>
  <c r="K246" i="4" s="1"/>
  <c r="K268" i="4" s="1"/>
  <c r="L135" i="4"/>
  <c r="L289" i="4" s="1"/>
  <c r="J131" i="4"/>
  <c r="J134" i="4"/>
  <c r="J156" i="4" s="1"/>
  <c r="J178" i="4" s="1"/>
  <c r="J200" i="4" s="1"/>
  <c r="J222" i="4" s="1"/>
  <c r="J244" i="4" s="1"/>
  <c r="J266" i="4" s="1"/>
  <c r="M135" i="4"/>
  <c r="M157" i="4" s="1"/>
  <c r="M179" i="4" s="1"/>
  <c r="M201" i="4" s="1"/>
  <c r="M223" i="4" s="1"/>
  <c r="M245" i="4" s="1"/>
  <c r="M267" i="4" s="1"/>
  <c r="M136" i="4"/>
  <c r="L114" i="4"/>
  <c r="L136" i="4" s="1"/>
  <c r="L113" i="4"/>
  <c r="J111" i="4"/>
  <c r="J133" i="4" s="1"/>
  <c r="J110" i="4"/>
  <c r="K134" i="4"/>
  <c r="K288" i="4" s="1"/>
  <c r="J135" i="4"/>
  <c r="J157" i="4" s="1"/>
  <c r="J179" i="4" s="1"/>
  <c r="J201" i="4" s="1"/>
  <c r="J223" i="4" s="1"/>
  <c r="J245" i="4" s="1"/>
  <c r="J267" i="4" s="1"/>
  <c r="J136" i="4"/>
  <c r="J290" i="4" s="1"/>
  <c r="K114" i="4"/>
  <c r="K113" i="4"/>
  <c r="K135" i="4" s="1"/>
  <c r="L112" i="4"/>
  <c r="K280" i="4"/>
  <c r="M126" i="4"/>
  <c r="M280" i="4" s="1"/>
  <c r="K44" i="4"/>
  <c r="B62" i="4" s="1"/>
  <c r="C64" i="4" s="1"/>
  <c r="L44" i="4"/>
  <c r="L45" i="4"/>
  <c r="M44" i="4"/>
  <c r="M66" i="4" s="1"/>
  <c r="M88" i="4" s="1"/>
  <c r="C85" i="4"/>
  <c r="M45" i="4"/>
  <c r="M43" i="4"/>
  <c r="M65" i="4" s="1"/>
  <c r="M87" i="4" s="1"/>
  <c r="M109" i="4" s="1"/>
  <c r="L62" i="4"/>
  <c r="L84" i="4" s="1"/>
  <c r="L106" i="4" s="1"/>
  <c r="L128" i="4" s="1"/>
  <c r="L282" i="4" s="1"/>
  <c r="L283" i="4"/>
  <c r="L151" i="4"/>
  <c r="L173" i="4" s="1"/>
  <c r="L195" i="4" s="1"/>
  <c r="L217" i="4" s="1"/>
  <c r="L239" i="4" s="1"/>
  <c r="L261" i="4" s="1"/>
  <c r="L156" i="4"/>
  <c r="L178" i="4" s="1"/>
  <c r="L200" i="4" s="1"/>
  <c r="L222" i="4" s="1"/>
  <c r="L244" i="4" s="1"/>
  <c r="L266" i="4" s="1"/>
  <c r="K149" i="4"/>
  <c r="K171" i="4" s="1"/>
  <c r="K193" i="4" s="1"/>
  <c r="K215" i="4" s="1"/>
  <c r="K237" i="4" s="1"/>
  <c r="K259" i="4" s="1"/>
  <c r="K281" i="4"/>
  <c r="M283" i="4"/>
  <c r="M151" i="4"/>
  <c r="M173" i="4" s="1"/>
  <c r="M195" i="4" s="1"/>
  <c r="M217" i="4" s="1"/>
  <c r="M239" i="4" s="1"/>
  <c r="M261" i="4" s="1"/>
  <c r="L281" i="4"/>
  <c r="L149" i="4"/>
  <c r="L171" i="4" s="1"/>
  <c r="L193" i="4" s="1"/>
  <c r="L215" i="4" s="1"/>
  <c r="L237" i="4" s="1"/>
  <c r="L259" i="4" s="1"/>
  <c r="K290" i="4"/>
  <c r="M67" i="4"/>
  <c r="M89" i="4" s="1"/>
  <c r="M131" i="4"/>
  <c r="L148" i="4"/>
  <c r="L170" i="4" s="1"/>
  <c r="L192" i="4" s="1"/>
  <c r="L214" i="4" s="1"/>
  <c r="L236" i="4" s="1"/>
  <c r="L258" i="4" s="1"/>
  <c r="L280" i="4"/>
  <c r="J152" i="4"/>
  <c r="J174" i="4" s="1"/>
  <c r="J196" i="4" s="1"/>
  <c r="J218" i="4" s="1"/>
  <c r="J240" i="4" s="1"/>
  <c r="J262" i="4" s="1"/>
  <c r="J284" i="4"/>
  <c r="J153" i="4"/>
  <c r="J175" i="4" s="1"/>
  <c r="J197" i="4" s="1"/>
  <c r="J219" i="4" s="1"/>
  <c r="J241" i="4" s="1"/>
  <c r="J263" i="4" s="1"/>
  <c r="J285" i="4"/>
  <c r="M281" i="4"/>
  <c r="M149" i="4"/>
  <c r="M171" i="4" s="1"/>
  <c r="M193" i="4" s="1"/>
  <c r="M215" i="4" s="1"/>
  <c r="M237" i="4" s="1"/>
  <c r="M259" i="4" s="1"/>
  <c r="B300" i="4"/>
  <c r="K85" i="4"/>
  <c r="K107" i="4" s="1"/>
  <c r="K129" i="4" s="1"/>
  <c r="K284" i="4"/>
  <c r="K152" i="4"/>
  <c r="K174" i="4" s="1"/>
  <c r="K196" i="4" s="1"/>
  <c r="K218" i="4" s="1"/>
  <c r="K240" i="4" s="1"/>
  <c r="K262" i="4" s="1"/>
  <c r="M284" i="4"/>
  <c r="M152" i="4"/>
  <c r="M174" i="4" s="1"/>
  <c r="M196" i="4" s="1"/>
  <c r="M218" i="4" s="1"/>
  <c r="M240" i="4" s="1"/>
  <c r="M262" i="4" s="1"/>
  <c r="J288" i="4"/>
  <c r="J289" i="4"/>
  <c r="M158" i="4"/>
  <c r="M180" i="4" s="1"/>
  <c r="M202" i="4" s="1"/>
  <c r="M224" i="4" s="1"/>
  <c r="M246" i="4" s="1"/>
  <c r="M268" i="4" s="1"/>
  <c r="M290" i="4"/>
  <c r="K43" i="4"/>
  <c r="B215" i="4"/>
  <c r="C63" i="4"/>
  <c r="C61" i="4"/>
  <c r="K62" i="4"/>
  <c r="K84" i="4" s="1"/>
  <c r="K106" i="4" s="1"/>
  <c r="K128" i="4" s="1"/>
  <c r="K66" i="4"/>
  <c r="K88" i="4" s="1"/>
  <c r="L152" i="4"/>
  <c r="L174" i="4" s="1"/>
  <c r="L196" i="4" s="1"/>
  <c r="L218" i="4" s="1"/>
  <c r="L240" i="4" s="1"/>
  <c r="L262" i="4" s="1"/>
  <c r="L284" i="4"/>
  <c r="K148" i="4"/>
  <c r="K170" i="4" s="1"/>
  <c r="K192" i="4" s="1"/>
  <c r="K214" i="4" s="1"/>
  <c r="K236" i="4" s="1"/>
  <c r="K258" i="4" s="1"/>
  <c r="B171" i="4"/>
  <c r="K45" i="4"/>
  <c r="M62" i="4"/>
  <c r="M84" i="4" s="1"/>
  <c r="M106" i="4" s="1"/>
  <c r="M128" i="4" s="1"/>
  <c r="C83" i="4"/>
  <c r="M134" i="4"/>
  <c r="K156" i="4"/>
  <c r="K178" i="4" s="1"/>
  <c r="K200" i="4" s="1"/>
  <c r="K222" i="4" s="1"/>
  <c r="K244" i="4" s="1"/>
  <c r="K266" i="4" s="1"/>
  <c r="J283" i="4"/>
  <c r="C39" i="4"/>
  <c r="C41" i="4"/>
  <c r="J286" i="4"/>
  <c r="L43" i="4"/>
  <c r="L65" i="4" s="1"/>
  <c r="L87" i="4" s="1"/>
  <c r="L109" i="4" s="1"/>
  <c r="C204" i="2"/>
  <c r="C160" i="2"/>
  <c r="C182" i="2"/>
  <c r="C180" i="2"/>
  <c r="C158" i="2"/>
  <c r="K94" i="2"/>
  <c r="K116" i="2" s="1"/>
  <c r="K138" i="2" s="1"/>
  <c r="M54" i="2"/>
  <c r="M76" i="2" s="1"/>
  <c r="M98" i="2" s="1"/>
  <c r="M120" i="2" s="1"/>
  <c r="M142" i="2" s="1"/>
  <c r="M53" i="2"/>
  <c r="M52" i="2"/>
  <c r="M74" i="2" s="1"/>
  <c r="M96" i="2" s="1"/>
  <c r="M118" i="2" s="1"/>
  <c r="M140" i="2" s="1"/>
  <c r="M73" i="2"/>
  <c r="M95" i="2" s="1"/>
  <c r="M117" i="2" s="1"/>
  <c r="M139" i="2" s="1"/>
  <c r="C72" i="2"/>
  <c r="C118" i="3"/>
  <c r="C120" i="3"/>
  <c r="B60" i="3"/>
  <c r="C63" i="3" s="1"/>
  <c r="B40" i="3"/>
  <c r="C43" i="3" s="1"/>
  <c r="B140" i="3"/>
  <c r="C143" i="3" s="1"/>
  <c r="C40" i="3"/>
  <c r="C60" i="3"/>
  <c r="C100" i="3"/>
  <c r="C38" i="3"/>
  <c r="B80" i="3"/>
  <c r="C83" i="3" s="1"/>
  <c r="K44" i="3"/>
  <c r="C80" i="3"/>
  <c r="K42" i="3"/>
  <c r="C136" i="2"/>
  <c r="K53" i="2"/>
  <c r="C48" i="2"/>
  <c r="L52" i="2"/>
  <c r="L74" i="2" s="1"/>
  <c r="L96" i="2" s="1"/>
  <c r="K54" i="2"/>
  <c r="C94" i="2"/>
  <c r="C116" i="2"/>
  <c r="K52" i="2"/>
  <c r="K74" i="2" s="1"/>
  <c r="K96" i="2" s="1"/>
  <c r="K118" i="2" s="1"/>
  <c r="K140" i="2" s="1"/>
  <c r="L53" i="2"/>
  <c r="L54" i="2"/>
  <c r="L76" i="2" s="1"/>
  <c r="L98" i="2" s="1"/>
  <c r="L120" i="2" s="1"/>
  <c r="L142" i="2" s="1"/>
  <c r="C14" i="2"/>
  <c r="L163" i="11" l="1"/>
  <c r="L143" i="11"/>
  <c r="B159" i="11"/>
  <c r="B139" i="11"/>
  <c r="K82" i="11"/>
  <c r="C101" i="11"/>
  <c r="K124" i="11"/>
  <c r="C63" i="11"/>
  <c r="L84" i="11"/>
  <c r="L104" i="11" s="1"/>
  <c r="L124" i="11" s="1"/>
  <c r="C61" i="11"/>
  <c r="K83" i="11"/>
  <c r="K103" i="11" s="1"/>
  <c r="K123" i="11" s="1"/>
  <c r="B160" i="11"/>
  <c r="B140" i="11"/>
  <c r="L82" i="11"/>
  <c r="Z163" i="10"/>
  <c r="Z207" i="10" s="1"/>
  <c r="Z141" i="10"/>
  <c r="Z185" i="10" s="1"/>
  <c r="Q93" i="10"/>
  <c r="R95" i="10" s="1"/>
  <c r="AA119" i="10"/>
  <c r="R97" i="10"/>
  <c r="B159" i="10"/>
  <c r="C161" i="10" s="1"/>
  <c r="C183" i="10"/>
  <c r="K358" i="10"/>
  <c r="L164" i="10"/>
  <c r="L208" i="10" s="1"/>
  <c r="L362" i="10" s="1"/>
  <c r="L142" i="10"/>
  <c r="K163" i="10"/>
  <c r="K207" i="10" s="1"/>
  <c r="K361" i="10" s="1"/>
  <c r="K141" i="10"/>
  <c r="K185" i="10" s="1"/>
  <c r="C141" i="10"/>
  <c r="L119" i="10"/>
  <c r="C97" i="10"/>
  <c r="AB120" i="10"/>
  <c r="R99" i="10"/>
  <c r="Z229" i="10"/>
  <c r="Z361" i="10"/>
  <c r="AA228" i="10"/>
  <c r="AA360" i="10"/>
  <c r="Z208" i="10"/>
  <c r="AB360" i="10"/>
  <c r="AB228" i="10"/>
  <c r="Z118" i="10"/>
  <c r="Z140" i="10" s="1"/>
  <c r="Z184" i="10" s="1"/>
  <c r="C363" i="10"/>
  <c r="L228" i="10"/>
  <c r="C207" i="10"/>
  <c r="L360" i="10"/>
  <c r="M360" i="10"/>
  <c r="M228" i="10"/>
  <c r="C209" i="10"/>
  <c r="C165" i="10"/>
  <c r="K208" i="10"/>
  <c r="B225" i="10"/>
  <c r="K118" i="10"/>
  <c r="K140" i="10" s="1"/>
  <c r="K184" i="10" s="1"/>
  <c r="L88" i="9"/>
  <c r="L110" i="9" s="1"/>
  <c r="L132" i="9" s="1"/>
  <c r="B172" i="9"/>
  <c r="K109" i="9"/>
  <c r="K131" i="9" s="1"/>
  <c r="K111" i="9"/>
  <c r="K133" i="9" s="1"/>
  <c r="K154" i="9"/>
  <c r="K176" i="9" s="1"/>
  <c r="K198" i="9" s="1"/>
  <c r="K220" i="9" s="1"/>
  <c r="K242" i="9" s="1"/>
  <c r="K264" i="9" s="1"/>
  <c r="K286" i="9"/>
  <c r="L197" i="9"/>
  <c r="L219" i="9" s="1"/>
  <c r="L287" i="9"/>
  <c r="L155" i="9"/>
  <c r="L177" i="9" s="1"/>
  <c r="L199" i="9" s="1"/>
  <c r="L221" i="9" s="1"/>
  <c r="L243" i="9" s="1"/>
  <c r="L265" i="9" s="1"/>
  <c r="K120" i="8"/>
  <c r="M205" i="8"/>
  <c r="M227" i="8" s="1"/>
  <c r="M249" i="8" s="1"/>
  <c r="M271" i="8" s="1"/>
  <c r="M293" i="8" s="1"/>
  <c r="M315" i="8" s="1"/>
  <c r="M337" i="8"/>
  <c r="M341" i="8"/>
  <c r="M209" i="8"/>
  <c r="M231" i="8" s="1"/>
  <c r="M253" i="8" s="1"/>
  <c r="M275" i="8" s="1"/>
  <c r="M297" i="8" s="1"/>
  <c r="M319" i="8" s="1"/>
  <c r="B115" i="8"/>
  <c r="C117" i="8"/>
  <c r="L162" i="8"/>
  <c r="M339" i="8"/>
  <c r="M207" i="8"/>
  <c r="M229" i="8" s="1"/>
  <c r="M251" i="8" s="1"/>
  <c r="M273" i="8" s="1"/>
  <c r="M295" i="8" s="1"/>
  <c r="M317" i="8" s="1"/>
  <c r="M142" i="8"/>
  <c r="M186" i="8" s="1"/>
  <c r="M203" i="8"/>
  <c r="M225" i="8" s="1"/>
  <c r="M247" i="8" s="1"/>
  <c r="M269" i="8" s="1"/>
  <c r="M291" i="8" s="1"/>
  <c r="M313" i="8" s="1"/>
  <c r="M335" i="8"/>
  <c r="K163" i="8"/>
  <c r="K141" i="8"/>
  <c r="K185" i="8" s="1"/>
  <c r="K142" i="8"/>
  <c r="M184" i="8"/>
  <c r="B137" i="8"/>
  <c r="C139" i="8" s="1"/>
  <c r="L206" i="8"/>
  <c r="L338" i="8"/>
  <c r="K335" i="8"/>
  <c r="K203" i="8"/>
  <c r="K225" i="8" s="1"/>
  <c r="K247" i="8" s="1"/>
  <c r="K269" i="8" s="1"/>
  <c r="K291" i="8" s="1"/>
  <c r="K313" i="8" s="1"/>
  <c r="J209" i="7"/>
  <c r="J231" i="7" s="1"/>
  <c r="J253" i="7" s="1"/>
  <c r="J275" i="7" s="1"/>
  <c r="J297" i="7" s="1"/>
  <c r="J319" i="7" s="1"/>
  <c r="M211" i="7"/>
  <c r="M233" i="7" s="1"/>
  <c r="M255" i="7" s="1"/>
  <c r="M277" i="7" s="1"/>
  <c r="M299" i="7" s="1"/>
  <c r="M321" i="7" s="1"/>
  <c r="K75" i="7"/>
  <c r="K97" i="7" s="1"/>
  <c r="K141" i="7" s="1"/>
  <c r="K185" i="7" s="1"/>
  <c r="K339" i="7" s="1"/>
  <c r="C178" i="7"/>
  <c r="B336" i="7"/>
  <c r="C53" i="7"/>
  <c r="L98" i="7"/>
  <c r="L142" i="7" s="1"/>
  <c r="L186" i="7" s="1"/>
  <c r="C75" i="7"/>
  <c r="C312" i="7"/>
  <c r="M76" i="7"/>
  <c r="C55" i="7"/>
  <c r="K210" i="7"/>
  <c r="K232" i="7" s="1"/>
  <c r="K254" i="7" s="1"/>
  <c r="K276" i="7" s="1"/>
  <c r="K298" i="7" s="1"/>
  <c r="K320" i="7" s="1"/>
  <c r="J206" i="7"/>
  <c r="J228" i="7" s="1"/>
  <c r="J250" i="7" s="1"/>
  <c r="J272" i="7" s="1"/>
  <c r="J294" i="7" s="1"/>
  <c r="J316" i="7" s="1"/>
  <c r="K137" i="7"/>
  <c r="K181" i="7" s="1"/>
  <c r="K203" i="7" s="1"/>
  <c r="K225" i="7" s="1"/>
  <c r="K247" i="7" s="1"/>
  <c r="K269" i="7" s="1"/>
  <c r="K291" i="7" s="1"/>
  <c r="K313" i="7" s="1"/>
  <c r="K115" i="7"/>
  <c r="K159" i="7" s="1"/>
  <c r="M141" i="7"/>
  <c r="M185" i="7" s="1"/>
  <c r="M119" i="7"/>
  <c r="L143" i="7"/>
  <c r="L187" i="7" s="1"/>
  <c r="L121" i="7"/>
  <c r="L165" i="7" s="1"/>
  <c r="C117" i="7"/>
  <c r="B115" i="7"/>
  <c r="K138" i="7"/>
  <c r="K182" i="7" s="1"/>
  <c r="K336" i="7" s="1"/>
  <c r="K116" i="7"/>
  <c r="K160" i="7" s="1"/>
  <c r="L137" i="7"/>
  <c r="L181" i="7" s="1"/>
  <c r="L115" i="7"/>
  <c r="L159" i="7" s="1"/>
  <c r="M137" i="7"/>
  <c r="M181" i="7" s="1"/>
  <c r="M203" i="7" s="1"/>
  <c r="M225" i="7" s="1"/>
  <c r="M247" i="7" s="1"/>
  <c r="M269" i="7" s="1"/>
  <c r="M291" i="7" s="1"/>
  <c r="M313" i="7" s="1"/>
  <c r="M115" i="7"/>
  <c r="M159" i="7" s="1"/>
  <c r="K119" i="7"/>
  <c r="K163" i="7" s="1"/>
  <c r="M140" i="7"/>
  <c r="M184" i="7" s="1"/>
  <c r="M118" i="7"/>
  <c r="M162" i="7" s="1"/>
  <c r="B159" i="7" s="1"/>
  <c r="C161" i="7" s="1"/>
  <c r="C248" i="7"/>
  <c r="C246" i="7"/>
  <c r="C180" i="7"/>
  <c r="C182" i="7"/>
  <c r="B335" i="7"/>
  <c r="C337" i="7" s="1"/>
  <c r="K76" i="7"/>
  <c r="K98" i="7" s="1"/>
  <c r="C204" i="7"/>
  <c r="C202" i="7"/>
  <c r="L140" i="7"/>
  <c r="L184" i="7" s="1"/>
  <c r="C95" i="7"/>
  <c r="B93" i="7"/>
  <c r="C224" i="7"/>
  <c r="C226" i="7"/>
  <c r="C270" i="7"/>
  <c r="C268" i="7"/>
  <c r="L97" i="7"/>
  <c r="K74" i="7"/>
  <c r="B49" i="7"/>
  <c r="B181" i="7"/>
  <c r="C290" i="7"/>
  <c r="C292" i="7"/>
  <c r="M209" i="7"/>
  <c r="M231" i="7" s="1"/>
  <c r="M253" i="7" s="1"/>
  <c r="M275" i="7" s="1"/>
  <c r="M297" i="7" s="1"/>
  <c r="M319" i="7" s="1"/>
  <c r="M341" i="7"/>
  <c r="M335" i="7"/>
  <c r="K104" i="6"/>
  <c r="C81" i="6"/>
  <c r="B179" i="6"/>
  <c r="K102" i="6"/>
  <c r="K122" i="6" s="1"/>
  <c r="K140" i="6"/>
  <c r="K160" i="6"/>
  <c r="K180" i="6" s="1"/>
  <c r="B59" i="6"/>
  <c r="K63" i="6"/>
  <c r="K83" i="6" s="1"/>
  <c r="K103" i="6" s="1"/>
  <c r="K123" i="6" s="1"/>
  <c r="C120" i="6"/>
  <c r="B120" i="6"/>
  <c r="L62" i="6"/>
  <c r="L82" i="6" s="1"/>
  <c r="B100" i="6"/>
  <c r="L63" i="6"/>
  <c r="L83" i="6" s="1"/>
  <c r="L103" i="6" s="1"/>
  <c r="B119" i="6"/>
  <c r="B39" i="6"/>
  <c r="B99" i="6"/>
  <c r="B199" i="6"/>
  <c r="C201" i="6" s="1"/>
  <c r="B79" i="6"/>
  <c r="B72" i="5"/>
  <c r="C74" i="5" s="1"/>
  <c r="K77" i="5"/>
  <c r="K58" i="5"/>
  <c r="K57" i="5"/>
  <c r="B53" i="5"/>
  <c r="C55" i="5" s="1"/>
  <c r="C35" i="5"/>
  <c r="L57" i="5"/>
  <c r="K56" i="5"/>
  <c r="B31" i="5"/>
  <c r="C33" i="5"/>
  <c r="K289" i="4"/>
  <c r="K157" i="4"/>
  <c r="K179" i="4" s="1"/>
  <c r="K201" i="4" s="1"/>
  <c r="K223" i="4" s="1"/>
  <c r="K245" i="4" s="1"/>
  <c r="K267" i="4" s="1"/>
  <c r="L158" i="4"/>
  <c r="L180" i="4" s="1"/>
  <c r="L202" i="4" s="1"/>
  <c r="L224" i="4" s="1"/>
  <c r="L246" i="4" s="1"/>
  <c r="L268" i="4" s="1"/>
  <c r="L290" i="4"/>
  <c r="J287" i="4"/>
  <c r="J155" i="4"/>
  <c r="J177" i="4" s="1"/>
  <c r="J199" i="4" s="1"/>
  <c r="J221" i="4" s="1"/>
  <c r="J243" i="4" s="1"/>
  <c r="J265" i="4" s="1"/>
  <c r="M110" i="4"/>
  <c r="M132" i="4" s="1"/>
  <c r="J158" i="4"/>
  <c r="J180" i="4" s="1"/>
  <c r="J202" i="4" s="1"/>
  <c r="J224" i="4" s="1"/>
  <c r="J246" i="4" s="1"/>
  <c r="J268" i="4" s="1"/>
  <c r="M289" i="4"/>
  <c r="L150" i="4"/>
  <c r="L172" i="4" s="1"/>
  <c r="L194" i="4" s="1"/>
  <c r="L216" i="4" s="1"/>
  <c r="L238" i="4" s="1"/>
  <c r="L260" i="4" s="1"/>
  <c r="M148" i="4"/>
  <c r="M170" i="4" s="1"/>
  <c r="M192" i="4" s="1"/>
  <c r="M214" i="4" s="1"/>
  <c r="M236" i="4" s="1"/>
  <c r="M258" i="4" s="1"/>
  <c r="K110" i="4"/>
  <c r="K132" i="4" s="1"/>
  <c r="M111" i="4"/>
  <c r="M133" i="4" s="1"/>
  <c r="L66" i="4"/>
  <c r="L88" i="4" s="1"/>
  <c r="L110" i="4" s="1"/>
  <c r="L157" i="4"/>
  <c r="L179" i="4" s="1"/>
  <c r="L201" i="4" s="1"/>
  <c r="L223" i="4" s="1"/>
  <c r="L245" i="4" s="1"/>
  <c r="L267" i="4" s="1"/>
  <c r="B283" i="4"/>
  <c r="L67" i="4"/>
  <c r="L89" i="4" s="1"/>
  <c r="C44" i="4"/>
  <c r="B282" i="4"/>
  <c r="C284" i="4" s="1"/>
  <c r="K67" i="4"/>
  <c r="K89" i="4" s="1"/>
  <c r="K111" i="4" s="1"/>
  <c r="M285" i="4"/>
  <c r="M153" i="4"/>
  <c r="L131" i="4"/>
  <c r="C86" i="4"/>
  <c r="B84" i="4"/>
  <c r="C171" i="4"/>
  <c r="C173" i="4"/>
  <c r="K150" i="4"/>
  <c r="K172" i="4" s="1"/>
  <c r="K194" i="4" s="1"/>
  <c r="K216" i="4" s="1"/>
  <c r="K238" i="4" s="1"/>
  <c r="K260" i="4" s="1"/>
  <c r="K282" i="4"/>
  <c r="C217" i="4"/>
  <c r="C215" i="4"/>
  <c r="K65" i="4"/>
  <c r="B40" i="4"/>
  <c r="C42" i="4"/>
  <c r="M156" i="4"/>
  <c r="M178" i="4" s="1"/>
  <c r="M200" i="4" s="1"/>
  <c r="M222" i="4" s="1"/>
  <c r="M244" i="4" s="1"/>
  <c r="M266" i="4" s="1"/>
  <c r="M288" i="4"/>
  <c r="M282" i="4"/>
  <c r="M150" i="4"/>
  <c r="M172" i="4" s="1"/>
  <c r="M194" i="4" s="1"/>
  <c r="M216" i="4" s="1"/>
  <c r="M238" i="4" s="1"/>
  <c r="M260" i="4" s="1"/>
  <c r="K283" i="4"/>
  <c r="K151" i="4"/>
  <c r="K173" i="4" s="1"/>
  <c r="K195" i="4" s="1"/>
  <c r="K217" i="4" s="1"/>
  <c r="K239" i="4" s="1"/>
  <c r="K261" i="4" s="1"/>
  <c r="C202" i="2"/>
  <c r="C226" i="2"/>
  <c r="B116" i="2"/>
  <c r="L75" i="2"/>
  <c r="C75" i="2" s="1"/>
  <c r="C53" i="2"/>
  <c r="K76" i="2"/>
  <c r="K98" i="2" s="1"/>
  <c r="K120" i="2" s="1"/>
  <c r="K142" i="2" s="1"/>
  <c r="C95" i="2"/>
  <c r="L118" i="2"/>
  <c r="L140" i="2" s="1"/>
  <c r="B71" i="2"/>
  <c r="C73" i="2" s="1"/>
  <c r="K75" i="2"/>
  <c r="K97" i="2" s="1"/>
  <c r="K119" i="2" s="1"/>
  <c r="K141" i="2" s="1"/>
  <c r="M75" i="2"/>
  <c r="C55" i="2"/>
  <c r="B119" i="3"/>
  <c r="C121" i="3" s="1"/>
  <c r="B39" i="3"/>
  <c r="C41" i="3" s="1"/>
  <c r="B99" i="3"/>
  <c r="C101" i="3" s="1"/>
  <c r="B139" i="3"/>
  <c r="C141" i="3" s="1"/>
  <c r="B79" i="3"/>
  <c r="C81" i="3" s="1"/>
  <c r="C138" i="2"/>
  <c r="B49" i="2"/>
  <c r="B137" i="2"/>
  <c r="C117" i="2"/>
  <c r="K164" i="11" l="1"/>
  <c r="K184" i="11" s="1"/>
  <c r="K144" i="11"/>
  <c r="B180" i="11"/>
  <c r="C83" i="11"/>
  <c r="L102" i="11"/>
  <c r="L122" i="11" s="1"/>
  <c r="K163" i="11"/>
  <c r="K143" i="11"/>
  <c r="C141" i="11" s="1"/>
  <c r="L144" i="11"/>
  <c r="L164" i="11"/>
  <c r="L184" i="11" s="1"/>
  <c r="K102" i="11"/>
  <c r="K122" i="11" s="1"/>
  <c r="B179" i="11"/>
  <c r="L183" i="11"/>
  <c r="C183" i="11" s="1"/>
  <c r="C163" i="11"/>
  <c r="AA163" i="10"/>
  <c r="AA207" i="10" s="1"/>
  <c r="AA141" i="10"/>
  <c r="AA185" i="10" s="1"/>
  <c r="L230" i="10"/>
  <c r="L252" i="10" s="1"/>
  <c r="L274" i="10" s="1"/>
  <c r="L296" i="10" s="1"/>
  <c r="L318" i="10" s="1"/>
  <c r="L340" i="10" s="1"/>
  <c r="L186" i="10"/>
  <c r="B137" i="10"/>
  <c r="L163" i="10"/>
  <c r="L207" i="10" s="1"/>
  <c r="L141" i="10"/>
  <c r="L185" i="10" s="1"/>
  <c r="K229" i="10"/>
  <c r="K251" i="10" s="1"/>
  <c r="K273" i="10" s="1"/>
  <c r="K295" i="10" s="1"/>
  <c r="K317" i="10" s="1"/>
  <c r="K339" i="10" s="1"/>
  <c r="AA250" i="10"/>
  <c r="AB164" i="10"/>
  <c r="AB208" i="10" s="1"/>
  <c r="R119" i="10"/>
  <c r="AB250" i="10"/>
  <c r="Z251" i="10"/>
  <c r="Z273" i="10" s="1"/>
  <c r="Z295" i="10" s="1"/>
  <c r="Z317" i="10" s="1"/>
  <c r="Z339" i="10" s="1"/>
  <c r="Q247" i="10"/>
  <c r="Z162" i="10"/>
  <c r="Z230" i="10"/>
  <c r="Z252" i="10" s="1"/>
  <c r="Z274" i="10" s="1"/>
  <c r="Z296" i="10" s="1"/>
  <c r="Z318" i="10" s="1"/>
  <c r="Z340" i="10" s="1"/>
  <c r="Z362" i="10"/>
  <c r="B247" i="10"/>
  <c r="K162" i="10"/>
  <c r="C231" i="10"/>
  <c r="M250" i="10"/>
  <c r="L250" i="10"/>
  <c r="C229" i="10"/>
  <c r="K362" i="10"/>
  <c r="K230" i="10"/>
  <c r="K252" i="10" s="1"/>
  <c r="K274" i="10" s="1"/>
  <c r="K296" i="10" s="1"/>
  <c r="K318" i="10" s="1"/>
  <c r="K340" i="10" s="1"/>
  <c r="K287" i="9"/>
  <c r="K155" i="9"/>
  <c r="K177" i="9" s="1"/>
  <c r="K199" i="9" s="1"/>
  <c r="K221" i="9" s="1"/>
  <c r="K243" i="9" s="1"/>
  <c r="K265" i="9" s="1"/>
  <c r="L154" i="9"/>
  <c r="L176" i="9" s="1"/>
  <c r="L198" i="9" s="1"/>
  <c r="L220" i="9" s="1"/>
  <c r="L242" i="9" s="1"/>
  <c r="L264" i="9" s="1"/>
  <c r="L286" i="9"/>
  <c r="L241" i="9"/>
  <c r="L263" i="9" s="1"/>
  <c r="C220" i="9"/>
  <c r="K153" i="9"/>
  <c r="K175" i="9" s="1"/>
  <c r="K285" i="9"/>
  <c r="B216" i="9"/>
  <c r="M338" i="8"/>
  <c r="M206" i="8"/>
  <c r="K207" i="8"/>
  <c r="K339" i="8"/>
  <c r="M208" i="8"/>
  <c r="M230" i="8" s="1"/>
  <c r="M340" i="8"/>
  <c r="C341" i="8" s="1"/>
  <c r="K186" i="8"/>
  <c r="L164" i="8"/>
  <c r="L142" i="8"/>
  <c r="L186" i="8" s="1"/>
  <c r="K140" i="8"/>
  <c r="K162" i="8"/>
  <c r="L228" i="8"/>
  <c r="K164" i="8"/>
  <c r="L163" i="8"/>
  <c r="L141" i="8"/>
  <c r="L185" i="8" s="1"/>
  <c r="M164" i="8"/>
  <c r="C187" i="7"/>
  <c r="L120" i="7"/>
  <c r="L164" i="7" s="1"/>
  <c r="M338" i="7"/>
  <c r="B137" i="7"/>
  <c r="C139" i="7" s="1"/>
  <c r="M206" i="7"/>
  <c r="K207" i="7"/>
  <c r="C205" i="7" s="1"/>
  <c r="K120" i="7"/>
  <c r="C119" i="7" s="1"/>
  <c r="C97" i="7"/>
  <c r="M98" i="7"/>
  <c r="C77" i="7"/>
  <c r="K335" i="7"/>
  <c r="K204" i="7"/>
  <c r="K226" i="7" s="1"/>
  <c r="K248" i="7" s="1"/>
  <c r="K270" i="7" s="1"/>
  <c r="K292" i="7" s="1"/>
  <c r="K314" i="7" s="1"/>
  <c r="M163" i="7"/>
  <c r="L340" i="7"/>
  <c r="C339" i="7" s="1"/>
  <c r="L208" i="7"/>
  <c r="L230" i="7" s="1"/>
  <c r="L252" i="7" s="1"/>
  <c r="L274" i="7" s="1"/>
  <c r="L296" i="7" s="1"/>
  <c r="L318" i="7" s="1"/>
  <c r="L209" i="7"/>
  <c r="L231" i="7" s="1"/>
  <c r="L253" i="7" s="1"/>
  <c r="L275" i="7" s="1"/>
  <c r="L297" i="7" s="1"/>
  <c r="L319" i="7" s="1"/>
  <c r="L341" i="7"/>
  <c r="L141" i="7"/>
  <c r="L185" i="7" s="1"/>
  <c r="C185" i="7" s="1"/>
  <c r="L119" i="7"/>
  <c r="L163" i="7" s="1"/>
  <c r="L335" i="7"/>
  <c r="L203" i="7"/>
  <c r="L225" i="7" s="1"/>
  <c r="L247" i="7" s="1"/>
  <c r="L269" i="7" s="1"/>
  <c r="L291" i="7" s="1"/>
  <c r="L313" i="7" s="1"/>
  <c r="M339" i="7"/>
  <c r="M207" i="7"/>
  <c r="M229" i="7" s="1"/>
  <c r="M251" i="7" s="1"/>
  <c r="M273" i="7" s="1"/>
  <c r="M295" i="7" s="1"/>
  <c r="M317" i="7" s="1"/>
  <c r="L206" i="7"/>
  <c r="L338" i="7"/>
  <c r="K142" i="7"/>
  <c r="B203" i="7"/>
  <c r="K96" i="7"/>
  <c r="K118" i="7" s="1"/>
  <c r="K162" i="7" s="1"/>
  <c r="M228" i="7"/>
  <c r="K143" i="6"/>
  <c r="K163" i="6"/>
  <c r="C121" i="6"/>
  <c r="K162" i="6"/>
  <c r="K182" i="6" s="1"/>
  <c r="C181" i="6" s="1"/>
  <c r="K142" i="6"/>
  <c r="C83" i="6"/>
  <c r="L102" i="6"/>
  <c r="L122" i="6" s="1"/>
  <c r="B180" i="6"/>
  <c r="C103" i="6"/>
  <c r="L123" i="6"/>
  <c r="K124" i="6"/>
  <c r="C101" i="6"/>
  <c r="M287" i="4"/>
  <c r="M155" i="4"/>
  <c r="M177" i="4" s="1"/>
  <c r="M199" i="4" s="1"/>
  <c r="M221" i="4" s="1"/>
  <c r="M243" i="4" s="1"/>
  <c r="M265" i="4" s="1"/>
  <c r="K154" i="4"/>
  <c r="K176" i="4" s="1"/>
  <c r="K198" i="4" s="1"/>
  <c r="K220" i="4" s="1"/>
  <c r="K242" i="4" s="1"/>
  <c r="K264" i="4" s="1"/>
  <c r="K286" i="4"/>
  <c r="M154" i="4"/>
  <c r="M176" i="4" s="1"/>
  <c r="M198" i="4" s="1"/>
  <c r="M220" i="4" s="1"/>
  <c r="M242" i="4" s="1"/>
  <c r="M264" i="4" s="1"/>
  <c r="M286" i="4"/>
  <c r="L111" i="4"/>
  <c r="L133" i="4" s="1"/>
  <c r="C66" i="4"/>
  <c r="L153" i="4"/>
  <c r="L285" i="4"/>
  <c r="C90" i="4"/>
  <c r="K87" i="4"/>
  <c r="K109" i="4" s="1"/>
  <c r="L132" i="4"/>
  <c r="M175" i="4"/>
  <c r="C270" i="2"/>
  <c r="C224" i="2"/>
  <c r="M97" i="2"/>
  <c r="M119" i="2" s="1"/>
  <c r="M141" i="2" s="1"/>
  <c r="C77" i="2"/>
  <c r="L97" i="2"/>
  <c r="L119" i="2" s="1"/>
  <c r="L141" i="2" s="1"/>
  <c r="K162" i="11" l="1"/>
  <c r="K182" i="11" s="1"/>
  <c r="C181" i="11" s="1"/>
  <c r="K142" i="11"/>
  <c r="C121" i="11"/>
  <c r="K183" i="11"/>
  <c r="C161" i="11"/>
  <c r="C123" i="11"/>
  <c r="L162" i="11"/>
  <c r="L182" i="11" s="1"/>
  <c r="L142" i="11"/>
  <c r="C143" i="11" s="1"/>
  <c r="AA361" i="10"/>
  <c r="R361" i="10" s="1"/>
  <c r="AA229" i="10"/>
  <c r="AA251" i="10" s="1"/>
  <c r="AA273" i="10" s="1"/>
  <c r="AA295" i="10" s="1"/>
  <c r="AA317" i="10" s="1"/>
  <c r="AA339" i="10" s="1"/>
  <c r="C163" i="10"/>
  <c r="C185" i="10"/>
  <c r="C227" i="10"/>
  <c r="L229" i="10"/>
  <c r="L251" i="10" s="1"/>
  <c r="L273" i="10" s="1"/>
  <c r="L295" i="10" s="1"/>
  <c r="L317" i="10" s="1"/>
  <c r="L339" i="10" s="1"/>
  <c r="L361" i="10"/>
  <c r="C361" i="10" s="1"/>
  <c r="Z206" i="10"/>
  <c r="AA272" i="10"/>
  <c r="R251" i="10"/>
  <c r="R253" i="10"/>
  <c r="AB272" i="10"/>
  <c r="AB362" i="10"/>
  <c r="R363" i="10" s="1"/>
  <c r="AB230" i="10"/>
  <c r="AB252" i="10" s="1"/>
  <c r="AB274" i="10" s="1"/>
  <c r="AB296" i="10" s="1"/>
  <c r="AB318" i="10" s="1"/>
  <c r="AB340" i="10" s="1"/>
  <c r="B269" i="10"/>
  <c r="K206" i="10"/>
  <c r="C251" i="10"/>
  <c r="L272" i="10"/>
  <c r="C253" i="10"/>
  <c r="M272" i="10"/>
  <c r="K197" i="9"/>
  <c r="K219" i="9" s="1"/>
  <c r="L250" i="8"/>
  <c r="L272" i="8" s="1"/>
  <c r="L340" i="8"/>
  <c r="C339" i="8" s="1"/>
  <c r="L208" i="8"/>
  <c r="L230" i="8" s="1"/>
  <c r="L252" i="8" s="1"/>
  <c r="K340" i="8"/>
  <c r="K208" i="8"/>
  <c r="K230" i="8" s="1"/>
  <c r="K252" i="8" s="1"/>
  <c r="K274" i="8" s="1"/>
  <c r="K296" i="8" s="1"/>
  <c r="K318" i="8" s="1"/>
  <c r="K229" i="8"/>
  <c r="K251" i="8" s="1"/>
  <c r="K273" i="8" s="1"/>
  <c r="K295" i="8" s="1"/>
  <c r="K317" i="8" s="1"/>
  <c r="M252" i="8"/>
  <c r="M274" i="8" s="1"/>
  <c r="M228" i="8"/>
  <c r="M250" i="8" s="1"/>
  <c r="L207" i="8"/>
  <c r="L339" i="8"/>
  <c r="B247" i="8"/>
  <c r="K184" i="8"/>
  <c r="C143" i="7"/>
  <c r="C141" i="7"/>
  <c r="K229" i="7"/>
  <c r="K251" i="7" s="1"/>
  <c r="K273" i="7" s="1"/>
  <c r="K295" i="7" s="1"/>
  <c r="K317" i="7" s="1"/>
  <c r="C207" i="7"/>
  <c r="C99" i="7"/>
  <c r="M142" i="7"/>
  <c r="M186" i="7" s="1"/>
  <c r="M120" i="7"/>
  <c r="C209" i="7"/>
  <c r="K164" i="7"/>
  <c r="L339" i="7"/>
  <c r="L207" i="7"/>
  <c r="L229" i="7" s="1"/>
  <c r="L251" i="7" s="1"/>
  <c r="L273" i="7" s="1"/>
  <c r="L295" i="7" s="1"/>
  <c r="L317" i="7" s="1"/>
  <c r="M250" i="7"/>
  <c r="B225" i="7"/>
  <c r="K140" i="7"/>
  <c r="K186" i="7"/>
  <c r="L228" i="7"/>
  <c r="C229" i="7" s="1"/>
  <c r="K144" i="6"/>
  <c r="K164" i="6"/>
  <c r="K184" i="6" s="1"/>
  <c r="L142" i="6"/>
  <c r="C143" i="6" s="1"/>
  <c r="C123" i="6"/>
  <c r="L162" i="6"/>
  <c r="L182" i="6" s="1"/>
  <c r="L143" i="6"/>
  <c r="L163" i="6"/>
  <c r="C161" i="6"/>
  <c r="K183" i="6"/>
  <c r="L155" i="4"/>
  <c r="L177" i="4" s="1"/>
  <c r="L199" i="4" s="1"/>
  <c r="L221" i="4" s="1"/>
  <c r="L243" i="4" s="1"/>
  <c r="L265" i="4" s="1"/>
  <c r="L287" i="4"/>
  <c r="K133" i="4"/>
  <c r="L175" i="4"/>
  <c r="L286" i="4"/>
  <c r="L154" i="4"/>
  <c r="L176" i="4" s="1"/>
  <c r="L198" i="4" s="1"/>
  <c r="L220" i="4" s="1"/>
  <c r="L242" i="4" s="1"/>
  <c r="L264" i="4" s="1"/>
  <c r="M197" i="4"/>
  <c r="B172" i="4"/>
  <c r="C248" i="2"/>
  <c r="C246" i="2"/>
  <c r="C268" i="2"/>
  <c r="AA294" i="10" l="1"/>
  <c r="AB294" i="10"/>
  <c r="Z360" i="10"/>
  <c r="Z228" i="10"/>
  <c r="Q291" i="10"/>
  <c r="M294" i="10"/>
  <c r="C275" i="10"/>
  <c r="K360" i="10"/>
  <c r="C205" i="10"/>
  <c r="K228" i="10"/>
  <c r="B291" i="10"/>
  <c r="L294" i="10"/>
  <c r="C273" i="10"/>
  <c r="C218" i="9"/>
  <c r="K241" i="9"/>
  <c r="K263" i="9" s="1"/>
  <c r="M296" i="8"/>
  <c r="M318" i="8" s="1"/>
  <c r="L274" i="8"/>
  <c r="L296" i="8" s="1"/>
  <c r="K338" i="8"/>
  <c r="K206" i="8"/>
  <c r="L229" i="8"/>
  <c r="M272" i="8"/>
  <c r="M294" i="8" s="1"/>
  <c r="L294" i="8"/>
  <c r="L316" i="8" s="1"/>
  <c r="M164" i="7"/>
  <c r="C121" i="7"/>
  <c r="M208" i="7"/>
  <c r="M230" i="7" s="1"/>
  <c r="M252" i="7" s="1"/>
  <c r="M274" i="7" s="1"/>
  <c r="M296" i="7" s="1"/>
  <c r="M318" i="7" s="1"/>
  <c r="M340" i="7"/>
  <c r="C341" i="7" s="1"/>
  <c r="C165" i="7"/>
  <c r="C163" i="7"/>
  <c r="K208" i="7"/>
  <c r="K230" i="7" s="1"/>
  <c r="K252" i="7" s="1"/>
  <c r="K274" i="7" s="1"/>
  <c r="K296" i="7" s="1"/>
  <c r="K318" i="7" s="1"/>
  <c r="K340" i="7"/>
  <c r="M272" i="7"/>
  <c r="K184" i="7"/>
  <c r="B247" i="7"/>
  <c r="L250" i="7"/>
  <c r="C163" i="6"/>
  <c r="L183" i="6"/>
  <c r="C183" i="6" s="1"/>
  <c r="C286" i="4"/>
  <c r="K131" i="4"/>
  <c r="K155" i="4"/>
  <c r="K177" i="4" s="1"/>
  <c r="K199" i="4" s="1"/>
  <c r="K221" i="4" s="1"/>
  <c r="K243" i="4" s="1"/>
  <c r="K265" i="4" s="1"/>
  <c r="K287" i="4"/>
  <c r="M219" i="4"/>
  <c r="L197" i="4"/>
  <c r="C176" i="4"/>
  <c r="R297" i="10" l="1"/>
  <c r="AB316" i="10"/>
  <c r="Z250" i="10"/>
  <c r="AA316" i="10"/>
  <c r="R295" i="10"/>
  <c r="B313" i="10"/>
  <c r="K250" i="10"/>
  <c r="C297" i="10"/>
  <c r="M316" i="10"/>
  <c r="L316" i="10"/>
  <c r="C295" i="10"/>
  <c r="M316" i="8"/>
  <c r="L318" i="8"/>
  <c r="B291" i="8"/>
  <c r="K228" i="8"/>
  <c r="L251" i="8"/>
  <c r="L273" i="8" s="1"/>
  <c r="M294" i="7"/>
  <c r="L272" i="7"/>
  <c r="B269" i="7"/>
  <c r="C183" i="7"/>
  <c r="K338" i="7"/>
  <c r="K206" i="7"/>
  <c r="L219" i="4"/>
  <c r="M241" i="4"/>
  <c r="B216" i="4"/>
  <c r="K285" i="4"/>
  <c r="K153" i="4"/>
  <c r="AA338" i="10" l="1"/>
  <c r="Z272" i="10"/>
  <c r="R249" i="10"/>
  <c r="AB338" i="10"/>
  <c r="K272" i="10"/>
  <c r="C249" i="10"/>
  <c r="B335" i="10"/>
  <c r="L338" i="10"/>
  <c r="C337" i="10" s="1"/>
  <c r="C317" i="10"/>
  <c r="M338" i="10"/>
  <c r="C339" i="10" s="1"/>
  <c r="C319" i="10"/>
  <c r="L295" i="8"/>
  <c r="L317" i="8" s="1"/>
  <c r="K250" i="8"/>
  <c r="K228" i="7"/>
  <c r="B291" i="7"/>
  <c r="L294" i="7"/>
  <c r="M316" i="7"/>
  <c r="K175" i="4"/>
  <c r="M263" i="4"/>
  <c r="L241" i="4"/>
  <c r="C220" i="4"/>
  <c r="Z294" i="10" l="1"/>
  <c r="C271" i="10"/>
  <c r="K294" i="10"/>
  <c r="K272" i="8"/>
  <c r="C249" i="8"/>
  <c r="B313" i="7"/>
  <c r="K250" i="7"/>
  <c r="L316" i="7"/>
  <c r="L263" i="4"/>
  <c r="C174" i="4"/>
  <c r="K197" i="4"/>
  <c r="R293" i="10" l="1"/>
  <c r="Z316" i="10"/>
  <c r="C293" i="10"/>
  <c r="K316" i="10"/>
  <c r="K294" i="8"/>
  <c r="K272" i="7"/>
  <c r="C249" i="7"/>
  <c r="K219" i="4"/>
  <c r="Z338" i="10" l="1"/>
  <c r="K338" i="10"/>
  <c r="C315" i="10"/>
  <c r="C293" i="8"/>
  <c r="K316" i="8"/>
  <c r="C271" i="7"/>
  <c r="K294" i="7"/>
  <c r="C218" i="4"/>
  <c r="K241" i="4"/>
  <c r="C293" i="7" l="1"/>
  <c r="K316" i="7"/>
  <c r="K263" i="4"/>
</calcChain>
</file>

<file path=xl/sharedStrings.xml><?xml version="1.0" encoding="utf-8"?>
<sst xmlns="http://schemas.openxmlformats.org/spreadsheetml/2006/main" count="2094" uniqueCount="321">
  <si>
    <t>Type</t>
  </si>
  <si>
    <t>Value</t>
  </si>
  <si>
    <t>Paragraph</t>
  </si>
  <si>
    <t>Gene</t>
  </si>
  <si>
    <t>MTHFR</t>
  </si>
  <si>
    <t>Intro</t>
  </si>
  <si>
    <t>Chromosome</t>
  </si>
  <si>
    <t>Item</t>
  </si>
  <si>
    <t>enzyme</t>
  </si>
  <si>
    <t>Interval</t>
  </si>
  <si>
    <t>NC_000001.11 :g.11785730_11806103</t>
  </si>
  <si>
    <t>Variant Number</t>
  </si>
  <si>
    <t>two</t>
  </si>
  <si>
    <t xml:space="preserve"> </t>
  </si>
  <si>
    <t>Gene Location</t>
  </si>
  <si>
    <t>Name</t>
  </si>
  <si>
    <t>C677T</t>
  </si>
  <si>
    <t>Original</t>
  </si>
  <si>
    <t>cytosine (C)</t>
  </si>
  <si>
    <t>Change</t>
  </si>
  <si>
    <t>thymine (T)</t>
  </si>
  <si>
    <t>Variant</t>
  </si>
  <si>
    <t>[C677T](http://gnomad.broadinstitute.org/variant/1-11856378-G-A)</t>
  </si>
  <si>
    <t>A1298C</t>
  </si>
  <si>
    <t>adenine (A)</t>
  </si>
  <si>
    <t>[A1298C](https://www.ncbi.nlm.nih.gov/projects/SNP/snp_ref.cgi?rs=1801131)</t>
  </si>
  <si>
    <t xml:space="preserve">    # What does this mean?</t>
  </si>
  <si>
    <t>het meaning</t>
  </si>
  <si>
    <t>het effect</t>
  </si>
  <si>
    <t xml:space="preserve">    # What is the effect of this variant?</t>
  </si>
  <si>
    <t xml:space="preserve">    # How common is this genotype in the general population?</t>
  </si>
  <si>
    <t>The effect is unknown.</t>
  </si>
  <si>
    <t>Symptoms</t>
  </si>
  <si>
    <t>fatigue D005221 memory problems D008569 inflamation D007249</t>
  </si>
  <si>
    <t>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t>
  </si>
  <si>
    <t>Gene_Name</t>
  </si>
  <si>
    <t>CHRNA3</t>
  </si>
  <si>
    <t>GeneName_full</t>
  </si>
  <si>
    <t>Neuronal acetylcholine receptor subunit alpha-3</t>
  </si>
  <si>
    <t>CHRNA3 encodes a neurotransmitter called [acetylcholine](http://www.uniprot.org/citations/8906617) that regulates the creation and destruction of nicotine receptors in the nervous system. It also controls [serotonin](https://www.ebi.ac.uk/QuickGO/term/GO:0022850) channels in the brain. Variants in this gene have been associated with [nicotine dependence](https://www.ncbi.nlm.nih.gov/pubmed/22290489), [lung cancer](https://www.ncbi.nlm.nih.gov/pubmed/19836008), [COPD](https://www.ncbi.nlm.nih.gov/pubmed/24621683) (Chronic Obstructive Pulmonary Disease), [cocaine dependence](https://www.ncbi.nlm.nih.gov/pubmed/20485328), and ME/[CFS](https://www.ncbi.nlm.nih.gov/pubmed/27099524).</t>
  </si>
  <si>
    <t>protein</t>
  </si>
  <si>
    <t>C78606381T</t>
  </si>
  <si>
    <t>[C78606381T](https://www.ncbi.nlm.nih.gov/projects/SNP/snp_ref.cgi?rs=12914385)</t>
  </si>
  <si>
    <t xml:space="preserve">C645T </t>
  </si>
  <si>
    <t>guanine (G)</t>
  </si>
  <si>
    <t>[C645T](https://www.ncbi.nlm.nih.gov/clinvar/variation/17503/)</t>
  </si>
  <si>
    <t>fatigue D005221 inflamation D007249 anxiety D001007 depression D003863</t>
  </si>
  <si>
    <t xml:space="preserve">brain D001921 bone marrow and immune system D007107 </t>
  </si>
  <si>
    <t>Diseases</t>
  </si>
  <si>
    <t>cancer;  COPD; anxiety disorder; ME/CFS; nicotine dependency; autoimmune disorder; Disease susceptibility - increased susceptibility to viral, bacterial, and parasitical infections; cocaine dependence; schizophrenia, Major depression; coronary heart disease;</t>
  </si>
  <si>
    <t>Methylenetetrahydrofolate reductase</t>
  </si>
  <si>
    <t>Variant Location</t>
  </si>
  <si>
    <t>Wildtype</t>
  </si>
  <si>
    <t>rs1801131</t>
  </si>
  <si>
    <t>rs1801133</t>
  </si>
  <si>
    <t>NC_000001.10:g.11854476T&gt;G</t>
  </si>
  <si>
    <t>[11854476T&gt;G]</t>
  </si>
  <si>
    <t>[11854476=]</t>
  </si>
  <si>
    <t>NC_000001.10:g.11856378G&gt;A</t>
  </si>
  <si>
    <t>[11856378G&gt;A]</t>
  </si>
  <si>
    <t>[11856378=]</t>
  </si>
  <si>
    <t>&lt;/GeneMap&gt;</t>
  </si>
  <si>
    <t>&lt;AnalysisBox&gt;</t>
  </si>
  <si>
    <t>Het</t>
  </si>
  <si>
    <t>Homo</t>
  </si>
  <si>
    <t>Place</t>
  </si>
  <si>
    <t>NC_000001.10:g.</t>
  </si>
  <si>
    <t>Het%</t>
  </si>
  <si>
    <t>Homo%</t>
  </si>
  <si>
    <t>Wildtype%</t>
  </si>
  <si>
    <t xml:space="preserve">Name </t>
  </si>
  <si>
    <t xml:space="preserve">                    and</t>
  </si>
  <si>
    <t>Second Gene</t>
  </si>
  <si>
    <t>Percentage</t>
  </si>
  <si>
    <t xml:space="preserve">    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
    # What should I do about this?
    Some people with mild loss of function variant may benefit from supplementing their diets with an [oral folic acid](https://www.ncbi.nlm.nih.gov/pubmed/25902009) supplement. Consult your physician. </t>
  </si>
  <si>
    <t>homo meaning</t>
  </si>
  <si>
    <t xml:space="preserve">    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
    # What should I do about this?
    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t>
  </si>
  <si>
    <t xml:space="preserve">
    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 What should I do about this?
    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t>
  </si>
  <si>
    <t>&lt;/AnalysisBox&gt;</t>
  </si>
  <si>
    <t>Tissues</t>
  </si>
  <si>
    <t>endocrineSystem and pancreas</t>
  </si>
  <si>
    <t>endocrineSystem pancreas</t>
  </si>
  <si>
    <t>mesh_D005221 mesh_D008569 mesh_D007249</t>
  </si>
  <si>
    <t xml:space="preserve">depression D003866 hypothyroid D007037 </t>
  </si>
  <si>
    <t xml:space="preserve">mesh_D003866 mesh_D007037 </t>
  </si>
  <si>
    <t>Wild type</t>
  </si>
  <si>
    <t>Unknown</t>
  </si>
  <si>
    <t>GRIK3</t>
  </si>
  <si>
    <t>Glutamate receptor ionotropic, kainate 3</t>
  </si>
  <si>
    <t>The GRIK3 gene creates a protein that helps form receptors for the neurotransmitter [glutamate](https://www.nimh.nih.gov/health/educational-resources/brain-basics/brain-basics.shtml). It increases the chance neurons will fire and enhances the electrical flow among brain cells, but elevated levels of glutamate are toxic to neurons. Problems creating or absorbing glutamate are linked to ME/CFS, [major](https://www.ncbi.nlm.nih.gov/pubmed/16958029) [depressive disorder](https://www.ncbi.nlm.nih.gov/pubmed/19221446/), [schizophrenia](https://www.ncbi.nlm.nih.gov/pubmed/19921975/), [and memory problems](https://www.nimh.nih.gov/health/educational-resources/brain-basics/brain-basics.shtml).</t>
  </si>
  <si>
    <t>NC000001_1.11:g.1111_9999</t>
  </si>
  <si>
    <t>three</t>
  </si>
  <si>
    <t>T928G</t>
  </si>
  <si>
    <t>[T928G](https://www.ncbi.nlm.nih.gov/projects/SNP/snp_ref.cgi?rs=6691840)[(Ser310Ala)](https://www.ncbi.nlm.nih.gov/pubmed/11986986)</t>
  </si>
  <si>
    <t>C36983994T</t>
  </si>
  <si>
    <t>[C36983994T](https://www.ncbi.nlm.nih.gov/projects/SNP/snp_ref.cgi?rs=3913434)</t>
  </si>
  <si>
    <t>A7783504C</t>
  </si>
  <si>
    <t>[A7783504C](https://www.ncbi.nlm.nih.gov/projects/SNP/snp_ref.cgi?rs=270838)</t>
  </si>
  <si>
    <t>NC_000001.10:g.37325477A&gt;G</t>
  </si>
  <si>
    <t>[37325477A&gt;G]</t>
  </si>
  <si>
    <t>[37325477=]</t>
  </si>
  <si>
    <t>NC_000002.11:g.7783504A&gt;C</t>
  </si>
  <si>
    <t>NC_000001.10:g.37449595C&gt;T</t>
  </si>
  <si>
    <t>[37449595C&gt;T]</t>
  </si>
  <si>
    <t>[37449595=]</t>
  </si>
  <si>
    <t>NC_000002.11:g.</t>
  </si>
  <si>
    <t>[7783504A&gt;C]</t>
  </si>
  <si>
    <t>[7783504=]</t>
  </si>
  <si>
    <t>rs6691840</t>
  </si>
  <si>
    <t>rs270838</t>
  </si>
  <si>
    <t>rs3913434</t>
  </si>
  <si>
    <t>This variant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t>
  </si>
  <si>
    <t>Having one copy of this variant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t>
  </si>
  <si>
    <t>This variant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t>
  </si>
  <si>
    <t>This variant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t>
  </si>
  <si>
    <t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t>
  </si>
  <si>
    <t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t>
  </si>
  <si>
    <t xml:space="preserve">    There is currently no data on the interaction between these variants.  However, some information exists on the individual variants. 
    # What is the effect of T928G?
Two copies of T928G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t>
  </si>
  <si>
    <t xml:space="preserve">    There is currently no data on the interaction between these variants.  However, some information exists on the individual variants. 
    # What is the effect of T928G?
Two copies of T928G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t>
  </si>
  <si>
    <t xml:space="preserve">    There is currently no data on the interaction between these variants.  However, some information exists on the individual variants.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t>
  </si>
  <si>
    <t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t>
  </si>
  <si>
    <t>depression, stress, problems with thinking or memory, brain fog, pain</t>
  </si>
  <si>
    <t>mesh_D003863 mesh_D040701 mesh_D008569 mesh_D010146</t>
  </si>
  <si>
    <t xml:space="preserve">schizophrenia D012559; major depressive disorder D003866; ME/CFS D015673; </t>
  </si>
  <si>
    <t>mesh_D012559 mesh_D003866 mesh_D015673</t>
  </si>
  <si>
    <t>brain D001921</t>
  </si>
  <si>
    <t>brain</t>
  </si>
  <si>
    <t>CLYBL</t>
  </si>
  <si>
    <t>Citramalyl-CoA lyase, mitochondrial</t>
  </si>
  <si>
    <t>[CLYBL](http://www.uniprot.org/uniprot/Q8N0X4) creates an energy production enzyme involved in the metabolism of vitamin B12 . It also involved in removing metals like magnesium and the citric acid cycle, which controls energy production and biosynthesis. Vitamin B12 is required for red blood cell formation, protein metabolism, neurological function, homocysteine conversion, and replicating DNA. Vitamin B12 plays a fundamental role in [detoxification](https://www.ncbi.nlm.nih.gov/pubmed/19409980) due to its substantial [antioxidant](https://www.ncbi.nlm.nih.gov/pubmed/19799418) properties. Vitamin B12 deficiency is linked with [anemia, neurodegenerative disorder, cardiovascular disease, gastrointestinal disease](https://www.ncbi.nlm.nih.gov/pubmed/22367966), and [ME/CFS](https://www.ncbi.nlm.nih.gov/pubmed/29100069).</t>
  </si>
  <si>
    <t>mitochondrial enzyme</t>
  </si>
  <si>
    <t>one</t>
  </si>
  <si>
    <t>C775T</t>
  </si>
  <si>
    <t>[C775T (Arg259Ter)](https://www.ncbi.nlm.nih.gov/pubmed/29100069)</t>
  </si>
  <si>
    <t>NC_000013.10:g.100258919_100549388</t>
  </si>
  <si>
    <t>rs41281112 </t>
  </si>
  <si>
    <t>NC_000013.10:g.100518634C&gt;T</t>
  </si>
  <si>
    <t>NC_000013.10:g.</t>
  </si>
  <si>
    <t>[100518634C&gt;T]</t>
  </si>
  <si>
    <t>[100518634=]</t>
  </si>
  <si>
    <t xml:space="preserve">    This variant [shortens the protein](https://www.ncbi.nlm.nih.gov/pubmed/22367966), which may lead to [malabsorption of B12](https://www.ncbi.nlm.nih.gov/pubmed/25902009) due to improper binding with ions (electrically charged particles) and metals. People with this variant have blood serum vitamin B12 levels [36.2% lower](https://www.ncbi.nlm.nih.gov/pubmed/22367966) than normal. Vitamin B12 deficiency is linked to [anemia, loss of balance, numbness or tingling in the arms and legs, and weakness](https://medlineplus.gov/ency/article/002403.htm). Low levels of B12 may also cause increased levels of homocysteine, increasing the chance of [coronary heart disease, stroke, peripheral vascular disease, hardening of the arteries](https://labtestsonline.org/tests/homocysteine), and [mental fatigue](https://www.ncbi.nlm.nih.gov/pubmed/25902009).
    This variant is much more common in people with [ME/CFS](https://www.ncbi.nlm.nih.gov/pubmed/29100069). In ME/CFS, [hypomethylation](http://dx.doi.org/10.4172/2155-9899.1000228), or reduced gene expression and protein expression, is seen in a majority of certain [immune cells](https://www.ncbi.nlm.nih.gov/pubmed/25111603/). Hypomethylation is greatly affected by the vitamins B12 and folate (B9), suggesting a blockage of B12 across the blood brain barrier. The reduction of circulating vitamin B12 also causes increased levels of [itaconate](https://www.ncbi.nlm.nih.gov/pubmed/29056341), an anti-microbial and immune regulating metabolic compound, which in turn deactivates vitamin B12. 
    # What should I do about this?
    -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If elevated, consider taking [folate](https://medlineplus.gov/druginfo/natural/1017.html). 
    - If [homocysteine is elevated](https://www.ncbi.nlm.nih.gov/pubmed/18709886), watch for eye lens dislocations, “Marfan type” body shape, stroke, blood clotting issues, and low thyroid hormones (hypothyroidism).</t>
  </si>
  <si>
    <t xml:space="preserve">    This variant [shortens the protein](https://www.ncbi.nlm.nih.gov/pubmed/22367966), which may lead to [malabsorption of B12 and mental fatigue](https://www.ncbi.nlm.nih.gov/pubmed/25902009) due to improper binding between the protein and ions (electrically charged particles) or metals. People with this variant have blood serum vitamin B12 levels [88.9% lower](https://www.ncbi.nlm.nih.gov/pubmed/22367966) than normal and may have higher homocysteine levels. 
    This variant is also more common in people with [ME/CFS](https://www.ncbi.nlm.nih.gov/pubmed/29100069). In ME/CFS, [hypomethylation](http://dx.doi.org/10.4172/2155-9899.1000228), or reduced gene expression and protein expression, is seen in a majority of certain [immune cells](https://www.ncbi.nlm.nih.gov/pubmed/25111603/). Hypomethylation is greatly affected by the vitamins B12 and folate (B9), suggesting a blockage of B12 across the blood brain barrier. The reduction of circulating vitamin B12 also causes increased levels of [itaconate](https://www.ncbi.nlm.nih.gov/pubmed/29056341), an anti-microbial and immune regulating metabolic compound, which in turn deactivates vitamin B12. 
    # What should I do about this?
    - Check blood serum vitamin B12 levels. If too low, consider an [oral or injectable B12](https://www.ncbi.nlm.nih.gov/pubmed/25902009) supplement if low. 
    - Be cautious when taking [opioids, duloxetine, pregabalin](https://www.ncbi.nlm.nih.gov/pubmed/25902009), and [metformin](https://www.ncbi.nlm.nih.gov/pubmed/20488910?dopt=Abstract), which lower B12 levels.</t>
  </si>
  <si>
    <t>fatigue D005221 memory problems D008569 inflamation D007249 muscle aches and pain D063806</t>
  </si>
  <si>
    <t xml:space="preserve">[kidney, liver](https://www.ncbi.nlm.nih.gov/gene/171425#gene-expression), and blood; circulatory and cardiovascular system D002319 Kidney and urinary bladder D005221 liver D008099 </t>
  </si>
  <si>
    <t>anemia D000740 neurodegenerative disorder D000752 cardiovascular disease D002318 gastrointestinal disease D005767 ME/CFS D015673 coronary heart disease D003327 stroke  D016491</t>
  </si>
  <si>
    <t>mesh_D000740 mesh_D000752 mesh_D002318 mesh_D005767 mesh_D015673 mesh_D003327 mesh_D016491</t>
  </si>
  <si>
    <t>mesh_D005221 mesh_D008569 mesh_D007249 mesh_D063806</t>
  </si>
  <si>
    <t xml:space="preserve">mesh_D002319 mesh_D005221 mesh_D008099 </t>
  </si>
  <si>
    <t>NC_000015.9:g.78885394_78913637</t>
  </si>
  <si>
    <t>rs12914385</t>
  </si>
  <si>
    <t>rs1051730</t>
  </si>
  <si>
    <t>NC_000015.9:g.78898723C&gt;T</t>
  </si>
  <si>
    <t>NC_000015.9:g.78894339G&gt;A</t>
  </si>
  <si>
    <t>NC_000015.9:g.</t>
  </si>
  <si>
    <t>[78898723C&gt;T]</t>
  </si>
  <si>
    <t>[78898723=]</t>
  </si>
  <si>
    <t>[78894339G&gt;A]</t>
  </si>
  <si>
    <t>[78894339=]</t>
  </si>
  <si>
    <t xml:space="preserve">    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[two](https://www.ncbi.nlm.nih.gov/pubmed/21559498)[cigarettes](https://www.ncbi.nlm.nih.gov/pubmed/23870182)[per day](https://www.ncbi.nlm.nih.gov/pubmed/20418890) and may also cause greatly increased [smoking persistence](https://www.ncbi.nlm.nih.gov/pubmed/22290489).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
    # What should I do about this?
    People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(NKC)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[Histone deacetylase inhibitors (HDACi) including suberoylanilide hydroxamic acid and valproric acid](https://www.ncbi.nlm.nih.gov/pubmed/17349632/) impair NKC function, and should be avoided.</t>
  </si>
  <si>
    <t xml:space="preserve">    The CHRNA3 protein plays a role in developing nicotine dependence and regulating nicotine receptor proliferation and destruction. Incorrect formation of the nicotine neurotransmitter receptor protein has a variety of effects. This heterozygous variant causes increased risk of [lung cancer](https://www.ncbi.nlm.nih.gov/pubmed/23094028), with an [odds ratio of 1.2](https://www.ncbi.nlm.nih.gov/pubmed/28827732), and [COPD](https://www.ncbi.nlm.nih.gov/pubmed/24621683), with an [odds ratio of 1.39](https://www.ncbi.nlm.nih.gov/pubmed/24621683). It causes an [increase](https://www.ncbi.nlm.nih.gov/pubmed/29030599) of [one](https://www.ncbi.nlm.nih.gov/pubmed/21559498)[cigarette](https://www.ncbi.nlm.nih.gov/pubmed/23870182)[per day](https://www.ncbi.nlm.nih.gov/pubmed/20418890) and may also cause [smoking persistence](https://www.ncbi.nlm.nih.gov/pubmed/22290489). However, the C allele is protective, with a [decrease of 3.25 packs per year per C allele](https://www.ncbi.nlm.nih.gov/pubmed/21436384). Finally, his variant may cause an increase in [cocaine dependence](https://www.ncbi.nlm.nih.gov/pubmed/20485328).
    # What should I do about this?
    People should not smoke or use cocaine.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</si>
  <si>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 xml:space="preserve">    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 What should I do about this?
    People should not smoke.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</si>
  <si>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 xml:space="preserve">    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day](https://www.ncbi.nlm.nih.gov/pubmed/27663783)[(odds ratio 2.66)](https://www.ncbi.nlm.nih.gov/pubmed/25632390) and [severity of nicotine addiction (odds ratio 2.6)](https://www.ncbi.nlm.nih.gov/pubmed/25632390). There is a [5.8% decrease](https://www.ncbi.nlm.nih.gov/pubmed/25891233) in adherence to prescribed Nicotine replacement therapy (NRT) dose, and a [2.0mg decrease](https://www.ncbi.nlm.nih.gov/pubmed/25891233) in daily NRT consumption up to 28 days after beginning treatment.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are also greatly increased. Homozygotes had increased risk of [antipsychotic medication and schizophrenia](https://www.ncbi.nlm.nih.gov/pubmed/26054357).
    # What should I do about this?
    People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</si>
  <si>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 xml:space="preserve">    # What is the effect of C78606381T (C;T)?
    The CHRNA3 protein plays a role in developing nicotine dependence and regulating nicotine receptor proliferation and destruction. Incorrect formation of the nicotine neurotransmitter receptor protein has a variety of effects. This heterozygous variant causes increased risk of [lung cancer](https://www.ncbi.nlm.nih.gov/pubmed/23094028), with an [odds ratio of 1.2](https://www.ncbi.nlm.nih.gov/pubmed/28827732), and [COPD](https://www.ncbi.nlm.nih.gov/pubmed/24621683), with an [odds ratio of 1.39](https://www.ncbi.nlm.nih.gov/pubmed/24621683). It causes an [increase](https://www.ncbi.nlm.nih.gov/pubmed/29030599) of [one](https://www.ncbi.nlm.nih.gov/pubmed/21559498)[cigarette](https://www.ncbi.nlm.nih.gov/pubmed/23870182)[per day](https://www.ncbi.nlm.nih.gov/pubmed/20418890) and may also cause [smoking persistence](https://www.ncbi.nlm.nih.gov/pubmed/22290489). However, the C allele is protective, with a [decrease of 3.25 packs per year per C allele](https://www.ncbi.nlm.nih.gov/pubmed/21436384). Finally, his variant may cause an increase in [cocaine dependence](https://www.ncbi.nlm.nih.gov/pubmed/20485328).
    # What is the effect of C645T?
    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 What should I do about this?
    People should not smoke or use cocaine.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</si>
  <si>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 xml:space="preserve">    There is currently no data on the interaction between these variants.  However, some information exists on the individual variants. 
    # What is the effect of C78606381T (C;T)?
    The CHRNA3 protein plays a role in developing nicotine dependence and regulating nicotine receptor proliferation and destruction. Incorrect formation of the nicotine neurotransmitter receptor protein has a variety of effects. This heterozygous variant causes increased risk of [lung cancer](https://www.ncbi.nlm.nih.gov/pubmed/23094028), with an [odds ratio of 1.2](https://www.ncbi.nlm.nih.gov/pubmed/28827732), and [COPD](https://www.ncbi.nlm.nih.gov/pubmed/24621683), with an [odds ratio of 1.39](https://www.ncbi.nlm.nih.gov/pubmed/24621683). It causes an [increase](https://www.ncbi.nlm.nih.gov/pubmed/29030599) of [one](https://www.ncbi.nlm.nih.gov/pubmed/21559498)[cigarette](https://www.ncbi.nlm.nih.gov/pubmed/23870182)[per day](https://www.ncbi.nlm.nih.gov/pubmed/20418890) and may also cause [smoking persistence](https://www.ncbi.nlm.nih.gov/pubmed/22290489). However, the C allele is protective, with a [decrease of 3.25 packs per year per C allele](https://www.ncbi.nlm.nih.gov/pubmed/21436384). Finally, his variant may cause an increase in [cocaine dependence](https://www.ncbi.nlm.nih.gov/pubmed/20485328).
    # What is the effect of C645T?
    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 What should I do about this?
    People should not smoke or use cocaine.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</si>
  <si>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 xml:space="preserve">    There is currently no data on the interaction between these variants.  However, some information exists on the individual variants. 
    # What is the effect of C78606381T (T;T)?
    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[two](https://www.ncbi.nlm.nih.gov/pubmed/21559498)[cigarettes](https://www.ncbi.nlm.nih.gov/pubmed/23870182)[per day](https://www.ncbi.nlm.nih.gov/pubmed/20418890) and may also cause greatly increased [smoking persistence](https://www.ncbi.nlm.nih.gov/pubmed/22290489).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
    # What is the effect of C645T?
    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#What should I do about this?
    People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(NKC)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[Histone deacetylase inhibitors (HDACi) including suberoylanilide hydroxamic acid and valproric acid](https://www.ncbi.nlm.nih.gov/pubmed/17349632/) impair NKC function, and should be avoided.</t>
  </si>
  <si>
    <t xml:space="preserve">    There is currently no data on the interaction between these variants.  However, some information exists on the individual variants. 
    # What is the effect of C78606381T (T;T)?
    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[two](https://www.ncbi.nlm.nih.gov/pubmed/21559498)[cigarettes](https://www.ncbi.nlm.nih.gov/pubmed/23870182)[per day](https://www.ncbi.nlm.nih.gov/pubmed/20418890) and may also cause greatly increased [smoking persistence](https://www.ncbi.nlm.nih.gov/pubmed/22290489).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
    # What is the effect of C645T?
    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day](https://www.ncbi.nlm.nih.gov/pubmed/27663783)[(odds ratio 2.66)](https://www.ncbi.nlm.nih.gov/pubmed/25632390) and [severity of nicotine addiction (odds ratio 2.6)](https://www.ncbi.nlm.nih.gov/pubmed/25632390). There is a [5.8% decrease](https://www.ncbi.nlm.nih.gov/pubmed/25891233) in adherence to prescribed Nicotine replacement therapy (NRT) dose, and a [2.0mg decrease](https://www.ncbi.nlm.nih.gov/pubmed/25891233) in daily NRT consumption up to 28 days after beginning treatment.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are also greatly increased. Homozygotes had increased risk of [antipsychotic medication and schizophrenia](https://www.ncbi.nlm.nih.gov/pubmed/26054357).
    # What should I do about this?
    People should not smoke or use cocaine.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(NKC)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[Histone deacetylase inhibitors (HDACi) including suberoylanilide hydroxamic acid and valproric acid](https://www.ncbi.nlm.nih.gov/pubmed/17349632/) impair NKC function, and should be avoided.</t>
  </si>
  <si>
    <t xml:space="preserve">mesh_D001921 mesh_D007107 </t>
  </si>
  <si>
    <t>mesh_D005221 mesh_D007249 mesh_D001007 mesh_D003863</t>
  </si>
  <si>
    <t xml:space="preserve">mesh_D009369 mesh_D029424 mesh_D001008 mesh_D015673 mesh_D014029 mesh_D001327 mesh_D004198 mesh_D019970 mesh_D012559 mesh_D003866 mesh_D003327 </t>
  </si>
  <si>
    <t>CHRNA5</t>
  </si>
  <si>
    <t>neuronal acetylcholine receptor subunit alpha-5</t>
  </si>
  <si>
    <t>anxiety; pain; inflammation;</t>
  </si>
  <si>
    <t>brain D001921  respiratory system and lung D012137  bone marrow and immune system D007107</t>
  </si>
  <si>
    <t>cancer; COPD; anxiety; ME/CFS; nicotine dependency; autoimmune disorder; Disease susceptibility - increased susceptibility to viral, bacterial, and parasitic infections; mood disorder</t>
  </si>
  <si>
    <t>mesh_D001921 mesh_D012137 mesh_D007107</t>
  </si>
  <si>
    <t>mesh_D001007 mesh_D010146  mesh_D007249</t>
  </si>
  <si>
    <t>mesh_D009369 mesh_D029424 mesh_D001008 mesh_D015673 mesh_D014029 mesh_D001327 mesh_D004198 mesh_D019964</t>
  </si>
  <si>
    <t>NC_000015.9:g.78857862_78887611</t>
  </si>
  <si>
    <t>G1192A</t>
  </si>
  <si>
    <t>[G1192A (Asp398Asn)](https://www.ncbi.nlm.nih.gov/clinvar/variation/17497/)</t>
  </si>
  <si>
    <t>A78573551G</t>
  </si>
  <si>
    <t>[A78573551G](https://www.ncbi.nlm.nih.gov/projects/SNP/snp_ref.cgi?rs=6495306)</t>
  </si>
  <si>
    <t>A78581651T</t>
  </si>
  <si>
    <t>[A78581651T](https://www.ncbi.nlm.nih.gov/projects/SNP/snp_ref.cgi?rs=7180002)</t>
  </si>
  <si>
    <t>NC_000015.9:g.78882925G&gt;A</t>
  </si>
  <si>
    <t>rs16969968</t>
  </si>
  <si>
    <t>[78882925G&gt;A]</t>
  </si>
  <si>
    <t>[78882925=]</t>
  </si>
  <si>
    <t>NC_000015.9:g.78865893G&gt;A</t>
  </si>
  <si>
    <t>[78865893G&gt;A]</t>
  </si>
  <si>
    <t>[78865893=]</t>
  </si>
  <si>
    <t>NC_000015.9:g.78873993A&gt;T</t>
  </si>
  <si>
    <t>[78873993A&gt;T]</t>
  </si>
  <si>
    <t>[78873993=]</t>
  </si>
  <si>
    <t>[CHRNA5](https://www.genecards.org/cgi-bin/carddisp.pl?gene=CHRNA5) creates a protein that controls signals between between [motor neurons and muscle fiber](https://www.ebi.ac.uk/QuickGO/term/GO:0007274)s as well as the body’s response to [nicotine](http://www.uniprot.org/citations/18227835). Variants in CHRNA5 are associated with [anxiety](https://www.ncbi.nlm.nih.gov/pubmed/25826680) and decreased function of [natural killer cells (NKC)](https://www.ncbi.nlm.nih.gov/pubmed/27099524), a type of white blood cell that helps the body respond to viral infections.</t>
  </si>
  <si>
    <t xml:space="preserve">    This variant acts in the part of the [brain](https://www.ncbi.nlm.nih.gov/pubmed/26220977) that controls motor function, problem solving, language, judgement, impulse control, sexual behavior, and memory formation and processing. This may cause ME/CFS related cognition issues. This variant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t>
  </si>
  <si>
    <t xml:space="preserve">    This variant controls [cognitive function, working memory, and gray matter volume in the brain](https://www.ncbi.nlm.nih.gov/pubmed/24819610). Males with this variant have much faster [information processing](https://www.ncbi.nlm.nih.gov/pubmed/25674902), including [much better behavioral performance, more efficient brain activity, and a larger brain volume.](https://www.ncbi.nlm.nih.gov/pubmed/24819610) Females with this variant exhibit much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an elevated risk and earlier onset of [lung cancer](https://www.ncbi.nlm.nih.gov/pubmed/27543155), [COPD](https://www.ncbi.nlm.nih.gov/pubmed/26771213) and [newborn lung and breathing problems](https://www.ncbi.nlm.nih.gov/pubmed/24838476) in the children of smoking mothers.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Pregnant women should consider [supplemental vitamin C](https://www.ncbi.nlm.nih.gov/pubmed/24838476).
    Consult your physician on [medications](http://www.uniprot.org/uniprot/P30532#pathology_and_biotech) that act on variants in CHRNA5, including [Ethanol](https://www.drugbank.ca/drugs/DB00898), [Galantamine](https://www.drugbank.ca/drugs/DB00674), and [nicotine](https://www.drugbank.ca/drugs/DB00184).</t>
  </si>
  <si>
    <t xml:space="preserve">    This variant controls [cognitive function, working memory, and gray matter volume in the brain](https://www.ncbi.nlm.nih.gov/pubmed/24819610). Males with this variant have faster [information processing](https://www.ncbi.nlm.nih.gov/pubmed/25674902), including [much better behavioral performance, more efficient brain activity, and a larger brain volume.](https://www.ncbi.nlm.nih.gov/pubmed/24819610) Females with this variant exhibit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t>
  </si>
  <si>
    <t xml:space="preserve">    This variant acts in the part of the [brain](https://www.ncbi.nlm.nih.gov/pubmed/26220977) that controls motor function, problem solving, language, judgement, impulse control, sexual behavior, and memory formation and processing. This variant also is associated with increased risk of [lung cancer](https://www.ncbi.nlm.nih.gov/pubmed/25233467) and an [increased number of cigarettes smoked per day](https://www.ncbi.nlm.nih.gov/pubmed/26981579).
    Your variant is [2X](https://www.ncbi.nlm.nih.gov/pubmed/27099524) more common in [ME/CFS patients](https://www.ncbi.nlm.nih.gov/pubmed/27099524). It causes the CHRNA5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People should avoid smoking, and proactively check for lung cancer if they smoke.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</si>
  <si>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xml:space="preserve">    There is currently no data on the interaction between these variants.  However, some information exists on the individual variants.
    # What is the effect of G1192A (G;A)?
    This variant controls [cognitive function, working memory, and gray matter volume in the brain](https://www.ncbi.nlm.nih.gov/pubmed/24819610). Males with this variant have faster [information processing](https://www.ncbi.nlm.nih.gov/pubmed/25674902), including [much better behavioral performance, more efficient brain activity, and a larger brain volume.](https://www.ncbi.nlm.nih.gov/pubmed/24819610) Females with this variant exhibit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
    # What is the effect of A78573551G?
    This variant acts in the part of the [brain](https://www.ncbi.nlm.nih.gov/pubmed/26220977) that controls motor function, problem solving, language, judgement, impulse control, sexual behavior, and memory formation and processing. This may cause ME/CFS related cognition issues. This variant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is the effect of A78581651T?
    This variant acts in the part of the [brain](https://www.ncbi.nlm.nih.gov/pubmed/26220977) that controls motor function, problem solving, language, judgement, impulse control, sexual behavior, and memory formation and processing. This variant also is associated with increased risk of [lung cancer](https://www.ncbi.nlm.nih.gov/pubmed/25233467) and an [increased number of cigarettes smoked per day](https://www.ncbi.nlm.nih.gov/pubmed/26981579).
    Your variant is [2X](https://www.ncbi.nlm.nih.gov/pubmed/27099524) more common in [ME/CFS patients](https://www.ncbi.nlm.nih.gov/pubmed/27099524). It causes the CHRNA5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Consult your physician on [medications](http://www.uniprot.org/uniprot/P30532#pathology_and_biotech) that act on variants in CHRNA5, including [Ethanol](https://www.drugbank.ca/drugs/DB00898), [Galantamine](https://www.drugbank.ca/drugs/DB00674), and [nicotine](https://www.drugbank.ca/drugs/DB00184).</t>
  </si>
  <si>
    <t xml:space="preserve">    There is currently no data on the interaction between these variants.  However, some information exists on the individual variants.
    # What is the effect of G1192A (A;A)?
    This variant controls [cognitive function, working memory, and gray matter volume in the brain](https://www.ncbi.nlm.nih.gov/pubmed/24819610). Males with this variant have much faster [information processing](https://www.ncbi.nlm.nih.gov/pubmed/25674902), including [much better behavioral performance, more efficient brain activity, and a larger brain volume.](https://www.ncbi.nlm.nih.gov/pubmed/24819610) Females with this variant exhibit much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an elevated risk and earlier onset of [lung cancer](https://www.ncbi.nlm.nih.gov/pubmed/27543155), [COPD](https://www.ncbi.nlm.nih.gov/pubmed/26771213) and [newborn lung and breathing problems](https://www.ncbi.nlm.nih.gov/pubmed/24838476) in the children of smoking mothers.
    # What is the effect of A78573551G?
    This variant acts in the part of the [brain](https://www.ncbi.nlm.nih.gov/pubmed/26220977) that controls motor function, problem solving, language, judgement, impulse control, sexual behavior, and memory formation and processing. This may cause ME/CFS related cognition issues. This variant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is the effect of A78581651T?
    This variant acts in the part of the [brain](https://www.ncbi.nlm.nih.gov/pubmed/26220977) that controls motor function, problem solving, language, judgement, impulse control, sexual behavior, and memory formation and processing. This variant also is associated with increased risk of [lung cancer](https://www.ncbi.nlm.nih.gov/pubmed/25233467) and an [increased number of cigarettes smoked per day](https://www.ncbi.nlm.nih.gov/pubmed/26981579).
    Your variant is [2X](https://www.ncbi.nlm.nih.gov/pubmed/27099524) more common in [ME/CFS patients](https://www.ncbi.nlm.nih.gov/pubmed/27099524). It causes the CHRNA5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Consult your physician on [medications](http://www.uniprot.org/uniprot/P30532#pathology_and_biotech) that act on variants in CHRNA5, including [Ethanol](https://www.drugbank.ca/drugs/DB00898), [Galantamine](https://www.drugbank.ca/drugs/DB00674), and [nicotine](https://www.drugbank.ca/drugs/DB00184).</t>
  </si>
  <si>
    <t xml:space="preserve">    There is currently no data on the interaction between these variants.  However, some information exists on the individual variants.
    # What is the effect of G1192A (A;A)?
    This variant controls [cognitive function, working memory, and gray matter volume in the brain](https://www.ncbi.nlm.nih.gov/pubmed/24819610). Males with this variant have much faster [information processing](https://www.ncbi.nlm.nih.gov/pubmed/25674902), including [much better behavioral performance, more efficient brain activity, and a larger brain volume.](https://www.ncbi.nlm.nih.gov/pubmed/24819610) Females with this variant exhibit much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an elevated risk and earlier onset of [lung cancer](https://www.ncbi.nlm.nih.gov/pubmed/27543155), [COPD](https://www.ncbi.nlm.nih.gov/pubmed/26771213) and [newborn lung and breathing problems](https://www.ncbi.nlm.nih.gov/pubmed/24838476) in the children of smoking mothers.
    # What is the effect of A78581651T?
    This variant acts in the part of the [brain](https://www.ncbi.nlm.nih.gov/pubmed/26220977) that controls motor function, problem solving, language, judgement, impulse control, sexual behavior, and memory formation and processing. This variant also is associated with increased risk of [lung cancer](https://www.ncbi.nlm.nih.gov/pubmed/25233467) and an [increased number of cigarettes smoked per day](https://www.ncbi.nlm.nih.gov/pubmed/26981579).
    Your variant is [2X](https://www.ncbi.nlm.nih.gov/pubmed/27099524) more common in [ME/CFS patients](https://www.ncbi.nlm.nih.gov/pubmed/27099524). It causes the CHRNA5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Consult your physician on [medications](http://www.uniprot.org/uniprot/P30532#pathology_and_biotech) that act on variants in CHRNA5, including [Ethanol](https://www.drugbank.ca/drugs/DB00898), [Galantamine](https://www.drugbank.ca/drugs/DB00674), and [nicotine](https://www.drugbank.ca/drugs/DB00184).</t>
  </si>
  <si>
    <t xml:space="preserve">    There is currently no data on the interaction between these variants.  However, some information exists on the individual variants.
    # What is the effect of A78573551G?
    This variant acts in the part of the [brain](https://www.ncbi.nlm.nih.gov/pubmed/26220977) that controls motor function, problem solving, language, judgement, impulse control, sexual behavior, and memory formation and processing. This may cause ME/CFS related cognition issues. This variant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is the effect of A78581651T?
    This variant acts in the part of the [brain](https://www.ncbi.nlm.nih.gov/pubmed/26220977) that controls motor function, problem solving, language, judgement, impulse control, sexual behavior, and memory formation and processing. This variant also is associated with increased risk of [lung cancer](https://www.ncbi.nlm.nih.gov/pubmed/25233467) and an [increased number of cigarettes smoked per day](https://www.ncbi.nlm.nih.gov/pubmed/26981579).
    Your variant is [2X](https://www.ncbi.nlm.nih.gov/pubmed/27099524) more common in [ME/CFS patients](https://www.ncbi.nlm.nih.gov/pubmed/27099524). It causes the CHRNA5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Consult your physician on [medications](http://www.uniprot.org/uniprot/P30532#pathology_and_biotech) that act on variants in CHRNA5, including [Ethanol](https://www.drugbank.ca/drugs/DB00898), [Galantamine](https://www.drugbank.ca/drugs/DB00674), and [nicotine](https://www.drugbank.ca/drugs/DB00184).</t>
  </si>
  <si>
    <t xml:space="preserve">    There is currently no data on the interaction between these variants.  However, some information exists on the individual variants.
    # What is the effect of G1192A (A;A)?
    This variant controls [cognitive function, working memory, and gray matter volume in the brain](https://www.ncbi.nlm.nih.gov/pubmed/24819610). Males with this variant have much faster [information processing](https://www.ncbi.nlm.nih.gov/pubmed/25674902), including [much better behavioral performance, more efficient brain activity, and a larger brain volume.](https://www.ncbi.nlm.nih.gov/pubmed/24819610) Females with this variant exhibit much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an elevated risk and earlier onset of [lung cancer](https://www.ncbi.nlm.nih.gov/pubmed/27543155), [COPD](https://www.ncbi.nlm.nih.gov/pubmed/26771213) and [newborn lung and breathing problems](https://www.ncbi.nlm.nih.gov/pubmed/24838476) in the children of smoking mothers.
    # What is the effect of A78573551G?
    This variant acts in the part of the [brain](https://www.ncbi.nlm.nih.gov/pubmed/26220977) that controls motor function, problem solving, language, judgement, impulse control, sexual behavior, and memory formation and processing. This may cause ME/CFS related cognition issues. This variant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t>
  </si>
  <si>
    <t xml:space="preserve">    There is currently no data on the interaction between these variants.  However, some information exists on the individual variants.
    # What is the effect of G1192A (G;A)?
    This variant controls [cognitive function, working memory, and gray matter volume in the brain](https://www.ncbi.nlm.nih.gov/pubmed/24819610). Males with this variant have faster [information processing](https://www.ncbi.nlm.nih.gov/pubmed/25674902), including [much better behavioral performance, more efficient brain activity, and a larger brain volume.](https://www.ncbi.nlm.nih.gov/pubmed/24819610) Females with this variant exhibit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
    # What is the effect of A78581651T?
    This variant acts in the part of the [brain](https://www.ncbi.nlm.nih.gov/pubmed/26220977) that controls motor function, problem solving, language, judgement, impulse control, sexual behavior, and memory formation and processing. This variant also is associated with increased risk of [lung cancer](https://www.ncbi.nlm.nih.gov/pubmed/25233467) and an [increased number of cigarettes smoked per day](https://www.ncbi.nlm.nih.gov/pubmed/26981579).
    Your variant is [2X](https://www.ncbi.nlm.nih.gov/pubmed/27099524) more common in [ME/CFS patients](https://www.ncbi.nlm.nih.gov/pubmed/27099524). It causes the CHRNA5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Consult your physician on [medications](http://www.uniprot.org/uniprot/P30532#pathology_and_biotech) that act on variants in CHRNA5, including [Ethanol](https://www.drugbank.ca/drugs/DB00898), [Galantamine](https://www.drugbank.ca/drugs/DB00674), and [nicotine](https://www.drugbank.ca/drugs/DB00184).</t>
  </si>
  <si>
    <t xml:space="preserve">    There is currently no data on the interaction between these variants.  However, some information exists on the individual variants.
    # What is the effect of G1192A (G;A)?
    This variant controls [cognitive function, working memory, and gray matter volume in the brain](https://www.ncbi.nlm.nih.gov/pubmed/24819610). Males with this variant have faster [information processing](https://www.ncbi.nlm.nih.gov/pubmed/25674902), including [much better behavioral performance, more efficient brain activity, and a larger brain volume.](https://www.ncbi.nlm.nih.gov/pubmed/24819610) Females with this variant exhibit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
    # What is the effect of A78573551G?
    This variant acts in the part of the [brain](https://www.ncbi.nlm.nih.gov/pubmed/26220977) that controls motor function, problem solving, language, judgement, impulse control, sexual behavior, and memory formation and processing. This may cause ME/CFS related cognition issues. This variant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t>
  </si>
  <si>
    <t>NC_000015.9:g.78916636_78933587</t>
  </si>
  <si>
    <t>CHRNB4</t>
  </si>
  <si>
    <t>neuronal acetylcholine receptor subunit beta-4</t>
  </si>
  <si>
    <t>C78631645T</t>
  </si>
  <si>
    <t>[C78631645T](https://www.ncbi.nlm.nih.gov/projects/SNP/snp_ref.cgi?rs=17487223)</t>
  </si>
  <si>
    <t>G78635922T</t>
  </si>
  <si>
    <t>[G78635922T](http://journals.sagepub.com/doi/10.4137/III.S25147)</t>
  </si>
  <si>
    <t>A78638168G</t>
  </si>
  <si>
    <t>[A78638168G](http://journals.sagepub.com/doi/10.4137/III.S25147)</t>
  </si>
  <si>
    <t>The [CHRNB4](http://www.uniprot.org/uniprot/P30926) gene creates a protein that is part of [nicotine receptor](https://www.ncbi.nlm.nih.gov/gene/1143). It also affects muscle contraction and the function of neurons. Variants in CHRNB4 have been linked to an increased risk of [lung cancer](https://www.ncbi.nlm.nih.gov/pubmed/18385738?dopt=Abstract) and [nicotine dependence](https://www.ncbi.nlm.nih.gov/pubmed/19443489). For ME/CFS patients, variants are associated with [severe cognitive and sleep symptoms](https://www.ncbi.nlm.nih.gov/pubmed/28633629) and decreased function of [natural killer cells (NKC)](https://www.ncbi.nlm.nih.gov/pubmed/27099524), a type of white blood cell that helps the body respond to viral infections.</t>
  </si>
  <si>
    <t>NC_000015.9:g.78923987C&gt;T</t>
  </si>
  <si>
    <t>[78923987C&gt;T]</t>
  </si>
  <si>
    <t>[78923987=]</t>
  </si>
  <si>
    <t>NC_000015.9:g.78928264G&gt;T</t>
  </si>
  <si>
    <t>[78928264G&gt;T]</t>
  </si>
  <si>
    <t>[78928264=]</t>
  </si>
  <si>
    <t>NC_000015.9:g.78930510A&gt;G</t>
  </si>
  <si>
    <t>[78930510A&gt;G]</t>
  </si>
  <si>
    <t>[78930510=]</t>
  </si>
  <si>
    <t xml:space="preserve">    CHRN genes play a large role in the risk for nicotine dependence, smoking, and lung cancer. This homozygous CHRNB4 variant is associated with:
    - A [much higher risk of habitual smoking in Caucasians](https://www.ncbi.nlm.nih.gov/pubmed/18519524?dopt=Abstract) 
    - [1.64X higher](https://www.ncbi.nlm.nih.gov/pubmed/19259974?dopt=Abstract) risk of heavy smoking 
    - [1.33X higher risk](https://www.ncbi.nlm.nih.gov/pubmed/19259974?dopt=Abstract) of [nicotine dependence](https://www.ncbi.nlm.nih.gov/pubmed/19443489?dopt=Abstract) 
    - 1.28X greater risk of [lung cancer](https://www.ncbi.nlm.nih.gov/pubmed/18385738?dopt=Abstract). 
    For ME/CFS patients, [previous and current smoking](https://www.ncbi.nlm.nih.gov/pubmed/25811400) are associated with [3X higher risk of severe severe cognitive and sleep symptoms](https://www.ncbi.nlm.nih.gov/pubmed/28633629), including trouble concentrating and unrefreshing sleep. Additionally, ME/CFS patients also may have [higher levels of nicotine](https://www.ncbi.nlm.nih.gov/pubmed/26983655) in the brain as compared to the general population. High nicotine levels are associated with symptoms such as [abdominal pain, stress, fainting, depression, muscle weakness, muscle twitching, headache, and dizziness](https://medlineplus.gov/ency/article/002510.htm), and smoking may lead to a worsening of these symptoms.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Consult your physician on [medications](http://www.uniprot.org/uniprot/P30926) that act on variants in CHRNB4, including [Dextromethorphan](https://www.drugbank.ca/drugs/DB00514), [Ethanol](https://www.drugbank.ca/drugs/DB00898), [Galantamine](https://www.drugbank.ca/drugs/DB00674), [Levomethadyl acetate](https://www.drugbank.ca/drugs/DB01227), [Nicotine](https://www.drugbank.ca/drugs/DB00184), and [Pentolinium](https://www.drugbank.ca/drugs/DB01090).</t>
  </si>
  <si>
    <t xml:space="preserve">    CHRN genes play a large role in the risk for nicotine dependence, smoking, and lung cancer. This CHRNB4 variant is associated:
    - [Higher risk of habitual smoking in Caucasians](https://www.ncbi.nlm.nih.gov/pubmed/18519524?dopt=Abstract) 
    - [1.45X](https://www.ncbi.nlm.nih.gov/pubmed/19259974?dopt=Abstract) higher risk for a risk of heavy smoking 
    - [1.33 higher risk](https://www.ncbi.nlm.nih.gov/pubmed/19259974?dopt=Abstract) of [nicotine dependence](https://www.ncbi.nlm.nih.gov/pubmed/19443489?dopt=Abstract) 
    - Increased susceptibility to [lung cancer](https://www.ncbi.nlm.nih.gov/pubmed/18385738?dopt=Abstract). 
    For ME/CFS patients, [previous and current smoking](https://www.ncbi.nlm.nih.gov/pubmed/25811400) are associated with a [3X higher risk of severe cognitive and sleep symptoms](https://www.ncbi.nlm.nih.gov/pubmed/28633629), including trouble concentrating and unrefreshing sleep. Additionally, ME/CFS patients also may have [higher levels of nicotine](https://www.ncbi.nlm.nih.gov/pubmed/26983655) in the brain as compared to the general population. High nicotine levels are associated with symptoms, including [abdominal pain, stress, fainting, depression, muscle weakness, muscle twitching, headache, and dizziness](https://medlineplus.gov/ency/article/002510.htm), which may be worsened by smoking.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Consult your physician on [medications](http://www.uniprot.org/uniprot/P30926) that act on variants in CHRNB4, including [Dextromethorphan](https://www.drugbank.ca/drugs/DB00514), [Ethanol](https://www.drugbank.ca/drugs/DB00898), [Galantamine](https://www.drugbank.ca/drugs/DB00674), [Levomethadyl acetate](https://www.drugbank.ca/drugs/DB01227), [Nicotine](https://www.drugbank.ca/drugs/DB00184), and [Pentolinium](https://www.drugbank.ca/drugs/DB01090).</t>
  </si>
  <si>
    <t xml:space="preserve">    Your variant is [2.5X](http://journals.sagepub.com/doi/10.4137/III.S25147) more common in ME/CFS patients. The malformed CHRNB4 protein may impact the activity of natural killer cells (NKC), a type of white blood cell found in the blood, bone marrow, spleen, and lymph nodes. They kill viral infected and tumorous cells. The NKC of many patients with ME/CFS have lower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</si>
  <si>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rs17487223</t>
  </si>
  <si>
    <t>rs12441088</t>
  </si>
  <si>
    <t>rs1316971</t>
  </si>
  <si>
    <t xml:space="preserve">    Your variant is [1.2X](https://www.ncbi.nlm.nih.gov/pubmed/27099524) more common in ME/CFS patients. The malformed CHRNB4 protein may impact the activity of natural killer cells (NKC), a type of white blood cell found in the blood, bone marrow, spleen, and lymph nodes. They kill viral infected and tumorous cells. The NKC of many patients with ME/CFS have lower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</si>
  <si>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inflammation</t>
  </si>
  <si>
    <t>mesh_D007249</t>
  </si>
  <si>
    <t>male tissue, endocrine tissues</t>
  </si>
  <si>
    <t>mesh_D005837 mesh_D004703</t>
  </si>
  <si>
    <t>cancer; ME/CFS; nicotine dependency;  Disease susceptibility - increased susceptibility to viral, bacterial, and parasitic infections</t>
  </si>
  <si>
    <t>mesh_D009369 mesh_D014029 mesh_D015673 mesh_D014029  mesh_D004198</t>
  </si>
  <si>
    <t>CHRNE</t>
  </si>
  <si>
    <t>rs33383</t>
  </si>
  <si>
    <t>C10927T</t>
  </si>
  <si>
    <t>NC_000005.9:g.142709986C&gt;T</t>
  </si>
  <si>
    <t>rs33970119</t>
  </si>
  <si>
    <t>C519T</t>
  </si>
  <si>
    <t>G1074A</t>
  </si>
  <si>
    <t>NC_000017.10:g.4804902G&gt;A</t>
  </si>
  <si>
    <t>[G1074A](https://www.ncbi.nlm.nih.gov/clinvar/variation/128767/)</t>
  </si>
  <si>
    <t>C865T</t>
  </si>
  <si>
    <t>[C865T](https://www.ncbi.nlm.nih.gov/clinvar/variation/18344/)</t>
  </si>
  <si>
    <t>NC_000017.10:g.</t>
  </si>
  <si>
    <t>[4804902G&gt;A]</t>
  </si>
  <si>
    <t>[4804902=]</t>
  </si>
  <si>
    <t>NC_000005.9:g.</t>
  </si>
  <si>
    <t>[142709986C&gt;T]</t>
  </si>
  <si>
    <t>[142709986=]</t>
  </si>
  <si>
    <t>NC_000017.10:g.4801064_4806369</t>
  </si>
  <si>
    <t>The [CHRNE](https://www.uniprot.org/uniprot/Q04844) gene encodes a protein found in the connection between motor neurons and muscle fibers. It is involved in [muscle contractions, response to nicotine, synaptic transmission, and the transport of electrically charged particles (ions) essential for proper cellular function.](http://www.uniprot.org/uniprot/Q04844#function) Variants in CHRNE are associated with [autoimmune disorders](https://www.omim.org/entry/254200) and [progressive](https://www.omim.org/entry/605809)[muscle](https://www.omim.org/entry/616324)[weakness](https://www.omim.org/entry/608931). Other variants are associated with decreased function of [natural killer cells (NKC)](https://www.ncbi.nlm.nih.gov/pubmed/27099524), a type of white blood cell that helps the body respond to viral infections.</t>
  </si>
  <si>
    <t>cholinergic receptor nicotinic epsilon subunit</t>
  </si>
  <si>
    <t xml:space="preserve">    Your variant is [4.36X more common in ME/CFS patients.](https://www.ncbi.nlm.nih.gov/pubmed/27099524)The malformed CHRME receptors may impact the activity of natural killer cells (NKC), a type of white blood cell found in the blood, bone marrow, spleen, and lymph nodes. They kill viral infected and tumorous cells. The NKC of many patients with ME/CFS have lower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</si>
  <si>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xml:space="preserve">    Congenital myasthenic syndromes (CMS) are a group of rare disorders that affects the proteins at the neuromuscular junctions and may cause [abnormalities in the CHRME receptors](https://www.ncbi.nlm.nih.gov/pubmed/16156017). CMS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
    # What should I do about this?
    Consult [a neurologist](https://www.ncbi.nlm.nih.gov/pubmed/23108489) during and after pregnancy. It afflicted with slow channel syndrome, consider adding [salbutamol in addition to fluoxetine](https://www.ncbi.nlm.nih.gov/pubmed/23281026). [Galantamine](http://www.uniprot.org/uniprot/Q04844) is also used in treatment.</t>
  </si>
  <si>
    <t>catechol-O-methyltransferase</t>
  </si>
  <si>
    <t>COMT</t>
  </si>
  <si>
    <t>NC_000022.10:g.19929263_19957498</t>
  </si>
  <si>
    <t>five</t>
  </si>
  <si>
    <t>The COMT gene creates an enzyme that helps break down and balance levels of dopamine and [norepinephrine](https://www.britannica.com/science/norepinephrine) in nerve cells. It also helps balance levels of [estrogen](https://www.ncbi.nlm.nih.gov/pubmed/18324659?dopt=Abstract) in the liver, kidneys, and blood. Variants may cause [anxiety](https://www.ncbi.nlm.nih.gov/pubmed/16232322?dopt=Abstract), [depression](https://www.ncbi.nlm.nih.gov/pubmed/19520435?dopt=Abstract), muscle pain and fatigue, oxidative stress,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t>
  </si>
  <si>
    <t>G158A</t>
  </si>
  <si>
    <t>[G158A](https://www.ncbi.nlm.nih.gov/pubmed/21059181)</t>
  </si>
  <si>
    <t>C62T</t>
  </si>
  <si>
    <t>[C62T](https://www.ncbi.nlm.nih.gov/pubmed/26891941)</t>
  </si>
  <si>
    <t>T19943884C</t>
  </si>
  <si>
    <t>[T19943884C](https://www.ncbi.nlm.nih.gov/pubmed/19540336)</t>
  </si>
  <si>
    <t>T19960814C</t>
  </si>
  <si>
    <t>[T19960814C](https://www.ncbi.nlm.nih.gov/pubmed/19772600)</t>
  </si>
  <si>
    <t>T19950010G</t>
  </si>
  <si>
    <t>[T19950010G](https://www.ncbi.nlm.nih.gov/pubmed/19540336)</t>
  </si>
  <si>
    <t>NC_000022.10:g.19931407T&gt;C</t>
  </si>
  <si>
    <t>NC_000022.10:g.19948337T&gt;C</t>
  </si>
  <si>
    <t>NC_000022.10:g.</t>
  </si>
  <si>
    <t>[19948337T&gt;C]</t>
  </si>
  <si>
    <t>[19948337=]</t>
  </si>
  <si>
    <t>NC_000022.10:g.19937533T&gt;G</t>
  </si>
  <si>
    <t>[19937533T&gt;G]</t>
  </si>
  <si>
    <t>[19931407T&gt;C]</t>
  </si>
  <si>
    <t>[19931407=]</t>
  </si>
  <si>
    <t>[19950235C&gt;T]</t>
  </si>
  <si>
    <t>[19950235=]</t>
  </si>
  <si>
    <t>NC_000022.10:g.19951271G&gt;A</t>
  </si>
  <si>
    <t>[19951271G&gt;A]</t>
  </si>
  <si>
    <t>[19951271=]</t>
  </si>
  <si>
    <t xml:space="preserve">    This variant decreases COMT enzymatic activity by as much as 25% and increases dopamine levels. It also decreases the [pain tolerance with higher pain ratings](https://www.ncbi.nlm.nih.gov/pubmed/12595695?dopt=Abstract) and increased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[clozapine](https://www.ncbi.nlm.nih.gov/pubmed/24448899?dopt=Abstract) 
    - [Intermediate response to antidepressant paroxetine](https://www.ncbi.nlm.nih.gov/pubmed/18989660?dopt=Abstract) 
    - [Increased susceptibility for cocaine dependence](https://www.ncbi.nlm.nih.gov/pubmed/18704099?dopt=Abstract) 
    - Greater risk for [nicotine dependence](https://www.ncbi.nlm.nih.gov/pubmed/16395295?dopt=Abstract) in Asian males and African American females 
    - [1.3X increased risk of breast cancer](https://www.ncbi.nlm.nih.gov/pubmed/18194538?dopt=Abstract) 
    # What should I do about this?
    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</si>
  <si>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xml:space="preserve">    The double adenine (A) missense variant reduces enzyme activity by 25% and greatly increases dopamine levels. [78% of people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[ME/CFS patients](https://www.ncbi.nlm.nih.gov/pubmed/21059181) and has many effects.
    -  After exercise, the COMT gene showed [more activation](https://www.ncbi.nlm.nih.gov/pubmed/22110941) than healthy patients, [causing muscle fatigue and pain](https://www.ncbi.nlm.nih.gov/pubmed/19647494) 
    -  CFS patients have [higher cortisol levels, enhanced IgE, diminished IgG3 levels, and an increased susceptibility to respiratory tract infections](https://www.ncbi.nlm.nih.gov/pubmed/26272340) 
    - Increased postural orthostatic tachycardia syndrome ([POTS](https://www.ncbi.nlm.nih.gov/pubmed/21059181)) during tilt table testing 
    - Daytime [sleepiness](https://www.ncbi.nlm.nih.gov/pubmed/23728717?dopt=Abstract) 
    - Increased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dependence](https://www.ncbi.nlm.nih.gov/pubmed/18704099?dopt=Abstract) 
    - Greatest chance of [nicotine dependence](https://www.ncbi.nlm.nih.gov/pubmed/16395295?dopt=Abstract) in Asian males and African American females 
    # What should I do about this?
    - Avoid all stress and moderate exercise to improve pain sensitivity, muscle fatigue and thinking. Consider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antibiotics](http://www.piduk.org/static/media/up/IgG%20subclass%20Patient%20Information%20Sheet.pdf) may prevent development of infections. 
    - Check [cortisol levels](https://www.ncbi.nlm.nih.gov/pubmed/26272340). If elevated, consider [magnesium](https://www.ncbi.nlm.nih.gov/pubmed/18500945), [omega-3 fish oil](https://www.ncbi.nlm.nih.gov/pubmed/12909818), [massage](https://www.ncbi.nlm.nih.gov/pubmed/16162447) therapy,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t>
  </si>
  <si>
    <t xml:space="preserve">    COMT’s estrogen detoxification function is slightly impaired, causing higher than normal levels of estrogen in the body. This may increase the risk for [endometrial](https://www.ncbi.nlm.nih.gov/pubmed/18324659?dopt=Abstract) and [breast cancer](https://www.ncbi.nlm.nih.gov/pubmed/18194538?dopt=Abstract). Slightly high [estrogen levels](https://medlineplus.gov/druginfo/meds/a682922.html) may increase the risk for heart problems and memory problems, and [symptoms](https://medlineplus.gov/druginfo/meds/a682922.html) may include headaches, dizziness, and problems with thinking or memory. 
    Female patients with ME/CFS may have [abnormal ovarian function](https://www.ncbi.nlm.nih.gov/pubmed/9790489) worsened by COMT variants, including polycystic ovarian syndrome (PCOS), hirsutism, and cysts. This may [increase the risk for ME/CFS](https://www.ncbi.nlm.nih.gov/pubmed/9790489) due to continued estrogen function and higher estrogen levels in the body. Higher levels may also be related to ME/CFS related malformed [estrogen receptors](https://www.ncbi.nlm.nih.gov/pubmed/16731592). The excess estrogen damages the ability of progesterone to aid and modulate the immune system during the menstrual cycle.
    # What should I do about this?
    - Regularly check for endometrial and breast cancer. 
    - Consult with your doctor to ensure you maintain normal estrogen levels. 
    - Drinking green tea may [reduce risk of breast cancer.](https://www.ncbi.nlm.nih.gov/pubmed/19074205?dopt=Abstract) 
    Medications related to COMT include: [Clonidine, BIA, Diethylstilbestrol, Dobutamine, Dopamine, Entacapone, Methyldopa, Micafungin, Nialamide, S-Adenosylmethionine, Testosterone Propionate, and Tolcapone.](http://www.uniprot.org/uniprot/P21964#pathology_and_biotech)</t>
  </si>
  <si>
    <t xml:space="preserve">    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[Alcohol-dependency](https://www.ncbi.nlm.nih.gov/pubmed/22208661?dopt=Abstract) 
    - [Greater risk of psychotic symptoms and schizophrenia when using cannabis](https://www.ncbi.nlm.nih.gov/pubmed/22208661?dopt=Abstract) 
    - [Poor response to the antidepressant paroxetine](https://www.ncbi.nlm.nih.gov/pubmed/18989660?dopt=Abstract) 
    # What should I do about this?
    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t>
  </si>
  <si>
    <t xml:space="preserve">    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
    Female patients with ME/CFS may have [abnormal ovarian function](https://www.ncbi.nlm.nih.gov/pubmed/9790489) worsened by COMT variants, including polycystic ovarian syndrome (PCOS), hirsutism, and cysts. This may [increase the risk for ME/CFS](https://www.ncbi.nlm.nih.gov/pubmed/9790489) due to continued estrogen function and higher estrogen levels in the body. Higher levels may also be related to ME/CFS related malformed [estrogen receptors](https://www.ncbi.nlm.nih.gov/pubmed/16731592). The excess estrogen damages the ability of progesterone to aid and modulate the immune system during the menstrual cycle.
    # What should I do about this?
    -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</si>
  <si>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xml:space="preserve">    This variant is associated with increased “oxidative stress,” which is caused by [free radicals](https://nccih.nih.gov/health/antioxidants/introduction.htm) triggering cell damage. The increased risk of oxidative stress also leads to [cancer](https://www.ncbi.nlm.nih.gov/pubmed/21716162). ME/CFS patients often show [increased oxidative stress](https://www.ncbi.nlm.nih.gov/pubmed/27580693) that can be measured as increased levels of [thiobarbituric acid reactive substances](https://www.ncbi.nlm.nih.gov/pubmed/19457057) (TBARS), an oxidative stress blood marker, and decreased [reduced ascorbic-acid](https://www.ncbi.nlm.nih.gov/pubmed/19457057) (RAA), an antioxidant defense marker. This is associated with [increased symptom severity](https://www.ncbi.nlm.nih.gov/pubmed/29065167) and muscle weakness.
    # What should I do about this?
    Oxidative stress may be mitigated through environmental changes, [antioxidants](https://nccih.nih.gov/health/antioxidants/introduction.htm), and dietary changes.
    - [Robuvit](https://www.robuvit.com/home/)® (oak wood extract) is effective in reducing [oxidative stress](https://www.ncbi.nlm.nih.gov/pubmed/29164838) and [fatigue](https://www.ncbi.nlm.nih.gov/pubmed/29719945), while improving cognition, sleep, and memory. Consider taking [300mg/day](https://www.minervamedica.it/en/journals/sports-med-physical-fitness/article.php?cod=R40Y2018N05A0678).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purple berries like blueberries and cranberries, orange and dark, leafy green vegetables like pumpkin and spinach, tomato, red grapes, and peanuts](https://www.fruitsandveggiesmorematters.org/what-are-phytochemicals).</t>
  </si>
  <si>
    <t xml:space="preserve">    This variant has a variety of effects:
    - Much more common in [ME/CFS](https://www.ncbi.nlm.nih.gov/pubmed/19772600) patients. 
    - Lower scores in [attention tests, memory tests, and executive function](https://www.ncbi.nlm.nih.gov/pubmed/27091610). 
    - Incorrect metabolism of [Tacrolimus](https://www.ncbi.nlm.nih.gov/pubmed/24465960), a widely used immunosuppressive drug. 
    - Increased [cold pain sensitivity](https://www.ncbi.nlm.nih.gov/pubmed/19559388) in women. 
    - Protective against [type 2 diabetes](https://www.ncbi.nlm.nih.gov/pubmed/25927430). 
    # What should I do about this?
    Be careful if taking [Tacrolimus](https://www.ncbi.nlm.nih.gov/pubmed/24465960). Avoid cold temperatures or temperature shock.</t>
  </si>
  <si>
    <t xml:space="preserve">    This variant is associated with an increased risk of [ME/CFS](https://www.ncbi.nlm.nih.gov/pubmed/19540336)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 
    ME/CFS patients often show [increased oxidative stress](https://www.ncbi.nlm.nih.gov/pubmed/27580693) that can be measured as increased levels of [thiobarbituric acid reactive substances](https://www.ncbi.nlm.nih.gov/pubmed/19457057) (TBARS), an oxidative stress blood marker, and decreased [reduced ascorbic-acid](https://www.ncbi.nlm.nih.gov/pubmed/19457057) (RAA), an antioxidant defense marker. This is associated with [increased symptom severity](https://www.ncbi.nlm.nih.gov/pubmed/29065167) and muscle weakness.
    # What should I do about this?
    Oxidative stress may be mitigated through environmental changes, [antioxidants](https://nccih.nih.gov/health/antioxidants/introduction.htm), and dietary changes.
    - [Robuvit](https://www.robuvit.com/home/)® (oak wood extract) is effective in reducing [oxidative stress](https://www.ncbi.nlm.nih.gov/pubmed/29164838) and [fatigue](https://www.ncbi.nlm.nih.gov/pubmed/29719945), while improving cognition, sleep, and memory. Consider taking [300mg/day](https://www.minervamedica.it/en/journals/sports-med-physical-fitness/article.php?cod=R40Y2018N05A0678).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t>
  </si>
  <si>
    <t xml:space="preserve">    This variant is associated with an increased risk of [ME/CFS](https://www.ncbi.nlm.nih.gov/pubmed/19540336)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 
    ME/CFS patients often show [increased oxidative stress](https://www.ncbi.nlm.nih.gov/pubmed/27580693) that can be measured as increased levels of [thiobarbituric acid reactive substances](https://www.ncbi.nlm.nih.gov/pubmed/19457057) (TBARS), an oxidative stress blood marker, and decreased [reduced ascorbic-acid](https://www.ncbi.nlm.nih.gov/pubmed/19457057) (RAA), an antioxidant defense marker. This is associated with [increased symptom severity](https://www.ncbi.nlm.nih.gov/pubmed/29065167) and muscle weakness.
    # What should I do about this?
    Oxidative stress may be mitigated through environmental changes, [antioxidants](https://nccih.nih.gov/health/antioxidants/introduction.htm), and dietary changes.
    - [Robuvit](https://www.robuvit.com/home/)® (oak wood extract) is effective in reducing [oxidative stress](https://www.ncbi.nlm.nih.gov/pubmed/29164838) and [fatigue](https://www.ncbi.nlm.nih.gov/pubmed/29719945), while improving cognition, sleep, and memory. Consider taking [300mg/day](https://www.minervamedica.it/en/journals/sports-med-physical-fitness/article.php?cod=R40Y2018N05A0678).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t>
  </si>
  <si>
    <t>[19937533=]</t>
  </si>
  <si>
    <t>CRHR1</t>
  </si>
  <si>
    <t xml:space="preserve">    [CRHR1](http://www.uniprot.org/uniprot/P34998) encodes a protein that binds to a neurotransmitter for hormones. These hormones are necessary for normal embryonic development and act in the hypothalamic-pituitary-adrenal (HPA) pathway, controlling [stress, reproduction, immune response, and obesity](https://www.ncbi.nlm.nih.gov/gene/1394). CRHR1 also helps activate enzymes to help transfer the effects of hormones into cells and activate proteins. Variants in CRHR1 have been linked with [depression](http://www.disgenet.org/web/DisGeNET/menu/browser/tab8a?0&amp;pview=default&amp;pf=http://www.disgenet.org/web/DisGeNET%3Fdata/genes::1394::de&amp;pf=/data/sources::ALL::de), [Parkinson’s](https://www.targetvalidation.org/target/ENSG00000263715/associations?view=t:table), and [ME](https://www.ncbi.nlm.nih.gov/pubmed/26063326)/[CFS](https://www.ncbi.nlm.nih.gov/pubmed/18986552). </t>
  </si>
  <si>
    <t>Corticotropin-releasing factor receptor 1</t>
  </si>
  <si>
    <t>NC_000017.10:g.43697710_43913194</t>
  </si>
  <si>
    <t>A45815234G</t>
  </si>
  <si>
    <t>[A45815234G](https://www.ncbi.nlm.nih.gov/projects/SNP/snp_ref.cgi?rs=242940)</t>
  </si>
  <si>
    <t>G45825631A</t>
  </si>
  <si>
    <t>[G45825631A](https://www.ncbi.nlm.nih.gov/projects/SNP/snp_ref.cgi?rs=1396862)</t>
  </si>
  <si>
    <t>NC_000017.10:g.43902997G&gt;A</t>
  </si>
  <si>
    <t>[43902997G&gt;A]</t>
  </si>
  <si>
    <t>[43902997=]</t>
  </si>
  <si>
    <t>NC_000017.10:g.43892600A&gt;G</t>
  </si>
  <si>
    <t>[43892600A&gt;G]</t>
  </si>
  <si>
    <t>[43892600=]</t>
  </si>
  <si>
    <t>rs242940</t>
  </si>
  <si>
    <t>rs1396862</t>
  </si>
  <si>
    <t>symptoms fatigue D005221; depression D003863; stress D040701; orthostatic intolerance (POTS) D054971; pain D010146; inflamation D007249</t>
  </si>
  <si>
    <t>mesh_D005221 mesh_D003863 mesh_D040701 mesh_D054971 mesh_D010146 mesh_D007249</t>
  </si>
  <si>
    <t xml:space="preserve"> brain; female tissue</t>
  </si>
  <si>
    <t>mesh_D001921 mesh_D005836</t>
  </si>
  <si>
    <t>Diseases depression D003866; ME/CFS D015673; hypothyroid D007037; Parkinson Disease D010300;</t>
  </si>
  <si>
    <t>mesh_D003866 mesh_D015673 mesh_D007037 mesh_D010300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</si>
</sst>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rgb="FF24292E"/>
      <name val="Consolas"/>
      <family val="3"/>
    </font>
    <font>
      <sz val="12"/>
      <color theme="1"/>
      <name val="Calibri"/>
      <family val="2"/>
    </font>
    <font>
      <sz val="12"/>
      <color rgb="FF24292E"/>
      <name val="Segoe UI"/>
      <family val="2"/>
    </font>
    <font>
      <sz val="10"/>
      <color rgb="FF000000"/>
      <name val="Arial"/>
      <family val="2"/>
    </font>
    <font>
      <sz val="10"/>
      <color theme="1"/>
      <name val="Arial"/>
      <family val="2"/>
    </font>
    <font>
      <b/>
      <sz val="12"/>
      <color theme="1"/>
      <name val="Calibri"/>
      <family val="2"/>
    </font>
    <font>
      <sz val="10"/>
      <color theme="1"/>
      <name val="Times New Roman"/>
      <family val="1"/>
    </font>
    <font>
      <sz val="12"/>
      <color theme="1"/>
      <name val="Times New Roman"/>
      <family val="1"/>
    </font>
    <font>
      <sz val="12"/>
      <color rgb="FF24292E"/>
      <name val="Calibri"/>
      <family val="2"/>
    </font>
    <font>
      <sz val="11"/>
      <color rgb="FF000000"/>
      <name val="Calibri"/>
      <family val="2"/>
      <scheme val="minor"/>
    </font>
    <font>
      <sz val="11"/>
      <color rgb="FF000000"/>
      <name val="Calibri"/>
      <family val="2"/>
    </font>
    <font>
      <sz val="12"/>
      <color rgb="FF000000"/>
      <name val="Calibri"/>
      <family val="2"/>
    </font>
    <font>
      <sz val="10"/>
      <color rgb="FF000000"/>
      <name val="Courier New"/>
      <family val="3"/>
    </font>
    <font>
      <b/>
      <sz val="10"/>
      <color rgb="FF000000"/>
      <name val="Arial"/>
      <family val="2"/>
    </font>
    <font>
      <sz val="11"/>
      <color rgb="FF000000"/>
      <name val="Arial"/>
      <family val="2"/>
    </font>
    <font>
      <sz val="12"/>
      <color rgb="FF24292E"/>
      <name val="Arial"/>
      <family val="2"/>
    </font>
    <font>
      <sz val="10"/>
      <color rgb="FF000000"/>
      <name val="Arial Unicode MS"/>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50">
    <xf numFmtId="0" fontId="0" fillId="0" borderId="0" xfId="0"/>
    <xf numFmtId="0" fontId="1" fillId="0" borderId="0" xfId="0" applyFont="1" applyAlignment="1">
      <alignment horizontal="left" vertical="center" indent="1"/>
    </xf>
    <xf numFmtId="0" fontId="0" fillId="0" borderId="0" xfId="0" applyAlignment="1">
      <alignment horizontal="left"/>
    </xf>
    <xf numFmtId="0" fontId="2" fillId="0" borderId="0" xfId="0" applyFont="1" applyAlignment="1"/>
    <xf numFmtId="0" fontId="3" fillId="0" borderId="0" xfId="0" applyFont="1" applyAlignment="1">
      <alignment horizontal="left"/>
    </xf>
    <xf numFmtId="0" fontId="0" fillId="0" borderId="0" xfId="0" applyAlignment="1">
      <alignment horizontal="left" vertical="center" indent="1"/>
    </xf>
    <xf numFmtId="0" fontId="4" fillId="0" borderId="0" xfId="0" applyFont="1"/>
    <xf numFmtId="0" fontId="5" fillId="0" borderId="0" xfId="0" applyFont="1"/>
    <xf numFmtId="0" fontId="6" fillId="0" borderId="0" xfId="0" applyFont="1" applyAlignment="1"/>
    <xf numFmtId="0" fontId="6" fillId="0" borderId="0" xfId="0" applyFont="1" applyAlignment="1">
      <alignment horizontal="left"/>
    </xf>
    <xf numFmtId="0" fontId="2" fillId="0" borderId="0" xfId="0" applyFont="1" applyFill="1" applyAlignment="1"/>
    <xf numFmtId="0" fontId="0" fillId="0" borderId="0" xfId="0" applyFont="1" applyFill="1"/>
    <xf numFmtId="0" fontId="7" fillId="0" borderId="0" xfId="0" applyFont="1"/>
    <xf numFmtId="0" fontId="8" fillId="0" borderId="0" xfId="0" applyFont="1"/>
    <xf numFmtId="0" fontId="9" fillId="0" borderId="0" xfId="0" applyFont="1" applyAlignment="1">
      <alignment horizontal="left" vertical="center"/>
    </xf>
    <xf numFmtId="0" fontId="2" fillId="0" borderId="0" xfId="0" applyFont="1" applyAlignment="1">
      <alignment horizontal="left"/>
    </xf>
    <xf numFmtId="0" fontId="7" fillId="0" borderId="0" xfId="0" applyFont="1" applyAlignment="1">
      <alignment vertical="center" wrapText="1"/>
    </xf>
    <xf numFmtId="0" fontId="0" fillId="0" borderId="0" xfId="0" applyFont="1"/>
    <xf numFmtId="0" fontId="2" fillId="0" borderId="0" xfId="0" applyFont="1" applyAlignment="1">
      <alignment wrapText="1"/>
    </xf>
    <xf numFmtId="0" fontId="9" fillId="2" borderId="0" xfId="0" applyFont="1" applyFill="1" applyAlignment="1">
      <alignment horizontal="left" vertical="center"/>
    </xf>
    <xf numFmtId="0" fontId="2" fillId="2" borderId="0" xfId="0" applyFont="1" applyFill="1" applyAlignment="1">
      <alignment horizontal="left"/>
    </xf>
    <xf numFmtId="0" fontId="2" fillId="2" borderId="0" xfId="0" applyFont="1" applyFill="1" applyAlignment="1"/>
    <xf numFmtId="0" fontId="4" fillId="0" borderId="0" xfId="0" applyFont="1" applyAlignment="1"/>
    <xf numFmtId="0" fontId="10" fillId="0" borderId="0" xfId="0" applyFont="1"/>
    <xf numFmtId="0" fontId="11" fillId="0" borderId="1" xfId="0" applyFont="1" applyBorder="1" applyAlignment="1"/>
    <xf numFmtId="0" fontId="12" fillId="2" borderId="0" xfId="0" applyFont="1" applyFill="1" applyAlignment="1"/>
    <xf numFmtId="0" fontId="2" fillId="0" borderId="0" xfId="0" applyFont="1" applyAlignment="1">
      <alignment horizontal="left" vertical="center"/>
    </xf>
    <xf numFmtId="0" fontId="5" fillId="0" borderId="0" xfId="0" applyFont="1" applyAlignment="1"/>
    <xf numFmtId="0" fontId="2" fillId="2" borderId="0" xfId="0" applyFont="1" applyFill="1" applyAlignment="1">
      <alignment horizontal="left" vertical="center"/>
    </xf>
    <xf numFmtId="0" fontId="12" fillId="0" borderId="0" xfId="0" applyFont="1" applyAlignment="1">
      <alignment horizontal="left"/>
    </xf>
    <xf numFmtId="0" fontId="2" fillId="0" borderId="0" xfId="0" applyFont="1" applyAlignment="1">
      <alignment vertical="center"/>
    </xf>
    <xf numFmtId="0" fontId="13" fillId="0" borderId="0" xfId="0" applyFont="1" applyAlignment="1">
      <alignment vertical="center"/>
    </xf>
    <xf numFmtId="0" fontId="2" fillId="0" borderId="0" xfId="0" applyFont="1" applyFill="1" applyAlignment="1">
      <alignment horizontal="left" vertical="center"/>
    </xf>
    <xf numFmtId="0" fontId="2" fillId="0" borderId="0" xfId="0" applyFont="1" applyFill="1" applyAlignment="1">
      <alignment horizontal="left"/>
    </xf>
    <xf numFmtId="0" fontId="13" fillId="0" borderId="0" xfId="0" applyFont="1" applyFill="1" applyAlignment="1">
      <alignment vertical="center"/>
    </xf>
    <xf numFmtId="0" fontId="13" fillId="2" borderId="0" xfId="0" applyFont="1" applyFill="1" applyAlignment="1">
      <alignment vertical="center"/>
    </xf>
    <xf numFmtId="0" fontId="2" fillId="0" borderId="0" xfId="0" applyFont="1" applyAlignment="1">
      <alignment horizontal="left" wrapText="1"/>
    </xf>
    <xf numFmtId="0" fontId="0" fillId="0" borderId="0" xfId="0" applyFill="1"/>
    <xf numFmtId="0" fontId="2" fillId="0" borderId="0" xfId="0" applyFont="1" applyFill="1" applyAlignment="1">
      <alignment wrapText="1"/>
    </xf>
    <xf numFmtId="0" fontId="14" fillId="0" borderId="0" xfId="0" applyFont="1"/>
    <xf numFmtId="0" fontId="15" fillId="0" borderId="0" xfId="0" applyFont="1"/>
    <xf numFmtId="0" fontId="4" fillId="0" borderId="0" xfId="0" applyFont="1" applyAlignment="1">
      <alignment vertical="center" wrapText="1"/>
    </xf>
    <xf numFmtId="0" fontId="5" fillId="0" borderId="0" xfId="0" applyFont="1" applyAlignment="1">
      <alignment wrapText="1"/>
    </xf>
    <xf numFmtId="0" fontId="0" fillId="0" borderId="0" xfId="0" applyAlignment="1">
      <alignment horizontal="left" wrapText="1"/>
    </xf>
    <xf numFmtId="0" fontId="12" fillId="0" borderId="0" xfId="0" applyFont="1" applyAlignment="1">
      <alignment horizontal="left" wrapText="1"/>
    </xf>
    <xf numFmtId="0" fontId="4" fillId="0" borderId="1" xfId="0" applyFont="1" applyBorder="1" applyAlignment="1">
      <alignment wrapText="1"/>
    </xf>
    <xf numFmtId="0" fontId="11" fillId="0" borderId="1" xfId="0" applyFont="1" applyBorder="1" applyAlignment="1">
      <alignment wrapText="1"/>
    </xf>
    <xf numFmtId="0" fontId="16" fillId="0" borderId="0" xfId="0" applyFont="1"/>
    <xf numFmtId="0" fontId="0" fillId="0" borderId="0" xfId="0" applyAlignment="1">
      <alignment vertical="center"/>
    </xf>
    <xf numFmtId="0" fontId="17"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A41F1-CA0D-4BC2-89E6-247F284FC918}">
  <dimension ref="A1:AJ2519"/>
  <sheetViews>
    <sheetView topLeftCell="E54" zoomScaleNormal="100" workbookViewId="0">
      <selection activeCell="A48" sqref="A48:M68"/>
    </sheetView>
  </sheetViews>
  <sheetFormatPr defaultRowHeight="15.75" x14ac:dyDescent="0.25"/>
  <cols>
    <col min="1" max="1" width="16.28515625" style="3" customWidth="1"/>
    <col min="2" max="2" width="58.28515625" style="15" customWidth="1"/>
    <col min="3" max="6" width="9.140625" style="3"/>
    <col min="7" max="7" width="10.28515625" style="3" bestFit="1" customWidth="1"/>
    <col min="8" max="8" width="13" style="3" customWidth="1"/>
    <col min="9" max="9" width="13.4257812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8" t="s">
        <v>0</v>
      </c>
      <c r="B1" s="9" t="s">
        <v>1</v>
      </c>
      <c r="C1" s="8" t="s">
        <v>2</v>
      </c>
      <c r="H1" s="10"/>
      <c r="I1" s="11"/>
      <c r="J1" s="10"/>
      <c r="K1" s="10"/>
      <c r="L1" s="10"/>
      <c r="Y1" s="12"/>
      <c r="AC1" s="12"/>
      <c r="AF1" s="13"/>
      <c r="AG1" s="13"/>
      <c r="AJ1" s="13"/>
    </row>
    <row r="2" spans="1:36" x14ac:dyDescent="0.25">
      <c r="A2" s="14" t="s">
        <v>35</v>
      </c>
      <c r="B2" t="s">
        <v>87</v>
      </c>
      <c r="C2" s="3" t="str">
        <f>CONCATENATE("&lt;",A2," ",B2," /&gt;")</f>
        <v>&lt;Gene_Name GRIK3 /&gt;</v>
      </c>
      <c r="D2" s="15"/>
      <c r="H2" s="10"/>
      <c r="I2" s="11"/>
      <c r="J2" s="10"/>
      <c r="K2" s="10"/>
      <c r="L2" s="10"/>
      <c r="Y2" s="12"/>
      <c r="AC2" s="12"/>
      <c r="AF2" s="13"/>
      <c r="AG2" s="13"/>
      <c r="AJ2" s="13"/>
    </row>
    <row r="3" spans="1:36" x14ac:dyDescent="0.25">
      <c r="A3" s="8"/>
      <c r="B3" s="9"/>
      <c r="C3" s="8"/>
      <c r="D3" s="15"/>
      <c r="H3" s="10"/>
      <c r="I3" s="11"/>
      <c r="J3" s="10"/>
      <c r="K3" s="10"/>
      <c r="L3" s="10"/>
      <c r="Y3" s="12"/>
      <c r="AC3" s="12"/>
      <c r="AF3" s="13"/>
      <c r="AG3" s="13"/>
      <c r="AJ3" s="13"/>
    </row>
    <row r="4" spans="1:36" x14ac:dyDescent="0.25">
      <c r="A4" s="14" t="s">
        <v>37</v>
      </c>
      <c r="B4" s="15" t="s">
        <v>88</v>
      </c>
      <c r="C4" s="3" t="str">
        <f>CONCATENATE("&lt;",A4," ",B4," /&gt;")</f>
        <v>&lt;GeneName_full Glutamate receptor ionotropic, kainate 3 /&gt;</v>
      </c>
      <c r="D4" s="15"/>
      <c r="H4" s="10"/>
      <c r="I4" s="11"/>
      <c r="J4" s="10"/>
      <c r="K4" s="10"/>
      <c r="L4" s="10"/>
      <c r="Y4" s="12"/>
      <c r="AC4" s="12"/>
      <c r="AF4" s="13"/>
      <c r="AG4" s="13"/>
      <c r="AJ4" s="13"/>
    </row>
    <row r="5" spans="1:36" x14ac:dyDescent="0.25">
      <c r="A5" s="14"/>
      <c r="B5" s="9"/>
      <c r="C5" s="8"/>
      <c r="D5" s="15"/>
      <c r="H5" s="10"/>
      <c r="I5" s="11"/>
      <c r="J5" s="10"/>
      <c r="K5" s="10"/>
      <c r="L5" s="10"/>
      <c r="Y5" s="12"/>
      <c r="AC5" s="12"/>
      <c r="AF5" s="13"/>
      <c r="AG5" s="13"/>
      <c r="AJ5" s="13"/>
    </row>
    <row r="6" spans="1:36" x14ac:dyDescent="0.25">
      <c r="A6" s="14"/>
      <c r="B6" s="3"/>
      <c r="C6" s="3" t="str">
        <f>CONCATENATE("# What does the ",B2," gene do?")</f>
        <v># What does the GRIK3 gene do?</v>
      </c>
      <c r="H6" s="10"/>
      <c r="I6" s="11"/>
      <c r="J6" s="10"/>
      <c r="K6" s="10"/>
      <c r="L6" s="10"/>
      <c r="Y6" s="16"/>
      <c r="Z6" s="16"/>
      <c r="AA6" s="16"/>
      <c r="AC6" s="16"/>
      <c r="AF6" s="13"/>
      <c r="AJ6" s="13"/>
    </row>
    <row r="7" spans="1:36" x14ac:dyDescent="0.25">
      <c r="A7" s="14"/>
      <c r="I7" s="17"/>
      <c r="Y7" s="16"/>
      <c r="Z7" s="16"/>
      <c r="AA7" s="16"/>
      <c r="AC7" s="16"/>
      <c r="AF7" s="13"/>
      <c r="AJ7" s="13"/>
    </row>
    <row r="8" spans="1:36" x14ac:dyDescent="0.25">
      <c r="A8" s="14" t="s">
        <v>5</v>
      </c>
      <c r="B8" s="37" t="s">
        <v>89</v>
      </c>
      <c r="C8" s="3" t="str">
        <f>CONCATENATE(B8," This gene is located on chromosome ",B9,".")</f>
        <v>The GRIK3 gene creates a protein that helps form receptors for the neurotransmitter [glutamate](https://www.nimh.nih.gov/health/educational-resources/brain-basics/brain-basics.shtml). It increases the chance neurons will fire and enhances the electrical flow among brain cells, but elevated levels of glutamate are toxic to neurons. Problems creating or absorbing glutamate are linked to ME/CFS, [major](https://www.ncbi.nlm.nih.gov/pubmed/16958029) [depressive disorder](https://www.ncbi.nlm.nih.gov/pubmed/19221446/), [schizophrenia](https://www.ncbi.nlm.nih.gov/pubmed/19921975/), [and memory problems](https://www.nimh.nih.gov/health/educational-resources/brain-basics/brain-basics.shtml). This gene is located on chromosome 1.</v>
      </c>
      <c r="I8" s="17"/>
      <c r="X8" s="18"/>
      <c r="Y8" s="16"/>
      <c r="Z8" s="16"/>
      <c r="AA8" s="16"/>
      <c r="AC8" s="16"/>
    </row>
    <row r="9" spans="1:36" x14ac:dyDescent="0.25">
      <c r="A9" s="14" t="s">
        <v>6</v>
      </c>
      <c r="B9" s="2">
        <v>1</v>
      </c>
      <c r="I9" s="17"/>
      <c r="Y9" s="16"/>
      <c r="Z9" s="16"/>
      <c r="AA9" s="16"/>
      <c r="AC9" s="16"/>
    </row>
    <row r="10" spans="1:36" x14ac:dyDescent="0.25">
      <c r="A10" s="14" t="s">
        <v>7</v>
      </c>
      <c r="B10" s="2" t="s">
        <v>40</v>
      </c>
      <c r="Y10" s="12"/>
      <c r="AC10" s="16"/>
    </row>
    <row r="11" spans="1:36" s="21" customFormat="1" ht="16.5" thickBot="1" x14ac:dyDescent="0.3">
      <c r="A11" s="19"/>
      <c r="B11" s="20"/>
    </row>
    <row r="12" spans="1:36" ht="16.5" thickBot="1" x14ac:dyDescent="0.3">
      <c r="A12" s="14" t="s">
        <v>3</v>
      </c>
      <c r="B12" t="s">
        <v>87</v>
      </c>
      <c r="C12" s="3" t="str">
        <f>CONCATENATE("&lt;GeneMap name= ",CHAR(34),B12,CHAR(34)," interval=",CHAR(34),B13,"=",CHAR(34),"&gt;")</f>
        <v>&lt;GeneMap name= "GRIK3" interval="NC000001_1.11:g.1111_9999="&gt;</v>
      </c>
      <c r="J12" s="23"/>
      <c r="K12" s="23"/>
      <c r="L12" s="23"/>
      <c r="M12" s="23"/>
      <c r="N12" s="23"/>
      <c r="O12" s="24"/>
      <c r="P12" s="25"/>
      <c r="Q12" s="24"/>
      <c r="R12" s="24"/>
      <c r="S12" s="25"/>
      <c r="T12" s="25"/>
      <c r="U12" s="24"/>
      <c r="V12" s="24"/>
      <c r="W12" s="25"/>
      <c r="X12" s="25"/>
      <c r="Y12" s="25"/>
      <c r="Z12" s="25"/>
    </row>
    <row r="13" spans="1:36" x14ac:dyDescent="0.25">
      <c r="A13" s="14" t="s">
        <v>9</v>
      </c>
      <c r="B13" t="s">
        <v>90</v>
      </c>
      <c r="J13" s="15"/>
      <c r="K13" s="15"/>
      <c r="L13" s="15"/>
      <c r="M13" s="15"/>
      <c r="N13" s="15"/>
      <c r="O13" s="15"/>
      <c r="P13" s="15"/>
      <c r="Q13" s="15"/>
      <c r="R13" s="15"/>
      <c r="S13" s="15"/>
      <c r="T13" s="15"/>
      <c r="U13" s="15"/>
      <c r="V13" s="15"/>
      <c r="W13" s="15"/>
      <c r="X13" s="15"/>
      <c r="Y13" s="15"/>
      <c r="Z13" s="15"/>
    </row>
    <row r="14" spans="1:36" x14ac:dyDescent="0.25">
      <c r="A14" s="14" t="s">
        <v>11</v>
      </c>
      <c r="B14" t="s">
        <v>91</v>
      </c>
      <c r="C14" s="3" t="str">
        <f>CONCATENATE("# What are some common variants of ",B12,"?")</f>
        <v># What are some common variants of GRIK3?</v>
      </c>
      <c r="J14" s="15"/>
      <c r="K14" s="15"/>
      <c r="L14" s="15"/>
      <c r="M14" s="15"/>
      <c r="N14" s="15"/>
      <c r="O14" s="15"/>
      <c r="P14" s="15"/>
      <c r="Q14" s="15"/>
      <c r="R14" s="15"/>
      <c r="S14" s="15"/>
      <c r="T14" s="15"/>
      <c r="U14" s="15"/>
      <c r="V14" s="15"/>
      <c r="W14" s="15"/>
      <c r="X14" s="15"/>
      <c r="Y14" s="15"/>
      <c r="Z14" s="15"/>
    </row>
    <row r="15" spans="1:36" x14ac:dyDescent="0.25">
      <c r="A15" s="14"/>
      <c r="B15" s="2"/>
      <c r="C15" s="3" t="s">
        <v>13</v>
      </c>
      <c r="J15" s="15"/>
      <c r="K15" s="15"/>
      <c r="L15" s="15"/>
      <c r="M15" s="15"/>
      <c r="N15" s="15"/>
      <c r="O15" s="15"/>
      <c r="P15" s="15"/>
      <c r="Q15" s="15"/>
      <c r="R15" s="15"/>
      <c r="S15" s="15"/>
      <c r="T15" s="15"/>
      <c r="U15" s="15"/>
      <c r="V15" s="15"/>
      <c r="W15" s="15"/>
      <c r="X15" s="15"/>
      <c r="Y15" s="15"/>
      <c r="Z15" s="15"/>
    </row>
    <row r="16" spans="1:36" x14ac:dyDescent="0.25">
      <c r="B16" s="2"/>
      <c r="C16" s="3" t="str">
        <f>CONCATENATE("A variant is a change at a specific point in the gene from the expected nucleotide sequence to another, resulting in incorrect ", B10," function. There are ",B14," common variants in ",B12,": ",B22,", ",B31,", and ",B40,".")</f>
        <v>A variant is a change at a specific point in the gene from the expected nucleotide sequence to another, resulting in incorrect protein function. There are three common variants in GRIK3: [T928G](https://www.ncbi.nlm.nih.gov/projects/SNP/snp_ref.cgi?rs=6691840)[(Ser310Ala)](https://www.ncbi.nlm.nih.gov/pubmed/11986986), [C36983994T](https://www.ncbi.nlm.nih.gov/projects/SNP/snp_ref.cgi?rs=3913434), and [A7783504C](https://www.ncbi.nlm.nih.gov/projects/SNP/snp_ref.cgi?rs=270838).</v>
      </c>
      <c r="J16" s="15"/>
      <c r="K16" s="15"/>
      <c r="L16" s="15"/>
      <c r="M16" s="15"/>
      <c r="N16" s="15"/>
      <c r="O16" s="15"/>
      <c r="P16" s="15"/>
      <c r="Q16" s="15"/>
      <c r="R16" s="15"/>
      <c r="S16" s="15"/>
      <c r="T16" s="15"/>
      <c r="U16" s="15"/>
      <c r="V16" s="15"/>
      <c r="W16" s="15"/>
      <c r="X16" s="15"/>
      <c r="Y16" s="15"/>
      <c r="Z16" s="15"/>
    </row>
    <row r="17" spans="1:26" x14ac:dyDescent="0.25">
      <c r="B17" s="2"/>
      <c r="J17" s="15"/>
      <c r="K17" s="15"/>
      <c r="L17" s="15"/>
      <c r="M17" s="15"/>
      <c r="N17" s="15"/>
      <c r="O17" s="15"/>
      <c r="P17" s="15"/>
      <c r="Q17" s="15"/>
      <c r="R17" s="15"/>
      <c r="S17" s="15"/>
      <c r="T17" s="15"/>
      <c r="U17" s="15"/>
      <c r="V17" s="15"/>
      <c r="W17" s="15"/>
      <c r="X17" s="15"/>
      <c r="Y17" s="15"/>
      <c r="Z17" s="15"/>
    </row>
    <row r="18" spans="1:26" x14ac:dyDescent="0.25">
      <c r="A18" s="14" t="s">
        <v>14</v>
      </c>
      <c r="B18" s="6" t="s">
        <v>98</v>
      </c>
      <c r="C18" s="3" t="str">
        <f>CONCATENATE("&lt;# ",B19," #&gt;")</f>
        <v>&lt;# T928G #&gt;</v>
      </c>
      <c r="J18" s="15"/>
      <c r="K18" s="15"/>
      <c r="L18" s="15"/>
      <c r="M18" s="15"/>
      <c r="N18" s="15"/>
      <c r="O18" s="15"/>
      <c r="P18" s="15"/>
      <c r="Q18" s="15"/>
      <c r="R18" s="15"/>
      <c r="S18" s="15"/>
      <c r="T18" s="15"/>
      <c r="U18" s="15"/>
      <c r="V18" s="15"/>
      <c r="W18" s="15"/>
      <c r="X18" s="15"/>
      <c r="Y18" s="15"/>
      <c r="Z18" s="15"/>
    </row>
    <row r="19" spans="1:26" x14ac:dyDescent="0.25">
      <c r="A19" s="26" t="s">
        <v>15</v>
      </c>
      <c r="B19" t="s">
        <v>92</v>
      </c>
      <c r="J19" s="6"/>
      <c r="K19" s="15"/>
      <c r="L19" s="15"/>
      <c r="M19" s="15"/>
      <c r="N19" s="15"/>
      <c r="O19" s="15"/>
      <c r="P19" s="15"/>
      <c r="Q19" s="15"/>
      <c r="R19" s="15"/>
      <c r="S19" s="15"/>
      <c r="T19" s="15"/>
      <c r="U19" s="15"/>
      <c r="V19" s="15"/>
      <c r="W19" s="15"/>
      <c r="X19" s="15"/>
      <c r="Y19" s="15"/>
      <c r="Z19" s="15"/>
    </row>
    <row r="20" spans="1:26" x14ac:dyDescent="0.25">
      <c r="A20" s="26" t="s">
        <v>17</v>
      </c>
      <c r="B20" t="s">
        <v>20</v>
      </c>
      <c r="C20" s="3" t="str">
        <f>CONCATENATE("  &lt;Variant hgvs=",CHAR(34),B18,CHAR(34)," name=",CHAR(34),B19,CHAR(34),"&gt; ")</f>
        <v xml:space="preserve">  &lt;Variant hgvs="NC_000001.10:g.37325477A&gt;G" name="T928G"&gt; </v>
      </c>
      <c r="J20" s="2"/>
      <c r="K20" s="15"/>
      <c r="L20" s="15"/>
      <c r="M20" s="15"/>
      <c r="N20" s="15"/>
      <c r="O20" s="15"/>
      <c r="P20" s="15"/>
      <c r="Q20" s="15"/>
      <c r="R20" s="15"/>
      <c r="S20" s="15"/>
      <c r="T20" s="15"/>
      <c r="U20" s="15"/>
      <c r="V20" s="15"/>
      <c r="W20" s="15"/>
      <c r="X20" s="15"/>
      <c r="Y20" s="15"/>
      <c r="Z20" s="15"/>
    </row>
    <row r="21" spans="1:26" x14ac:dyDescent="0.25">
      <c r="A21" s="26" t="s">
        <v>19</v>
      </c>
      <c r="B21" t="s">
        <v>44</v>
      </c>
      <c r="H21" s="15"/>
      <c r="I21" s="15"/>
      <c r="J21" s="2"/>
      <c r="K21" s="15"/>
      <c r="L21" s="15"/>
      <c r="M21" s="15"/>
      <c r="N21" s="15"/>
      <c r="O21" s="15"/>
      <c r="P21" s="15"/>
      <c r="Q21" s="15"/>
      <c r="R21" s="15"/>
      <c r="S21" s="15"/>
      <c r="T21" s="15"/>
      <c r="U21" s="15"/>
      <c r="V21" s="15"/>
      <c r="W21" s="15"/>
      <c r="X21" s="15"/>
      <c r="Y21" s="15"/>
      <c r="Z21" s="15"/>
    </row>
    <row r="22" spans="1:26" x14ac:dyDescent="0.25">
      <c r="A22" s="26" t="s">
        <v>21</v>
      </c>
      <c r="B22" t="s">
        <v>93</v>
      </c>
      <c r="C22" s="3" t="str">
        <f>CONCATENATE("    Instead of ",B20,", there is a ",B21," nucleotide.")</f>
        <v xml:space="preserve">    Instead of thymine (T), there is a guanine (G) nucleotide.</v>
      </c>
      <c r="H22" s="15"/>
      <c r="I22" s="15"/>
      <c r="J22" s="7"/>
      <c r="K22" s="15"/>
      <c r="L22" s="15"/>
      <c r="M22" s="15"/>
      <c r="N22" s="15"/>
      <c r="O22" s="15"/>
      <c r="P22" s="15"/>
      <c r="Q22" s="15"/>
      <c r="R22" s="15"/>
      <c r="S22" s="15"/>
      <c r="T22" s="15"/>
      <c r="U22" s="15"/>
      <c r="V22" s="15"/>
      <c r="W22" s="15"/>
      <c r="X22" s="15"/>
      <c r="Y22" s="15"/>
      <c r="Z22" s="15"/>
    </row>
    <row r="23" spans="1:26" x14ac:dyDescent="0.25">
      <c r="A23" s="3" t="s">
        <v>65</v>
      </c>
      <c r="B23" s="3" t="s">
        <v>66</v>
      </c>
      <c r="H23" s="2"/>
      <c r="I23" s="2"/>
      <c r="J23" s="15"/>
      <c r="K23" s="15"/>
      <c r="L23" s="15"/>
      <c r="M23" s="15"/>
      <c r="N23" s="15"/>
      <c r="O23" s="15"/>
      <c r="P23" s="15"/>
      <c r="Q23" s="15"/>
      <c r="R23" s="15"/>
      <c r="S23" s="15"/>
      <c r="T23" s="15"/>
      <c r="U23" s="15"/>
      <c r="V23" s="15"/>
      <c r="W23" s="15"/>
      <c r="X23" s="15"/>
      <c r="Y23" s="15"/>
      <c r="Z23" s="15"/>
    </row>
    <row r="24" spans="1:26" x14ac:dyDescent="0.25">
      <c r="A24" s="3" t="s">
        <v>51</v>
      </c>
      <c r="B24" s="7" t="s">
        <v>99</v>
      </c>
      <c r="C24" s="3" t="str">
        <f>"  &lt;/Variant&gt;"</f>
        <v xml:space="preserve">  &lt;/Variant&gt;</v>
      </c>
      <c r="H24" s="2"/>
      <c r="I24" s="2"/>
      <c r="J24" s="15"/>
      <c r="K24" s="15"/>
      <c r="L24" s="15"/>
      <c r="M24" s="15"/>
      <c r="N24" s="15"/>
      <c r="O24" s="15"/>
      <c r="P24" s="15"/>
      <c r="Q24" s="15"/>
      <c r="R24" s="15"/>
      <c r="S24" s="15"/>
      <c r="T24" s="15"/>
      <c r="U24" s="15"/>
      <c r="V24" s="15"/>
      <c r="W24" s="15"/>
      <c r="X24" s="15"/>
      <c r="Y24" s="15"/>
      <c r="Z24" s="15"/>
    </row>
    <row r="25" spans="1:26" x14ac:dyDescent="0.25">
      <c r="A25" s="26" t="s">
        <v>52</v>
      </c>
      <c r="B25" s="7" t="s">
        <v>100</v>
      </c>
      <c r="J25" s="6"/>
    </row>
    <row r="26" spans="1:26" x14ac:dyDescent="0.25">
      <c r="A26" s="26"/>
      <c r="B26" s="7"/>
      <c r="J26" s="6"/>
    </row>
    <row r="27" spans="1:26" x14ac:dyDescent="0.25">
      <c r="A27" s="14" t="s">
        <v>14</v>
      </c>
      <c r="B27" s="6" t="s">
        <v>102</v>
      </c>
      <c r="C27" s="3" t="str">
        <f>CONCATENATE("&lt;# ",B28," #&gt;")</f>
        <v>&lt;# C36983994T #&gt;</v>
      </c>
      <c r="J27" s="6"/>
    </row>
    <row r="28" spans="1:26" x14ac:dyDescent="0.25">
      <c r="A28" s="26" t="s">
        <v>15</v>
      </c>
      <c r="B28" t="s">
        <v>94</v>
      </c>
      <c r="J28" s="2"/>
    </row>
    <row r="29" spans="1:26" x14ac:dyDescent="0.25">
      <c r="A29" s="26" t="s">
        <v>17</v>
      </c>
      <c r="B29" t="str">
        <f>"cytosine (C)"</f>
        <v>cytosine (C)</v>
      </c>
      <c r="C29" s="3" t="str">
        <f>CONCATENATE("  &lt;Variant hgvs=",CHAR(34),B27,CHAR(34)," name=",CHAR(34),B28,CHAR(34),"&gt; ")</f>
        <v xml:space="preserve">  &lt;Variant hgvs="NC_000001.10:g.37449595C&gt;T" name="C36983994T"&gt; </v>
      </c>
      <c r="J29" s="2"/>
    </row>
    <row r="30" spans="1:26" x14ac:dyDescent="0.25">
      <c r="A30" s="26" t="s">
        <v>19</v>
      </c>
      <c r="B30" t="s">
        <v>20</v>
      </c>
      <c r="J30" s="7"/>
    </row>
    <row r="31" spans="1:26" x14ac:dyDescent="0.25">
      <c r="A31" s="26" t="s">
        <v>21</v>
      </c>
      <c r="B31" t="s">
        <v>95</v>
      </c>
      <c r="C31" s="3" t="str">
        <f>CONCATENATE("    Instead of ",B29,", there is a ",B30," nucleotide.")</f>
        <v xml:space="preserve">    Instead of cytosine (C), there is a thymine (T) nucleotide.</v>
      </c>
    </row>
    <row r="32" spans="1:26" x14ac:dyDescent="0.25">
      <c r="A32" s="3" t="s">
        <v>65</v>
      </c>
      <c r="B32" s="3" t="s">
        <v>66</v>
      </c>
      <c r="J32" s="7"/>
    </row>
    <row r="33" spans="1:13" x14ac:dyDescent="0.25">
      <c r="A33" s="3" t="s">
        <v>51</v>
      </c>
      <c r="B33" s="3" t="s">
        <v>103</v>
      </c>
      <c r="C33" s="3" t="str">
        <f>"  &lt;/Variant&gt;"</f>
        <v xml:space="preserve">  &lt;/Variant&gt;</v>
      </c>
      <c r="J33" s="7"/>
    </row>
    <row r="34" spans="1:13" x14ac:dyDescent="0.25">
      <c r="A34" s="26" t="s">
        <v>52</v>
      </c>
      <c r="B34" s="7" t="s">
        <v>104</v>
      </c>
    </row>
    <row r="35" spans="1:13" x14ac:dyDescent="0.25">
      <c r="B35" s="3"/>
    </row>
    <row r="36" spans="1:13" x14ac:dyDescent="0.25">
      <c r="A36" s="14" t="s">
        <v>14</v>
      </c>
      <c r="B36" s="6" t="s">
        <v>101</v>
      </c>
      <c r="C36" s="3" t="str">
        <f>CONCATENATE("&lt;# ",B37," #&gt;")</f>
        <v>&lt;# A7783504C #&gt;</v>
      </c>
      <c r="J36" s="6"/>
    </row>
    <row r="37" spans="1:13" x14ac:dyDescent="0.25">
      <c r="A37" s="26" t="s">
        <v>15</v>
      </c>
      <c r="B37" t="s">
        <v>96</v>
      </c>
      <c r="J37" s="2"/>
    </row>
    <row r="38" spans="1:13" x14ac:dyDescent="0.25">
      <c r="A38" s="26" t="s">
        <v>17</v>
      </c>
      <c r="B38" t="s">
        <v>24</v>
      </c>
      <c r="C38" s="3" t="str">
        <f>CONCATENATE("  &lt;Variant hgvs=",CHAR(34),B36,CHAR(34)," name=",CHAR(34),B37,CHAR(34),"&gt; ")</f>
        <v xml:space="preserve">  &lt;Variant hgvs="NC_000002.11:g.7783504A&gt;C" name="A7783504C"&gt; </v>
      </c>
      <c r="J38" s="2"/>
    </row>
    <row r="39" spans="1:13" x14ac:dyDescent="0.25">
      <c r="A39" s="26" t="s">
        <v>19</v>
      </c>
      <c r="B39" t="str">
        <f>"cytosine (C)"</f>
        <v>cytosine (C)</v>
      </c>
      <c r="J39" s="7"/>
    </row>
    <row r="40" spans="1:13" x14ac:dyDescent="0.25">
      <c r="A40" s="26" t="s">
        <v>21</v>
      </c>
      <c r="B40" t="s">
        <v>97</v>
      </c>
      <c r="C40" s="3" t="str">
        <f>CONCATENATE("    Instead of ",B38,", there is a ",B39," nucleotide.")</f>
        <v xml:space="preserve">    Instead of adenine (A), there is a cytosine (C) nucleotide.</v>
      </c>
    </row>
    <row r="41" spans="1:13" x14ac:dyDescent="0.25">
      <c r="A41" s="3" t="s">
        <v>65</v>
      </c>
      <c r="B41" s="3" t="s">
        <v>105</v>
      </c>
      <c r="J41" s="7"/>
    </row>
    <row r="42" spans="1:13" x14ac:dyDescent="0.25">
      <c r="A42" s="3" t="s">
        <v>51</v>
      </c>
      <c r="B42" s="3" t="s">
        <v>106</v>
      </c>
      <c r="C42" s="3" t="str">
        <f>"  &lt;/Variant&gt;"</f>
        <v xml:space="preserve">  &lt;/Variant&gt;</v>
      </c>
      <c r="J42" s="7"/>
    </row>
    <row r="43" spans="1:13" x14ac:dyDescent="0.25">
      <c r="A43" s="26" t="s">
        <v>52</v>
      </c>
      <c r="B43" s="7" t="s">
        <v>107</v>
      </c>
    </row>
    <row r="44" spans="1:13" x14ac:dyDescent="0.25">
      <c r="B44" s="3"/>
    </row>
    <row r="45" spans="1:13" s="21" customFormat="1" x14ac:dyDescent="0.25">
      <c r="A45" s="28"/>
      <c r="B45" s="20"/>
    </row>
    <row r="46" spans="1:13" s="10" customFormat="1" x14ac:dyDescent="0.25">
      <c r="A46" s="32"/>
      <c r="B46" s="33"/>
      <c r="C46" s="34" t="s">
        <v>62</v>
      </c>
      <c r="L46" s="38"/>
    </row>
    <row r="47" spans="1:13" s="10" customFormat="1" x14ac:dyDescent="0.25">
      <c r="A47" s="32"/>
      <c r="B47" s="33"/>
      <c r="K47" s="10" t="s">
        <v>108</v>
      </c>
      <c r="L47" s="38" t="s">
        <v>110</v>
      </c>
      <c r="M47" s="11" t="s">
        <v>109</v>
      </c>
    </row>
    <row r="48" spans="1:13" s="21" customFormat="1" x14ac:dyDescent="0.25">
      <c r="A48" s="28" t="s">
        <v>70</v>
      </c>
      <c r="B48" s="20" t="str">
        <f>CONCATENATE(B19," (T;G)")</f>
        <v>T928G (T;G)</v>
      </c>
      <c r="C48" s="21" t="str">
        <f>CONCATENATE("&lt;# ",B48," #&gt;")</f>
        <v>&lt;# T928G (T;G) #&gt;</v>
      </c>
      <c r="K48" s="21" t="str">
        <f>B19</f>
        <v>T928G</v>
      </c>
      <c r="L48" s="21" t="str">
        <f>B28</f>
        <v>C36983994T</v>
      </c>
      <c r="M48" s="21" t="str">
        <f>B37</f>
        <v>A7783504C</v>
      </c>
    </row>
    <row r="49" spans="1:13" s="10" customFormat="1" x14ac:dyDescent="0.25">
      <c r="A49" s="3" t="s">
        <v>21</v>
      </c>
      <c r="B49" s="29" t="str">
        <f>K52</f>
        <v>NC_000001.10:g.[37325477A&gt;G];[37325477=]</v>
      </c>
      <c r="J49" s="3"/>
      <c r="K49" s="22" t="str">
        <f>B23</f>
        <v>NC_000001.10:g.</v>
      </c>
      <c r="L49" s="22" t="str">
        <f>B32</f>
        <v>NC_000001.10:g.</v>
      </c>
      <c r="M49" s="10" t="str">
        <f>B41</f>
        <v>NC_000002.11:g.</v>
      </c>
    </row>
    <row r="50" spans="1:13" x14ac:dyDescent="0.25">
      <c r="B50" s="29"/>
      <c r="C50" s="3" t="str">
        <f>CONCATENATE("  &lt;Analysis name=",CHAR(34),B48,CHAR(34))</f>
        <v xml:space="preserve">  &lt;Analysis name="T928G (T;G)"</v>
      </c>
      <c r="J50" s="3" t="s">
        <v>21</v>
      </c>
      <c r="K50" s="15" t="str">
        <f>B24</f>
        <v>[37325477A&gt;G]</v>
      </c>
      <c r="L50" s="22" t="str">
        <f>B33</f>
        <v>[37449595C&gt;T]</v>
      </c>
      <c r="M50" s="10" t="str">
        <f t="shared" ref="M50:M51" si="0">B42</f>
        <v>[7783504A&gt;C]</v>
      </c>
    </row>
    <row r="51" spans="1:13" x14ac:dyDescent="0.25">
      <c r="A51" s="5" t="s">
        <v>27</v>
      </c>
      <c r="B51" s="2" t="str">
        <f>CONCATENATE("People with this variant have one copy of the ",B22," variant. This substitution of a single nucleotide is known as a missense mutation.")</f>
        <v>People with this variant have one copy of the [T928G](https://www.ncbi.nlm.nih.gov/projects/SNP/snp_ref.cgi?rs=6691840)[(Ser310Ala)](https://www.ncbi.nlm.nih.gov/pubmed/11986986) variant. This substitution of a single nucleotide is known as a missense mutation.</v>
      </c>
      <c r="C51" s="3" t="str">
        <f>CONCATENATE("            case={  variantCall ",CHAR(40),CHAR(34),K52,CHAR(34),CHAR(41))</f>
        <v xml:space="preserve">            case={  variantCall ("NC_000001.10:g.[37325477A&gt;G];[37325477=]")</v>
      </c>
      <c r="J51" s="3" t="s">
        <v>52</v>
      </c>
      <c r="K51" s="15" t="str">
        <f>B25</f>
        <v>[37325477=]</v>
      </c>
      <c r="L51" s="22" t="str">
        <f>B34</f>
        <v>[37449595=]</v>
      </c>
      <c r="M51" s="10" t="str">
        <f t="shared" si="0"/>
        <v>[7783504=]</v>
      </c>
    </row>
    <row r="52" spans="1:13" x14ac:dyDescent="0.25">
      <c r="A52" s="1" t="s">
        <v>28</v>
      </c>
      <c r="B52" s="29" t="s">
        <v>112</v>
      </c>
      <c r="C52" s="3" t="s">
        <v>71</v>
      </c>
      <c r="J52" s="3" t="s">
        <v>63</v>
      </c>
      <c r="K52" s="15" t="str">
        <f>CONCATENATE(K49,K50,";",K51)</f>
        <v>NC_000001.10:g.[37325477A&gt;G];[37325477=]</v>
      </c>
      <c r="L52" s="15" t="str">
        <f>CONCATENATE(L49,L50,";",L51)</f>
        <v>NC_000001.10:g.[37449595C&gt;T];[37449595=]</v>
      </c>
      <c r="M52" s="15" t="str">
        <f>CONCATENATE(M49,M50,";",M51)</f>
        <v>NC_000002.11:g.[7783504A&gt;C];[7783504=]</v>
      </c>
    </row>
    <row r="53" spans="1:13" x14ac:dyDescent="0.25">
      <c r="A53" s="3" t="s">
        <v>73</v>
      </c>
      <c r="B53" s="29">
        <f>K55</f>
        <v>43</v>
      </c>
      <c r="C53" s="3" t="str">
        <f>CONCATENATE("                    ",CHAR(40),"variantCall ",CHAR(40),CHAR(34),L53,CHAR(34),CHAR(41)," or variantCall ",CHAR(40),CHAR(34),L54,CHAR(34),CHAR(41),CHAR(41))</f>
        <v xml:space="preserve">                    (variantCall ("NC_000001.10:g.[37449595C&gt;T];[37449595C&gt;T]") or variantCall ("NC_000001.10:g.[37449595=];[37449595=]"))</v>
      </c>
      <c r="J53" s="3" t="s">
        <v>64</v>
      </c>
      <c r="K53" s="15" t="str">
        <f>CONCATENATE(K49,K50,";",K50)</f>
        <v>NC_000001.10:g.[37325477A&gt;G];[37325477A&gt;G]</v>
      </c>
      <c r="L53" s="15" t="str">
        <f>CONCATENATE(L49,L50,";",L50)</f>
        <v>NC_000001.10:g.[37449595C&gt;T];[37449595C&gt;T]</v>
      </c>
      <c r="M53" s="15" t="str">
        <f>CONCATENATE(M49,M50,";",M50)</f>
        <v>NC_000002.11:g.[7783504A&gt;C];[7783504A&gt;C]</v>
      </c>
    </row>
    <row r="54" spans="1:13" x14ac:dyDescent="0.25">
      <c r="C54" s="3" t="s">
        <v>71</v>
      </c>
      <c r="J54" s="3" t="s">
        <v>52</v>
      </c>
      <c r="K54" s="2" t="str">
        <f>CONCATENATE(K49,K51,";",K51)</f>
        <v>NC_000001.10:g.[37325477=];[37325477=]</v>
      </c>
      <c r="L54" s="2" t="str">
        <f>CONCATENATE(L49,L51,";",L51)</f>
        <v>NC_000001.10:g.[37449595=];[37449595=]</v>
      </c>
      <c r="M54" s="2" t="str">
        <f>CONCATENATE(M49,M51,";",M51)</f>
        <v>NC_000002.11:g.[7783504=];[7783504=]</v>
      </c>
    </row>
    <row r="55" spans="1:13" x14ac:dyDescent="0.25">
      <c r="C55" s="3" t="str">
        <f>CONCATENATE("                    ",CHAR(40),"variantCall ",CHAR(40),CHAR(34),M53,CHAR(34),CHAR(41)," or variantCall ",CHAR(40),CHAR(34),M54,CHAR(34),CHAR(41),CHAR(41))</f>
        <v xml:space="preserve">                    (variantCall ("NC_000002.11:g.[7783504A&gt;C];[7783504A&gt;C]") or variantCall ("NC_000002.11:g.[7783504=];[7783504=]"))</v>
      </c>
      <c r="J55" s="3" t="s">
        <v>67</v>
      </c>
      <c r="K55">
        <v>43</v>
      </c>
      <c r="L55" s="2">
        <v>1.8</v>
      </c>
      <c r="M55" s="2">
        <v>15.8</v>
      </c>
    </row>
    <row r="56" spans="1:13" x14ac:dyDescent="0.25">
      <c r="A56" s="14"/>
      <c r="C56" s="3" t="str">
        <f>CONCATENATE("                  } &gt; ")</f>
        <v xml:space="preserve">                  } &gt; </v>
      </c>
      <c r="J56" s="3" t="s">
        <v>68</v>
      </c>
      <c r="K56">
        <v>19.899999999999999</v>
      </c>
      <c r="L56" s="2">
        <v>0.5</v>
      </c>
      <c r="M56" s="2">
        <v>4.7</v>
      </c>
    </row>
    <row r="57" spans="1:13" x14ac:dyDescent="0.25">
      <c r="A57" s="26"/>
      <c r="J57" s="3" t="s">
        <v>69</v>
      </c>
      <c r="K57" s="2">
        <v>37.1</v>
      </c>
      <c r="L57" s="2">
        <v>97.8</v>
      </c>
      <c r="M57" s="2">
        <v>79.5</v>
      </c>
    </row>
    <row r="58" spans="1:13" x14ac:dyDescent="0.25">
      <c r="A58" s="14"/>
      <c r="C58" s="3" t="s">
        <v>26</v>
      </c>
      <c r="K58"/>
      <c r="L58" s="2"/>
      <c r="M58" s="2"/>
    </row>
    <row r="59" spans="1:13" x14ac:dyDescent="0.25">
      <c r="A59" s="14"/>
      <c r="K59" s="15"/>
      <c r="L59" s="15"/>
      <c r="M59" s="15"/>
    </row>
    <row r="60" spans="1:13" x14ac:dyDescent="0.25">
      <c r="A60" s="26"/>
      <c r="C60" s="3" t="str">
        <f>CONCATENATE("    ",B51)</f>
        <v xml:space="preserve">    People with this variant have one copy of the [T928G](https://www.ncbi.nlm.nih.gov/projects/SNP/snp_ref.cgi?rs=6691840)[(Ser310Ala)](https://www.ncbi.nlm.nih.gov/pubmed/11986986) variant. This substitution of a single nucleotide is known as a missense mutation.</v>
      </c>
      <c r="K60" s="15"/>
      <c r="L60" s="15"/>
      <c r="M60" s="15"/>
    </row>
    <row r="61" spans="1:13" x14ac:dyDescent="0.25">
      <c r="A61" s="14"/>
      <c r="K61" s="2"/>
      <c r="L61" s="2"/>
      <c r="M61" s="2"/>
    </row>
    <row r="62" spans="1:13" x14ac:dyDescent="0.25">
      <c r="A62" s="14"/>
      <c r="C62" s="3" t="s">
        <v>29</v>
      </c>
    </row>
    <row r="63" spans="1:13" x14ac:dyDescent="0.25">
      <c r="A63" s="14"/>
    </row>
    <row r="64" spans="1:13" x14ac:dyDescent="0.25">
      <c r="A64" s="14"/>
      <c r="C64" s="3" t="str">
        <f>CONCATENATE(B52)</f>
        <v>Having one copy of this variant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v>
      </c>
    </row>
    <row r="65" spans="1:13" x14ac:dyDescent="0.25">
      <c r="A65" s="26"/>
    </row>
    <row r="66" spans="1:13" x14ac:dyDescent="0.25">
      <c r="A66" s="26"/>
      <c r="C66" s="3" t="s">
        <v>30</v>
      </c>
    </row>
    <row r="67" spans="1:13" x14ac:dyDescent="0.25">
      <c r="A67" s="26"/>
    </row>
    <row r="68" spans="1:13" x14ac:dyDescent="0.25">
      <c r="A68" s="26"/>
      <c r="C68" s="3" t="str">
        <f>CONCATENATE( "    &lt;piechart percentage=",B53," /&gt;")</f>
        <v xml:space="preserve">    &lt;piechart percentage=43 /&gt;</v>
      </c>
    </row>
    <row r="69" spans="1:13" x14ac:dyDescent="0.25">
      <c r="A69" s="26"/>
      <c r="C69" s="3" t="str">
        <f>"  &lt;/Analysis&gt;"</f>
        <v xml:space="preserve">  &lt;/Analysis&gt;</v>
      </c>
      <c r="K69" s="3" t="str">
        <f t="shared" ref="K69:M69" si="1">K47</f>
        <v>rs6691840</v>
      </c>
      <c r="L69" s="3" t="str">
        <f t="shared" si="1"/>
        <v>rs3913434</v>
      </c>
      <c r="M69" s="3" t="str">
        <f t="shared" si="1"/>
        <v>rs270838</v>
      </c>
    </row>
    <row r="70" spans="1:13" s="21" customFormat="1" x14ac:dyDescent="0.25">
      <c r="A70" s="28" t="s">
        <v>70</v>
      </c>
      <c r="B70" s="20" t="str">
        <f>CONCATENATE(B19," (G;G)")</f>
        <v>T928G (G;G)</v>
      </c>
      <c r="C70" s="21" t="str">
        <f>CONCATENATE("&lt;# ",B70," #&gt;")</f>
        <v>&lt;# T928G (G;G) #&gt;</v>
      </c>
      <c r="K70" s="21" t="str">
        <f t="shared" ref="K70:M71" si="2">K48</f>
        <v>T928G</v>
      </c>
      <c r="L70" s="21" t="str">
        <f t="shared" si="2"/>
        <v>C36983994T</v>
      </c>
      <c r="M70" s="21" t="str">
        <f t="shared" si="2"/>
        <v>A7783504C</v>
      </c>
    </row>
    <row r="71" spans="1:13" x14ac:dyDescent="0.25">
      <c r="A71" s="3" t="s">
        <v>21</v>
      </c>
      <c r="B71" s="29" t="str">
        <f>K53</f>
        <v>NC_000001.10:g.[37325477A&gt;G];[37325477A&gt;G]</v>
      </c>
      <c r="C71" s="10"/>
      <c r="K71" s="3" t="str">
        <f t="shared" si="2"/>
        <v>NC_000001.10:g.</v>
      </c>
      <c r="L71" s="3" t="str">
        <f t="shared" si="2"/>
        <v>NC_000001.10:g.</v>
      </c>
      <c r="M71" s="3" t="str">
        <f t="shared" si="2"/>
        <v>NC_000002.11:g.</v>
      </c>
    </row>
    <row r="72" spans="1:13" x14ac:dyDescent="0.25">
      <c r="B72" s="29"/>
      <c r="C72" s="3" t="str">
        <f>CONCATENATE("  &lt;Analysis name=",CHAR(34),B70,CHAR(34))</f>
        <v xml:space="preserve">  &lt;Analysis name="T928G (G;G)"</v>
      </c>
      <c r="J72" s="3" t="str">
        <f t="shared" ref="J72:M72" si="3">J50</f>
        <v>Variant</v>
      </c>
      <c r="K72" s="3" t="str">
        <f t="shared" si="3"/>
        <v>[37325477A&gt;G]</v>
      </c>
      <c r="L72" s="3" t="str">
        <f t="shared" si="3"/>
        <v>[37449595C&gt;T]</v>
      </c>
      <c r="M72" s="3" t="str">
        <f t="shared" si="3"/>
        <v>[7783504A&gt;C]</v>
      </c>
    </row>
    <row r="73" spans="1:13" x14ac:dyDescent="0.25">
      <c r="A73" s="5" t="s">
        <v>75</v>
      </c>
      <c r="B73" s="2" t="str">
        <f>CONCATENATE("People with this variant have two copies of the ",B22," variant. This substitution of a single nucleotide is known as a missense mutation.")</f>
        <v>People with this variant have two copies of the [T928G](https://www.ncbi.nlm.nih.gov/projects/SNP/snp_ref.cgi?rs=6691840)[(Ser310Ala)](https://www.ncbi.nlm.nih.gov/pubmed/11986986) variant. This substitution of a single nucleotide is known as a missense mutation.</v>
      </c>
      <c r="C73" s="3" t="str">
        <f>CONCATENATE("            case={  variantCall ",CHAR(40),CHAR(34),B71,CHAR(34),CHAR(41))</f>
        <v xml:space="preserve">            case={  variantCall ("NC_000001.10:g.[37325477A&gt;G];[37325477A&gt;G]")</v>
      </c>
      <c r="J73" s="3" t="str">
        <f t="shared" ref="J73:M73" si="4">J51</f>
        <v>Wildtype</v>
      </c>
      <c r="K73" s="3" t="str">
        <f t="shared" si="4"/>
        <v>[37325477=]</v>
      </c>
      <c r="L73" s="3" t="str">
        <f t="shared" si="4"/>
        <v>[37449595=]</v>
      </c>
      <c r="M73" s="3" t="str">
        <f t="shared" si="4"/>
        <v>[7783504=]</v>
      </c>
    </row>
    <row r="74" spans="1:13" x14ac:dyDescent="0.25">
      <c r="A74" s="1" t="s">
        <v>28</v>
      </c>
      <c r="B74" s="29" t="s">
        <v>111</v>
      </c>
      <c r="C74" s="3" t="s">
        <v>71</v>
      </c>
      <c r="J74" s="3" t="str">
        <f t="shared" ref="J74:M74" si="5">J52</f>
        <v>Het</v>
      </c>
      <c r="K74" s="3" t="str">
        <f t="shared" si="5"/>
        <v>NC_000001.10:g.[37325477A&gt;G];[37325477=]</v>
      </c>
      <c r="L74" s="3" t="str">
        <f t="shared" si="5"/>
        <v>NC_000001.10:g.[37449595C&gt;T];[37449595=]</v>
      </c>
      <c r="M74" s="3" t="str">
        <f t="shared" si="5"/>
        <v>NC_000002.11:g.[7783504A&gt;C];[7783504=]</v>
      </c>
    </row>
    <row r="75" spans="1:13" x14ac:dyDescent="0.25">
      <c r="A75" s="3" t="s">
        <v>73</v>
      </c>
      <c r="B75" s="29">
        <f>K56</f>
        <v>19.899999999999999</v>
      </c>
      <c r="C75" s="3" t="str">
        <f>CONCATENATE("                    ",CHAR(40),"variantCall ",CHAR(40),CHAR(34),L75,CHAR(34),CHAR(41)," or variantCall ",CHAR(40),CHAR(34),L76,CHAR(34),CHAR(41),CHAR(41))</f>
        <v xml:space="preserve">                    (variantCall ("NC_000001.10:g.[37449595C&gt;T];[37449595C&gt;T]") or variantCall ("NC_000001.10:g.[37449595=];[37449595=]"))</v>
      </c>
      <c r="J75" s="3" t="str">
        <f t="shared" ref="J75:M75" si="6">J53</f>
        <v>Homo</v>
      </c>
      <c r="K75" s="3" t="str">
        <f t="shared" si="6"/>
        <v>NC_000001.10:g.[37325477A&gt;G];[37325477A&gt;G]</v>
      </c>
      <c r="L75" s="3" t="str">
        <f t="shared" si="6"/>
        <v>NC_000001.10:g.[37449595C&gt;T];[37449595C&gt;T]</v>
      </c>
      <c r="M75" s="3" t="str">
        <f t="shared" si="6"/>
        <v>NC_000002.11:g.[7783504A&gt;C];[7783504A&gt;C]</v>
      </c>
    </row>
    <row r="76" spans="1:13" x14ac:dyDescent="0.25">
      <c r="C76" s="3" t="s">
        <v>71</v>
      </c>
      <c r="J76" s="3" t="str">
        <f t="shared" ref="J76:M76" si="7">J54</f>
        <v>Wildtype</v>
      </c>
      <c r="K76" s="3" t="str">
        <f t="shared" si="7"/>
        <v>NC_000001.10:g.[37325477=];[37325477=]</v>
      </c>
      <c r="L76" s="3" t="str">
        <f t="shared" si="7"/>
        <v>NC_000001.10:g.[37449595=];[37449595=]</v>
      </c>
      <c r="M76" s="3" t="str">
        <f t="shared" si="7"/>
        <v>NC_000002.11:g.[7783504=];[7783504=]</v>
      </c>
    </row>
    <row r="77" spans="1:13" x14ac:dyDescent="0.25">
      <c r="C77" s="3" t="str">
        <f>CONCATENATE("                    ",CHAR(40),"variantCall ",CHAR(40),CHAR(34),M75,CHAR(34),CHAR(41)," or variantCall ",CHAR(40),CHAR(34),M76,CHAR(34),CHAR(41),CHAR(41))</f>
        <v xml:space="preserve">                    (variantCall ("NC_000002.11:g.[7783504A&gt;C];[7783504A&gt;C]") or variantCall ("NC_000002.11:g.[7783504=];[7783504=]"))</v>
      </c>
      <c r="J77" s="3" t="str">
        <f t="shared" ref="J77:M77" si="8">J55</f>
        <v>Het%</v>
      </c>
      <c r="K77" s="3">
        <f t="shared" si="8"/>
        <v>43</v>
      </c>
      <c r="L77" s="3">
        <f t="shared" si="8"/>
        <v>1.8</v>
      </c>
      <c r="M77" s="3">
        <f t="shared" si="8"/>
        <v>15.8</v>
      </c>
    </row>
    <row r="78" spans="1:13" x14ac:dyDescent="0.25">
      <c r="A78" s="14"/>
      <c r="C78" s="3" t="str">
        <f>CONCATENATE("                  } &gt; ")</f>
        <v xml:space="preserve">                  } &gt; </v>
      </c>
      <c r="J78" s="3" t="str">
        <f t="shared" ref="J78:M78" si="9">J56</f>
        <v>Homo%</v>
      </c>
      <c r="K78" s="3">
        <f t="shared" si="9"/>
        <v>19.899999999999999</v>
      </c>
      <c r="L78" s="3">
        <f t="shared" si="9"/>
        <v>0.5</v>
      </c>
      <c r="M78" s="3">
        <f t="shared" si="9"/>
        <v>4.7</v>
      </c>
    </row>
    <row r="79" spans="1:13" x14ac:dyDescent="0.25">
      <c r="A79" s="26"/>
      <c r="J79" s="3" t="str">
        <f t="shared" ref="J79:M79" si="10">J57</f>
        <v>Wildtype%</v>
      </c>
      <c r="K79" s="3">
        <f t="shared" si="10"/>
        <v>37.1</v>
      </c>
      <c r="L79" s="3">
        <f t="shared" si="10"/>
        <v>97.8</v>
      </c>
      <c r="M79" s="3">
        <f t="shared" si="10"/>
        <v>79.5</v>
      </c>
    </row>
    <row r="80" spans="1:13" x14ac:dyDescent="0.25">
      <c r="A80" s="14"/>
      <c r="C80" s="3" t="s">
        <v>26</v>
      </c>
    </row>
    <row r="81" spans="1:13" x14ac:dyDescent="0.25">
      <c r="A81" s="14"/>
    </row>
    <row r="82" spans="1:13" x14ac:dyDescent="0.25">
      <c r="A82" s="26"/>
      <c r="C82" s="3" t="str">
        <f>CONCATENATE("    ",B73)</f>
        <v xml:space="preserve">    People with this variant have two copies of the [T928G](https://www.ncbi.nlm.nih.gov/projects/SNP/snp_ref.cgi?rs=6691840)[(Ser310Ala)](https://www.ncbi.nlm.nih.gov/pubmed/11986986) variant. This substitution of a single nucleotide is known as a missense mutation.</v>
      </c>
    </row>
    <row r="83" spans="1:13" x14ac:dyDescent="0.25">
      <c r="A83" s="14"/>
    </row>
    <row r="84" spans="1:13" x14ac:dyDescent="0.25">
      <c r="A84" s="14"/>
      <c r="C84" s="3" t="s">
        <v>29</v>
      </c>
    </row>
    <row r="85" spans="1:13" x14ac:dyDescent="0.25">
      <c r="A85" s="14"/>
    </row>
    <row r="86" spans="1:13" x14ac:dyDescent="0.25">
      <c r="A86" s="14"/>
      <c r="C86" s="3" t="str">
        <f>CONCATENATE(B74)</f>
        <v>This variant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v>
      </c>
    </row>
    <row r="87" spans="1:13" x14ac:dyDescent="0.25">
      <c r="A87" s="26"/>
    </row>
    <row r="88" spans="1:13" x14ac:dyDescent="0.25">
      <c r="A88" s="26"/>
      <c r="C88" s="3" t="s">
        <v>30</v>
      </c>
    </row>
    <row r="89" spans="1:13" x14ac:dyDescent="0.25">
      <c r="A89" s="26"/>
    </row>
    <row r="90" spans="1:13" x14ac:dyDescent="0.25">
      <c r="A90" s="26"/>
      <c r="C90" s="3" t="str">
        <f>CONCATENATE( "    &lt;piechart percentage=",B75," /&gt;")</f>
        <v xml:space="preserve">    &lt;piechart percentage=19.9 /&gt;</v>
      </c>
    </row>
    <row r="91" spans="1:13" x14ac:dyDescent="0.25">
      <c r="A91" s="26"/>
      <c r="C91" s="3" t="str">
        <f>"  &lt;/Analysis&gt;"</f>
        <v xml:space="preserve">  &lt;/Analysis&gt;</v>
      </c>
      <c r="K91" s="3" t="str">
        <f t="shared" ref="K91:M91" si="11">K69</f>
        <v>rs6691840</v>
      </c>
      <c r="L91" s="3" t="str">
        <f t="shared" si="11"/>
        <v>rs3913434</v>
      </c>
      <c r="M91" s="3" t="str">
        <f t="shared" si="11"/>
        <v>rs270838</v>
      </c>
    </row>
    <row r="92" spans="1:13" s="21" customFormat="1" x14ac:dyDescent="0.25">
      <c r="A92" s="28" t="s">
        <v>70</v>
      </c>
      <c r="B92" s="20" t="str">
        <f>CONCATENATE(B28," (C;T)")</f>
        <v>C36983994T (C;T)</v>
      </c>
      <c r="C92" s="21" t="str">
        <f>CONCATENATE("&lt;# ",B92," #&gt;")</f>
        <v>&lt;# C36983994T (C;T) #&gt;</v>
      </c>
      <c r="K92" s="21" t="str">
        <f t="shared" ref="K92:M92" si="12">K70</f>
        <v>T928G</v>
      </c>
      <c r="L92" s="21" t="str">
        <f t="shared" si="12"/>
        <v>C36983994T</v>
      </c>
      <c r="M92" s="21" t="str">
        <f t="shared" si="12"/>
        <v>A7783504C</v>
      </c>
    </row>
    <row r="93" spans="1:13" s="10" customFormat="1" x14ac:dyDescent="0.25">
      <c r="A93" s="3" t="s">
        <v>21</v>
      </c>
      <c r="B93" s="29" t="str">
        <f>L96</f>
        <v>NC_000001.10:g.[37449595C&gt;T];[37449595=]</v>
      </c>
      <c r="J93" s="3"/>
      <c r="K93" s="22" t="str">
        <f t="shared" ref="K93:M93" si="13">K71</f>
        <v>NC_000001.10:g.</v>
      </c>
      <c r="L93" s="22" t="str">
        <f t="shared" si="13"/>
        <v>NC_000001.10:g.</v>
      </c>
      <c r="M93" s="10" t="str">
        <f t="shared" si="13"/>
        <v>NC_000002.11:g.</v>
      </c>
    </row>
    <row r="94" spans="1:13" x14ac:dyDescent="0.25">
      <c r="A94" s="3" t="s">
        <v>72</v>
      </c>
      <c r="B94" s="29"/>
      <c r="C94" s="3" t="str">
        <f>CONCATENATE("  &lt;Analysis name=",CHAR(34),B92,CHAR(34))</f>
        <v xml:space="preserve">  &lt;Analysis name="C36983994T (C;T)"</v>
      </c>
      <c r="J94" s="3" t="str">
        <f t="shared" ref="J94:M94" si="14">J72</f>
        <v>Variant</v>
      </c>
      <c r="K94" s="15" t="str">
        <f t="shared" si="14"/>
        <v>[37325477A&gt;G]</v>
      </c>
      <c r="L94" s="22" t="str">
        <f t="shared" si="14"/>
        <v>[37449595C&gt;T]</v>
      </c>
      <c r="M94" s="3" t="str">
        <f t="shared" si="14"/>
        <v>[7783504A&gt;C]</v>
      </c>
    </row>
    <row r="95" spans="1:13" x14ac:dyDescent="0.25">
      <c r="A95" s="5" t="s">
        <v>27</v>
      </c>
      <c r="B95" s="2" t="str">
        <f>CONCATENATE("People with this variant have one copy of the ",B31," variant. This substitution of a single nucleotide is known as a missense mutation.")</f>
        <v>People with this variant have one copy of the [C36983994T](https://www.ncbi.nlm.nih.gov/projects/SNP/snp_ref.cgi?rs=3913434) variant. This substitution of a single nucleotide is known as a missense mutation.</v>
      </c>
      <c r="C95" s="3" t="str">
        <f>CONCATENATE("            case={  variantCall ",CHAR(40),CHAR(34),L96,CHAR(34),CHAR(41))</f>
        <v xml:space="preserve">            case={  variantCall ("NC_000001.10:g.[37449595C&gt;T];[37449595=]")</v>
      </c>
      <c r="J95" s="3" t="str">
        <f t="shared" ref="J95:M95" si="15">J73</f>
        <v>Wildtype</v>
      </c>
      <c r="K95" s="15" t="str">
        <f t="shared" si="15"/>
        <v>[37325477=]</v>
      </c>
      <c r="L95" s="22" t="str">
        <f t="shared" si="15"/>
        <v>[37449595=]</v>
      </c>
      <c r="M95" s="3" t="str">
        <f t="shared" si="15"/>
        <v>[7783504=]</v>
      </c>
    </row>
    <row r="96" spans="1:13" x14ac:dyDescent="0.25">
      <c r="A96" s="1" t="s">
        <v>28</v>
      </c>
      <c r="B96" s="15" t="s">
        <v>113</v>
      </c>
      <c r="C96" s="3" t="s">
        <v>71</v>
      </c>
      <c r="J96" s="3" t="str">
        <f t="shared" ref="J96:M96" si="16">J74</f>
        <v>Het</v>
      </c>
      <c r="K96" s="15" t="str">
        <f t="shared" si="16"/>
        <v>NC_000001.10:g.[37325477A&gt;G];[37325477=]</v>
      </c>
      <c r="L96" s="15" t="str">
        <f t="shared" si="16"/>
        <v>NC_000001.10:g.[37449595C&gt;T];[37449595=]</v>
      </c>
      <c r="M96" s="3" t="str">
        <f t="shared" si="16"/>
        <v>NC_000002.11:g.[7783504A&gt;C];[7783504=]</v>
      </c>
    </row>
    <row r="97" spans="1:13" x14ac:dyDescent="0.25">
      <c r="A97" s="3" t="s">
        <v>73</v>
      </c>
      <c r="B97" s="29">
        <f>L55</f>
        <v>1.8</v>
      </c>
      <c r="C97" s="3" t="str">
        <f>CONCATENATE("                    ",CHAR(40),"variantCall ",CHAR(40),CHAR(34),M97,CHAR(34),CHAR(41)," or variantCall ",CHAR(40),CHAR(34),M98,CHAR(34),CHAR(41),CHAR(41))</f>
        <v xml:space="preserve">                    (variantCall ("NC_000002.11:g.[7783504A&gt;C];[7783504A&gt;C]") or variantCall ("NC_000002.11:g.[7783504=];[7783504=]"))</v>
      </c>
      <c r="J97" s="3" t="str">
        <f t="shared" ref="J97:M97" si="17">J75</f>
        <v>Homo</v>
      </c>
      <c r="K97" s="15" t="str">
        <f t="shared" si="17"/>
        <v>NC_000001.10:g.[37325477A&gt;G];[37325477A&gt;G]</v>
      </c>
      <c r="L97" s="15" t="str">
        <f t="shared" si="17"/>
        <v>NC_000001.10:g.[37449595C&gt;T];[37449595C&gt;T]</v>
      </c>
      <c r="M97" s="3" t="str">
        <f t="shared" si="17"/>
        <v>NC_000002.11:g.[7783504A&gt;C];[7783504A&gt;C]</v>
      </c>
    </row>
    <row r="98" spans="1:13" x14ac:dyDescent="0.25">
      <c r="B98" s="29"/>
      <c r="C98" s="3" t="s">
        <v>71</v>
      </c>
      <c r="J98" s="3" t="str">
        <f t="shared" ref="J98:M101" si="18">J76</f>
        <v>Wildtype</v>
      </c>
      <c r="K98" s="2" t="str">
        <f t="shared" si="18"/>
        <v>NC_000001.10:g.[37325477=];[37325477=]</v>
      </c>
      <c r="L98" s="2" t="str">
        <f t="shared" si="18"/>
        <v>NC_000001.10:g.[37449595=];[37449595=]</v>
      </c>
      <c r="M98" s="3" t="str">
        <f t="shared" si="18"/>
        <v>NC_000002.11:g.[7783504=];[7783504=]</v>
      </c>
    </row>
    <row r="99" spans="1:13" x14ac:dyDescent="0.25">
      <c r="B99" s="29"/>
      <c r="C99" s="3" t="str">
        <f>CONCATENATE("                    variantCall ",CHAR(40),CHAR(34),K98,CHAR(34),CHAR(41))</f>
        <v xml:space="preserve">                    variantCall ("NC_000001.10:g.[37325477=];[37325477=]")</v>
      </c>
      <c r="J99" s="3" t="str">
        <f t="shared" si="18"/>
        <v>Het%</v>
      </c>
      <c r="K99" s="15">
        <f t="shared" si="18"/>
        <v>43</v>
      </c>
      <c r="L99" s="15">
        <f t="shared" si="18"/>
        <v>1.8</v>
      </c>
      <c r="M99" s="3">
        <f t="shared" si="18"/>
        <v>15.8</v>
      </c>
    </row>
    <row r="100" spans="1:13" x14ac:dyDescent="0.25">
      <c r="C100" s="3" t="str">
        <f>CONCATENATE("                  } &gt; ")</f>
        <v xml:space="preserve">                  } &gt; </v>
      </c>
      <c r="J100" s="3" t="str">
        <f t="shared" si="18"/>
        <v>Homo%</v>
      </c>
      <c r="K100" s="2">
        <f t="shared" si="18"/>
        <v>19.899999999999999</v>
      </c>
      <c r="L100" s="2">
        <f t="shared" si="18"/>
        <v>0.5</v>
      </c>
      <c r="M100" s="3">
        <f t="shared" si="18"/>
        <v>4.7</v>
      </c>
    </row>
    <row r="101" spans="1:13" x14ac:dyDescent="0.25">
      <c r="J101" s="3" t="str">
        <f t="shared" si="18"/>
        <v>Wildtype%</v>
      </c>
      <c r="K101" s="2">
        <f t="shared" si="18"/>
        <v>37.1</v>
      </c>
      <c r="L101" s="2">
        <f t="shared" si="18"/>
        <v>97.8</v>
      </c>
      <c r="M101" s="3">
        <f t="shared" si="18"/>
        <v>79.5</v>
      </c>
    </row>
    <row r="102" spans="1:13" x14ac:dyDescent="0.25">
      <c r="A102" s="14"/>
      <c r="C102" s="3" t="s">
        <v>26</v>
      </c>
    </row>
    <row r="103" spans="1:13" x14ac:dyDescent="0.25">
      <c r="A103" s="26"/>
    </row>
    <row r="104" spans="1:13" x14ac:dyDescent="0.25">
      <c r="A104" s="14"/>
      <c r="C104" s="3" t="str">
        <f>CONCATENATE("    ",B95)</f>
        <v xml:space="preserve">    People with this variant have one copy of the [C36983994T](https://www.ncbi.nlm.nih.gov/projects/SNP/snp_ref.cgi?rs=3913434) variant. This substitution of a single nucleotide is known as a missense mutation.</v>
      </c>
    </row>
    <row r="105" spans="1:13" x14ac:dyDescent="0.25">
      <c r="A105" s="14"/>
    </row>
    <row r="106" spans="1:13" x14ac:dyDescent="0.25">
      <c r="A106" s="26"/>
      <c r="C106" s="3" t="s">
        <v>29</v>
      </c>
    </row>
    <row r="107" spans="1:13" x14ac:dyDescent="0.25">
      <c r="A107" s="14"/>
    </row>
    <row r="108" spans="1:13" x14ac:dyDescent="0.25">
      <c r="A108" s="14"/>
      <c r="C108" s="3" t="str">
        <f>CONCATENATE(B96)</f>
        <v>This variant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109" spans="1:13" x14ac:dyDescent="0.25">
      <c r="A109" s="14"/>
    </row>
    <row r="110" spans="1:13" x14ac:dyDescent="0.25">
      <c r="A110" s="14"/>
      <c r="C110" s="3" t="s">
        <v>30</v>
      </c>
    </row>
    <row r="111" spans="1:13" x14ac:dyDescent="0.25">
      <c r="A111" s="26"/>
    </row>
    <row r="112" spans="1:13" x14ac:dyDescent="0.25">
      <c r="A112" s="26"/>
      <c r="C112" s="3" t="str">
        <f>CONCATENATE( "    &lt;piechart percentage=",B97," /&gt;")</f>
        <v xml:space="preserve">    &lt;piechart percentage=1.8 /&gt;</v>
      </c>
    </row>
    <row r="113" spans="1:13" x14ac:dyDescent="0.25">
      <c r="A113" s="26"/>
      <c r="C113" s="3" t="str">
        <f>"  &lt;/Analysis&gt;"</f>
        <v xml:space="preserve">  &lt;/Analysis&gt;</v>
      </c>
      <c r="K113" s="3" t="str">
        <f t="shared" ref="K113:M123" si="19">K91</f>
        <v>rs6691840</v>
      </c>
      <c r="L113" s="3" t="str">
        <f t="shared" si="19"/>
        <v>rs3913434</v>
      </c>
      <c r="M113" s="3" t="str">
        <f t="shared" si="19"/>
        <v>rs270838</v>
      </c>
    </row>
    <row r="114" spans="1:13" s="21" customFormat="1" x14ac:dyDescent="0.25">
      <c r="A114" s="28" t="s">
        <v>70</v>
      </c>
      <c r="B114" s="20" t="str">
        <f>CONCATENATE(B37," (A;C)")</f>
        <v>A7783504C (A;C)</v>
      </c>
      <c r="C114" s="21" t="str">
        <f>CONCATENATE("&lt;# ",B114," #&gt;")</f>
        <v>&lt;# A7783504C (A;C) #&gt;</v>
      </c>
      <c r="K114" s="21" t="str">
        <f t="shared" si="19"/>
        <v>T928G</v>
      </c>
      <c r="L114" s="21" t="str">
        <f t="shared" si="19"/>
        <v>C36983994T</v>
      </c>
      <c r="M114" s="21" t="str">
        <f t="shared" si="19"/>
        <v>A7783504C</v>
      </c>
    </row>
    <row r="115" spans="1:13" x14ac:dyDescent="0.25">
      <c r="A115" s="3" t="s">
        <v>21</v>
      </c>
      <c r="B115" s="29" t="str">
        <f>M118</f>
        <v>NC_000002.11:g.[7783504A&gt;C];[7783504=]</v>
      </c>
      <c r="C115" s="10"/>
      <c r="K115" s="3" t="str">
        <f t="shared" si="19"/>
        <v>NC_000001.10:g.</v>
      </c>
      <c r="L115" s="3" t="str">
        <f t="shared" si="19"/>
        <v>NC_000001.10:g.</v>
      </c>
      <c r="M115" s="3" t="str">
        <f t="shared" si="19"/>
        <v>NC_000002.11:g.</v>
      </c>
    </row>
    <row r="116" spans="1:13" x14ac:dyDescent="0.25">
      <c r="A116" s="3" t="s">
        <v>72</v>
      </c>
      <c r="B116" s="29" t="str">
        <f>L53</f>
        <v>NC_000001.10:g.[37449595C&gt;T];[37449595C&gt;T]</v>
      </c>
      <c r="C116" s="3" t="str">
        <f>CONCATENATE("  &lt;Analysis name=",CHAR(34),B114,CHAR(34))</f>
        <v xml:space="preserve">  &lt;Analysis name="A7783504C (A;C)"</v>
      </c>
      <c r="J116" s="3" t="str">
        <f t="shared" ref="J116:J123" si="20">J94</f>
        <v>Variant</v>
      </c>
      <c r="K116" s="3" t="str">
        <f t="shared" si="19"/>
        <v>[37325477A&gt;G]</v>
      </c>
      <c r="L116" s="3" t="str">
        <f t="shared" si="19"/>
        <v>[37449595C&gt;T]</v>
      </c>
      <c r="M116" s="3" t="str">
        <f t="shared" si="19"/>
        <v>[7783504A&gt;C]</v>
      </c>
    </row>
    <row r="117" spans="1:13" x14ac:dyDescent="0.25">
      <c r="A117" s="5" t="s">
        <v>75</v>
      </c>
      <c r="B117" s="2" t="str">
        <f>CONCATENATE("People with this variant have one copy of the ",B40," variant. This substitution of a single nucleotide is known as a missense mutation.")</f>
        <v>People with this variant have one copy of the [A7783504C](https://www.ncbi.nlm.nih.gov/projects/SNP/snp_ref.cgi?rs=270838) variant. This substitution of a single nucleotide is known as a missense mutation.</v>
      </c>
      <c r="C117" s="3" t="str">
        <f>CONCATENATE("            case={  variantCall ",CHAR(40),CHAR(34),B115,CHAR(34),CHAR(41))</f>
        <v xml:space="preserve">            case={  variantCall ("NC_000002.11:g.[7783504A&gt;C];[7783504=]")</v>
      </c>
      <c r="J117" s="3" t="str">
        <f t="shared" si="20"/>
        <v>Wildtype</v>
      </c>
      <c r="K117" s="3" t="str">
        <f t="shared" si="19"/>
        <v>[37325477=]</v>
      </c>
      <c r="L117" s="3" t="str">
        <f t="shared" si="19"/>
        <v>[37449595=]</v>
      </c>
      <c r="M117" s="3" t="str">
        <f t="shared" si="19"/>
        <v>[7783504=]</v>
      </c>
    </row>
    <row r="118" spans="1:13" x14ac:dyDescent="0.25">
      <c r="A118" s="1" t="s">
        <v>28</v>
      </c>
      <c r="B118" s="15" t="s">
        <v>114</v>
      </c>
      <c r="C118" s="3" t="s">
        <v>71</v>
      </c>
      <c r="J118" s="3" t="str">
        <f t="shared" si="20"/>
        <v>Het</v>
      </c>
      <c r="K118" s="3" t="str">
        <f t="shared" si="19"/>
        <v>NC_000001.10:g.[37325477A&gt;G];[37325477=]</v>
      </c>
      <c r="L118" s="3" t="str">
        <f t="shared" si="19"/>
        <v>NC_000001.10:g.[37449595C&gt;T];[37449595=]</v>
      </c>
      <c r="M118" s="3" t="str">
        <f t="shared" si="19"/>
        <v>NC_000002.11:g.[7783504A&gt;C];[7783504=]</v>
      </c>
    </row>
    <row r="119" spans="1:13" x14ac:dyDescent="0.25">
      <c r="A119" s="3" t="s">
        <v>73</v>
      </c>
      <c r="B119" s="29">
        <f>M121</f>
        <v>15.8</v>
      </c>
      <c r="C119" s="3" t="str">
        <f>CONCATENATE("                    ",CHAR(40),"variantCall ",CHAR(40),CHAR(34),L119,CHAR(34),CHAR(41)," or variantCall ",CHAR(40),CHAR(34),L120,CHAR(34),CHAR(41),CHAR(41))</f>
        <v xml:space="preserve">                    (variantCall ("NC_000001.10:g.[37449595C&gt;T];[37449595C&gt;T]") or variantCall ("NC_000001.10:g.[37449595=];[37449595=]"))</v>
      </c>
      <c r="J119" s="3" t="str">
        <f t="shared" si="20"/>
        <v>Homo</v>
      </c>
      <c r="K119" s="3" t="str">
        <f t="shared" si="19"/>
        <v>NC_000001.10:g.[37325477A&gt;G];[37325477A&gt;G]</v>
      </c>
      <c r="L119" s="3" t="str">
        <f t="shared" si="19"/>
        <v>NC_000001.10:g.[37449595C&gt;T];[37449595C&gt;T]</v>
      </c>
      <c r="M119" s="3" t="str">
        <f t="shared" si="19"/>
        <v>NC_000002.11:g.[7783504A&gt;C];[7783504A&gt;C]</v>
      </c>
    </row>
    <row r="120" spans="1:13" x14ac:dyDescent="0.25">
      <c r="C120" s="3" t="s">
        <v>71</v>
      </c>
      <c r="J120" s="3" t="str">
        <f t="shared" si="20"/>
        <v>Wildtype</v>
      </c>
      <c r="K120" s="3" t="str">
        <f t="shared" si="19"/>
        <v>NC_000001.10:g.[37325477=];[37325477=]</v>
      </c>
      <c r="L120" s="3" t="str">
        <f t="shared" si="19"/>
        <v>NC_000001.10:g.[37449595=];[37449595=]</v>
      </c>
      <c r="M120" s="3" t="str">
        <f t="shared" si="19"/>
        <v>NC_000002.11:g.[7783504=];[7783504=]</v>
      </c>
    </row>
    <row r="121" spans="1:13" x14ac:dyDescent="0.25">
      <c r="C121" s="3" t="str">
        <f>CONCATENATE("                    variantCall ",CHAR(40),CHAR(34),K120,CHAR(34),CHAR(41))</f>
        <v xml:space="preserve">                    variantCall ("NC_000001.10:g.[37325477=];[37325477=]")</v>
      </c>
      <c r="J121" s="3" t="str">
        <f t="shared" si="20"/>
        <v>Het%</v>
      </c>
      <c r="K121" s="3">
        <f t="shared" si="19"/>
        <v>43</v>
      </c>
      <c r="L121" s="3">
        <f t="shared" si="19"/>
        <v>1.8</v>
      </c>
      <c r="M121" s="3">
        <f t="shared" si="19"/>
        <v>15.8</v>
      </c>
    </row>
    <row r="122" spans="1:13" x14ac:dyDescent="0.25">
      <c r="A122" s="14"/>
      <c r="C122" s="3" t="str">
        <f>CONCATENATE("                  } &gt; ")</f>
        <v xml:space="preserve">                  } &gt; </v>
      </c>
      <c r="J122" s="3" t="str">
        <f t="shared" si="20"/>
        <v>Homo%</v>
      </c>
      <c r="K122" s="3">
        <f t="shared" si="19"/>
        <v>19.899999999999999</v>
      </c>
      <c r="L122" s="3">
        <f t="shared" si="19"/>
        <v>0.5</v>
      </c>
      <c r="M122" s="3">
        <f t="shared" si="19"/>
        <v>4.7</v>
      </c>
    </row>
    <row r="123" spans="1:13" x14ac:dyDescent="0.25">
      <c r="A123" s="26"/>
      <c r="J123" s="3" t="str">
        <f t="shared" si="20"/>
        <v>Wildtype%</v>
      </c>
      <c r="K123" s="3">
        <f t="shared" si="19"/>
        <v>37.1</v>
      </c>
      <c r="L123" s="3">
        <f t="shared" si="19"/>
        <v>97.8</v>
      </c>
      <c r="M123" s="3">
        <f t="shared" si="19"/>
        <v>79.5</v>
      </c>
    </row>
    <row r="124" spans="1:13" x14ac:dyDescent="0.25">
      <c r="A124" s="14"/>
      <c r="C124" s="3" t="s">
        <v>26</v>
      </c>
    </row>
    <row r="125" spans="1:13" x14ac:dyDescent="0.25">
      <c r="A125" s="14"/>
    </row>
    <row r="126" spans="1:13" x14ac:dyDescent="0.25">
      <c r="A126" s="26"/>
      <c r="C126" s="3" t="str">
        <f>CONCATENATE("    ",B117)</f>
        <v xml:space="preserve">    People with this variant have one copy of the [A7783504C](https://www.ncbi.nlm.nih.gov/projects/SNP/snp_ref.cgi?rs=270838) variant. This substitution of a single nucleotide is known as a missense mutation.</v>
      </c>
    </row>
    <row r="127" spans="1:13" x14ac:dyDescent="0.25">
      <c r="A127" s="14"/>
    </row>
    <row r="128" spans="1:13" x14ac:dyDescent="0.25">
      <c r="A128" s="14"/>
      <c r="C128" s="3" t="s">
        <v>29</v>
      </c>
    </row>
    <row r="129" spans="1:13" x14ac:dyDescent="0.25">
      <c r="A129" s="14"/>
    </row>
    <row r="130" spans="1:13" x14ac:dyDescent="0.25">
      <c r="A130" s="14"/>
      <c r="C130" s="3" t="str">
        <f>CONCATENATE(B118)</f>
        <v>This variant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131" spans="1:13" x14ac:dyDescent="0.25">
      <c r="A131" s="26"/>
    </row>
    <row r="132" spans="1:13" x14ac:dyDescent="0.25">
      <c r="A132" s="26"/>
      <c r="C132" s="3" t="s">
        <v>30</v>
      </c>
    </row>
    <row r="133" spans="1:13" x14ac:dyDescent="0.25">
      <c r="A133" s="26"/>
    </row>
    <row r="134" spans="1:13" x14ac:dyDescent="0.25">
      <c r="A134" s="26"/>
      <c r="C134" s="3" t="str">
        <f>CONCATENATE( "    &lt;piechart percentage=",B119," /&gt;")</f>
        <v xml:space="preserve">    &lt;piechart percentage=15.8 /&gt;</v>
      </c>
    </row>
    <row r="135" spans="1:13" x14ac:dyDescent="0.25">
      <c r="A135" s="26"/>
      <c r="C135" s="3" t="str">
        <f>"  &lt;/Analysis&gt;"</f>
        <v xml:space="preserve">  &lt;/Analysis&gt;</v>
      </c>
      <c r="K135" s="3" t="str">
        <f t="shared" ref="K135:M135" si="21">K113</f>
        <v>rs6691840</v>
      </c>
      <c r="L135" s="3" t="str">
        <f t="shared" si="21"/>
        <v>rs3913434</v>
      </c>
      <c r="M135" s="3" t="str">
        <f t="shared" si="21"/>
        <v>rs270838</v>
      </c>
    </row>
    <row r="136" spans="1:13" s="21" customFormat="1" x14ac:dyDescent="0.25">
      <c r="A136" s="28" t="s">
        <v>70</v>
      </c>
      <c r="B136" s="20" t="str">
        <f>CONCATENATE(B48," and ",B92," and ",B114)</f>
        <v>T928G (T;G) and C36983994T (C;T) and A7783504C (A;C)</v>
      </c>
      <c r="C136" s="21" t="str">
        <f>CONCATENATE("&lt;# ",B136," #&gt;")</f>
        <v>&lt;# T928G (T;G) and C36983994T (C;T) and A7783504C (A;C) #&gt;</v>
      </c>
      <c r="K136" s="21" t="str">
        <f t="shared" ref="K136:M136" si="22">K114</f>
        <v>T928G</v>
      </c>
      <c r="L136" s="21" t="str">
        <f t="shared" si="22"/>
        <v>C36983994T</v>
      </c>
      <c r="M136" s="21" t="str">
        <f t="shared" si="22"/>
        <v>A7783504C</v>
      </c>
    </row>
    <row r="137" spans="1:13" x14ac:dyDescent="0.25">
      <c r="A137" s="14" t="s">
        <v>21</v>
      </c>
      <c r="B137" s="15" t="str">
        <f>K52</f>
        <v>NC_000001.10:g.[37325477A&gt;G];[37325477=]</v>
      </c>
      <c r="K137" s="3" t="str">
        <f t="shared" ref="K137:M137" si="23">K115</f>
        <v>NC_000001.10:g.</v>
      </c>
      <c r="L137" s="3" t="str">
        <f t="shared" si="23"/>
        <v>NC_000001.10:g.</v>
      </c>
      <c r="M137" s="3" t="str">
        <f t="shared" si="23"/>
        <v>NC_000002.11:g.</v>
      </c>
    </row>
    <row r="138" spans="1:13" x14ac:dyDescent="0.25">
      <c r="A138" s="14" t="s">
        <v>72</v>
      </c>
      <c r="C138" s="3" t="str">
        <f>CONCATENATE("  &lt;Analysis name=",CHAR(34),B136,CHAR(34))</f>
        <v xml:space="preserve">  &lt;Analysis name="T928G (T;G) and C36983994T (C;T) and A7783504C (A;C)"</v>
      </c>
      <c r="J138" s="3" t="str">
        <f t="shared" ref="J138:M138" si="24">J116</f>
        <v>Variant</v>
      </c>
      <c r="K138" s="3" t="str">
        <f t="shared" si="24"/>
        <v>[37325477A&gt;G]</v>
      </c>
      <c r="L138" s="3" t="str">
        <f t="shared" si="24"/>
        <v>[37449595C&gt;T]</v>
      </c>
      <c r="M138" s="3" t="str">
        <f t="shared" si="24"/>
        <v>[7783504A&gt;C]</v>
      </c>
    </row>
    <row r="139" spans="1:13" x14ac:dyDescent="0.25">
      <c r="A139" s="26" t="s">
        <v>75</v>
      </c>
      <c r="B139" s="15" t="str">
        <f>CONCATENATE("People with this variant have one copy of the ",B22,", ",B31, ", and ",B40," variants. This substitution of a single nucleotide is known as a missense mutation.")</f>
        <v>People with this variant have one copy of the [T928G](https://www.ncbi.nlm.nih.gov/projects/SNP/snp_ref.cgi?rs=6691840)[(Ser310Ala)](https://www.ncbi.nlm.nih.gov/pubmed/11986986), [C36983994T](https://www.ncbi.nlm.nih.gov/projects/SNP/snp_ref.cgi?rs=3913434), and [A7783504C](https://www.ncbi.nlm.nih.gov/projects/SNP/snp_ref.cgi?rs=270838) variants. This substitution of a single nucleotide is known as a missense mutation.</v>
      </c>
      <c r="C139" s="3" t="str">
        <f>CONCATENATE("            case={  variantCall ",CHAR(40),CHAR(34),K140,CHAR(34),CHAR(41))</f>
        <v xml:space="preserve">            case={  variantCall ("NC_000001.10:g.[37325477A&gt;G];[37325477=]")</v>
      </c>
      <c r="J139" s="3" t="str">
        <f t="shared" ref="J139:M139" si="25">J117</f>
        <v>Wildtype</v>
      </c>
      <c r="K139" s="3" t="str">
        <f t="shared" si="25"/>
        <v>[37325477=]</v>
      </c>
      <c r="L139" s="3" t="str">
        <f t="shared" si="25"/>
        <v>[37449595=]</v>
      </c>
      <c r="M139" s="3" t="str">
        <f t="shared" si="25"/>
        <v>[7783504=]</v>
      </c>
    </row>
    <row r="140" spans="1:13" x14ac:dyDescent="0.25">
      <c r="A140" s="26" t="s">
        <v>28</v>
      </c>
      <c r="B140" s="15" t="s">
        <v>120</v>
      </c>
      <c r="C140" s="3" t="s">
        <v>71</v>
      </c>
      <c r="J140" s="3" t="str">
        <f t="shared" ref="J140:M140" si="26">J118</f>
        <v>Het</v>
      </c>
      <c r="K140" s="3" t="str">
        <f t="shared" si="26"/>
        <v>NC_000001.10:g.[37325477A&gt;G];[37325477=]</v>
      </c>
      <c r="L140" s="3" t="str">
        <f t="shared" si="26"/>
        <v>NC_000001.10:g.[37449595C&gt;T];[37449595=]</v>
      </c>
      <c r="M140" s="3" t="str">
        <f t="shared" si="26"/>
        <v>NC_000002.11:g.[7783504A&gt;C];[7783504=]</v>
      </c>
    </row>
    <row r="141" spans="1:13" x14ac:dyDescent="0.25">
      <c r="A141" s="26" t="s">
        <v>73</v>
      </c>
      <c r="C141" s="3" t="str">
        <f>CONCATENATE("                    variantCall ",CHAR(40),CHAR(34),L140,CHAR(34),CHAR(41))</f>
        <v xml:space="preserve">                    variantCall ("NC_000001.10:g.[37449595C&gt;T];[37449595=]")</v>
      </c>
      <c r="J141" s="3" t="str">
        <f t="shared" ref="J141:M141" si="27">J119</f>
        <v>Homo</v>
      </c>
      <c r="K141" s="3" t="str">
        <f t="shared" si="27"/>
        <v>NC_000001.10:g.[37325477A&gt;G];[37325477A&gt;G]</v>
      </c>
      <c r="L141" s="3" t="str">
        <f t="shared" si="27"/>
        <v>NC_000001.10:g.[37449595C&gt;T];[37449595C&gt;T]</v>
      </c>
      <c r="M141" s="3" t="str">
        <f t="shared" si="27"/>
        <v>NC_000002.11:g.[7783504A&gt;C];[7783504A&gt;C]</v>
      </c>
    </row>
    <row r="142" spans="1:13" x14ac:dyDescent="0.25">
      <c r="A142" s="26"/>
      <c r="C142" s="3" t="s">
        <v>71</v>
      </c>
      <c r="J142" s="3" t="str">
        <f t="shared" ref="J142:M142" si="28">J120</f>
        <v>Wildtype</v>
      </c>
      <c r="K142" s="3" t="str">
        <f t="shared" si="28"/>
        <v>NC_000001.10:g.[37325477=];[37325477=]</v>
      </c>
      <c r="L142" s="3" t="str">
        <f t="shared" si="28"/>
        <v>NC_000001.10:g.[37449595=];[37449595=]</v>
      </c>
      <c r="M142" s="3" t="str">
        <f t="shared" si="28"/>
        <v>NC_000002.11:g.[7783504=];[7783504=]</v>
      </c>
    </row>
    <row r="143" spans="1:13" x14ac:dyDescent="0.25">
      <c r="A143" s="26"/>
      <c r="C143" s="3" t="str">
        <f>CONCATENATE("                    variantCall ",CHAR(40),CHAR(34),M140,CHAR(34),CHAR(41))</f>
        <v xml:space="preserve">                    variantCall ("NC_000002.11:g.[7783504A&gt;C];[7783504=]")</v>
      </c>
      <c r="J143" s="3" t="str">
        <f t="shared" ref="J143:M143" si="29">J121</f>
        <v>Het%</v>
      </c>
      <c r="K143" s="3">
        <f t="shared" si="29"/>
        <v>43</v>
      </c>
      <c r="L143" s="3">
        <f t="shared" si="29"/>
        <v>1.8</v>
      </c>
      <c r="M143" s="3">
        <f t="shared" si="29"/>
        <v>15.8</v>
      </c>
    </row>
    <row r="144" spans="1:13" x14ac:dyDescent="0.25">
      <c r="A144" s="26"/>
      <c r="C144" s="3" t="str">
        <f>CONCATENATE("                  } &gt; ")</f>
        <v xml:space="preserve">                  } &gt; </v>
      </c>
      <c r="J144" s="3" t="str">
        <f t="shared" ref="J144:M144" si="30">J122</f>
        <v>Homo%</v>
      </c>
      <c r="K144" s="3">
        <f t="shared" si="30"/>
        <v>19.899999999999999</v>
      </c>
      <c r="L144" s="3">
        <f t="shared" si="30"/>
        <v>0.5</v>
      </c>
      <c r="M144" s="3">
        <f t="shared" si="30"/>
        <v>4.7</v>
      </c>
    </row>
    <row r="145" spans="1:13" x14ac:dyDescent="0.25">
      <c r="A145" s="14"/>
      <c r="J145" s="3" t="str">
        <f t="shared" ref="J145:M145" si="31">J123</f>
        <v>Wildtype%</v>
      </c>
      <c r="K145" s="3">
        <f t="shared" si="31"/>
        <v>37.1</v>
      </c>
      <c r="L145" s="3">
        <f t="shared" si="31"/>
        <v>97.8</v>
      </c>
      <c r="M145" s="3">
        <f t="shared" si="31"/>
        <v>79.5</v>
      </c>
    </row>
    <row r="146" spans="1:13" x14ac:dyDescent="0.25">
      <c r="A146" s="14"/>
      <c r="C146" s="3" t="s">
        <v>26</v>
      </c>
    </row>
    <row r="147" spans="1:13" x14ac:dyDescent="0.25">
      <c r="A147" s="14"/>
    </row>
    <row r="148" spans="1:13" x14ac:dyDescent="0.25">
      <c r="A148" s="14"/>
      <c r="C148" s="3" t="str">
        <f>CONCATENATE("    ",B139)</f>
        <v xml:space="preserve">    People with this variant have one copy of the [T928G](https://www.ncbi.nlm.nih.gov/projects/SNP/snp_ref.cgi?rs=6691840)[(Ser310Ala)](https://www.ncbi.nlm.nih.gov/pubmed/11986986), [C36983994T](https://www.ncbi.nlm.nih.gov/projects/SNP/snp_ref.cgi?rs=3913434), and [A7783504C](https://www.ncbi.nlm.nih.gov/projects/SNP/snp_ref.cgi?rs=270838) variants. This substitution of a single nucleotide is known as a missense mutation.</v>
      </c>
    </row>
    <row r="149" spans="1:13" x14ac:dyDescent="0.25">
      <c r="A149" s="14"/>
    </row>
    <row r="150" spans="1:13" x14ac:dyDescent="0.25">
      <c r="A150" s="26"/>
      <c r="C150" s="3" t="s">
        <v>29</v>
      </c>
    </row>
    <row r="151" spans="1:13" x14ac:dyDescent="0.25">
      <c r="A151" s="26"/>
    </row>
    <row r="152" spans="1:13" x14ac:dyDescent="0.25">
      <c r="A152" s="26"/>
      <c r="C152" s="3" t="str">
        <f>CONCATENATE(B140)</f>
        <v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153" spans="1:13" x14ac:dyDescent="0.25">
      <c r="A153" s="26"/>
    </row>
    <row r="154" spans="1:13" x14ac:dyDescent="0.25">
      <c r="A154" s="26"/>
      <c r="C154" s="3" t="s">
        <v>30</v>
      </c>
    </row>
    <row r="155" spans="1:13" x14ac:dyDescent="0.25">
      <c r="A155" s="26"/>
    </row>
    <row r="156" spans="1:13" x14ac:dyDescent="0.25">
      <c r="A156" s="26"/>
      <c r="C156" s="3" t="str">
        <f>CONCATENATE( "    &lt;piechart percentage=",B141," /&gt;")</f>
        <v xml:space="preserve">    &lt;piechart percentage= /&gt;</v>
      </c>
    </row>
    <row r="157" spans="1:13" x14ac:dyDescent="0.25">
      <c r="A157" s="26"/>
      <c r="C157" s="3" t="str">
        <f>"  &lt;/Analysis&gt;"</f>
        <v xml:space="preserve">  &lt;/Analysis&gt;</v>
      </c>
      <c r="K157" s="3" t="str">
        <f t="shared" ref="K157:M157" si="32">K135</f>
        <v>rs6691840</v>
      </c>
      <c r="L157" s="3" t="str">
        <f t="shared" si="32"/>
        <v>rs3913434</v>
      </c>
      <c r="M157" s="3" t="str">
        <f t="shared" si="32"/>
        <v>rs270838</v>
      </c>
    </row>
    <row r="158" spans="1:13" s="21" customFormat="1" x14ac:dyDescent="0.25">
      <c r="A158" s="28" t="s">
        <v>70</v>
      </c>
      <c r="B158" s="20" t="str">
        <f>CONCATENATE(B70," and ",B92," and ",B114)</f>
        <v>T928G (G;G) and C36983994T (C;T) and A7783504C (A;C)</v>
      </c>
      <c r="C158" s="21" t="str">
        <f>CONCATENATE("&lt;# ",B158," #&gt;")</f>
        <v>&lt;# T928G (G;G) and C36983994T (C;T) and A7783504C (A;C) #&gt;</v>
      </c>
      <c r="K158" s="21" t="str">
        <f t="shared" ref="K158:M158" si="33">K136</f>
        <v>T928G</v>
      </c>
      <c r="L158" s="21" t="str">
        <f t="shared" si="33"/>
        <v>C36983994T</v>
      </c>
      <c r="M158" s="21" t="str">
        <f t="shared" si="33"/>
        <v>A7783504C</v>
      </c>
    </row>
    <row r="159" spans="1:13" x14ac:dyDescent="0.25">
      <c r="A159" s="14" t="s">
        <v>21</v>
      </c>
      <c r="B159" s="15" t="str">
        <f>K74</f>
        <v>NC_000001.10:g.[37325477A&gt;G];[37325477=]</v>
      </c>
      <c r="K159" s="3" t="str">
        <f t="shared" ref="K159:M159" si="34">K137</f>
        <v>NC_000001.10:g.</v>
      </c>
      <c r="L159" s="3" t="str">
        <f t="shared" si="34"/>
        <v>NC_000001.10:g.</v>
      </c>
      <c r="M159" s="3" t="str">
        <f t="shared" si="34"/>
        <v>NC_000002.11:g.</v>
      </c>
    </row>
    <row r="160" spans="1:13" x14ac:dyDescent="0.25">
      <c r="A160" s="14" t="s">
        <v>72</v>
      </c>
      <c r="C160" s="3" t="str">
        <f>CONCATENATE("  &lt;Analysis name=",CHAR(34),B158,CHAR(34))</f>
        <v xml:space="preserve">  &lt;Analysis name="T928G (G;G) and C36983994T (C;T) and A7783504C (A;C)"</v>
      </c>
      <c r="J160" s="3" t="str">
        <f t="shared" ref="J160:M160" si="35">J138</f>
        <v>Variant</v>
      </c>
      <c r="K160" s="3" t="str">
        <f t="shared" si="35"/>
        <v>[37325477A&gt;G]</v>
      </c>
      <c r="L160" s="3" t="str">
        <f t="shared" si="35"/>
        <v>[37449595C&gt;T]</v>
      </c>
      <c r="M160" s="3" t="str">
        <f t="shared" si="35"/>
        <v>[7783504A&gt;C]</v>
      </c>
    </row>
    <row r="161" spans="1:13" x14ac:dyDescent="0.25">
      <c r="A161" s="26" t="s">
        <v>75</v>
      </c>
      <c r="B161" s="15" t="str">
        <f>CONCATENATE("People with this variant have two copies of the ",B22," variant and one copy of the ",B31, " and ",B40," variants. This substitution of a single nucleotide is known as a missense mutation.")</f>
        <v>People with this variant have two copies of the [T928G](https://www.ncbi.nlm.nih.gov/projects/SNP/snp_ref.cgi?rs=6691840)[(Ser310Ala)](https://www.ncbi.nlm.nih.gov/pubmed/11986986) variant and one copy of the [C36983994T](https://www.ncbi.nlm.nih.gov/projects/SNP/snp_ref.cgi?rs=3913434) and [A7783504C](https://www.ncbi.nlm.nih.gov/projects/SNP/snp_ref.cgi?rs=270838) variants. This substitution of a single nucleotide is known as a missense mutation.</v>
      </c>
      <c r="C161" s="3" t="str">
        <f>CONCATENATE("            case={  variantCall ",CHAR(40),CHAR(34),K163,CHAR(34),CHAR(41))</f>
        <v xml:space="preserve">            case={  variantCall ("NC_000001.10:g.[37325477A&gt;G];[37325477A&gt;G]")</v>
      </c>
      <c r="J161" s="3" t="str">
        <f t="shared" ref="J161:M161" si="36">J139</f>
        <v>Wildtype</v>
      </c>
      <c r="K161" s="3" t="str">
        <f t="shared" si="36"/>
        <v>[37325477=]</v>
      </c>
      <c r="L161" s="3" t="str">
        <f t="shared" si="36"/>
        <v>[37449595=]</v>
      </c>
      <c r="M161" s="3" t="str">
        <f t="shared" si="36"/>
        <v>[7783504=]</v>
      </c>
    </row>
    <row r="162" spans="1:13" ht="409.5" x14ac:dyDescent="0.25">
      <c r="A162" s="26" t="s">
        <v>28</v>
      </c>
      <c r="B162" s="36" t="s">
        <v>120</v>
      </c>
      <c r="C162" s="3" t="s">
        <v>71</v>
      </c>
      <c r="J162" s="3" t="str">
        <f t="shared" ref="J162:M162" si="37">J140</f>
        <v>Het</v>
      </c>
      <c r="K162" s="3" t="str">
        <f t="shared" si="37"/>
        <v>NC_000001.10:g.[37325477A&gt;G];[37325477=]</v>
      </c>
      <c r="L162" s="3" t="str">
        <f t="shared" si="37"/>
        <v>NC_000001.10:g.[37449595C&gt;T];[37449595=]</v>
      </c>
      <c r="M162" s="3" t="str">
        <f t="shared" si="37"/>
        <v>NC_000002.11:g.[7783504A&gt;C];[7783504=]</v>
      </c>
    </row>
    <row r="163" spans="1:13" x14ac:dyDescent="0.25">
      <c r="A163" s="26" t="s">
        <v>73</v>
      </c>
      <c r="C163" s="3" t="str">
        <f>CONCATENATE("                    variantCall ",CHAR(40),CHAR(34),L162,CHAR(34),CHAR(41))</f>
        <v xml:space="preserve">                    variantCall ("NC_000001.10:g.[37449595C&gt;T];[37449595=]")</v>
      </c>
      <c r="J163" s="3" t="str">
        <f t="shared" ref="J163:M163" si="38">J141</f>
        <v>Homo</v>
      </c>
      <c r="K163" s="3" t="str">
        <f t="shared" si="38"/>
        <v>NC_000001.10:g.[37325477A&gt;G];[37325477A&gt;G]</v>
      </c>
      <c r="L163" s="3" t="str">
        <f t="shared" si="38"/>
        <v>NC_000001.10:g.[37449595C&gt;T];[37449595C&gt;T]</v>
      </c>
      <c r="M163" s="3" t="str">
        <f t="shared" si="38"/>
        <v>NC_000002.11:g.[7783504A&gt;C];[7783504A&gt;C]</v>
      </c>
    </row>
    <row r="164" spans="1:13" x14ac:dyDescent="0.25">
      <c r="A164" s="26"/>
      <c r="C164" s="3" t="s">
        <v>71</v>
      </c>
      <c r="J164" s="3" t="str">
        <f t="shared" ref="J164:M164" si="39">J142</f>
        <v>Wildtype</v>
      </c>
      <c r="K164" s="3" t="str">
        <f t="shared" si="39"/>
        <v>NC_000001.10:g.[37325477=];[37325477=]</v>
      </c>
      <c r="L164" s="3" t="str">
        <f t="shared" si="39"/>
        <v>NC_000001.10:g.[37449595=];[37449595=]</v>
      </c>
      <c r="M164" s="3" t="str">
        <f t="shared" si="39"/>
        <v>NC_000002.11:g.[7783504=];[7783504=]</v>
      </c>
    </row>
    <row r="165" spans="1:13" x14ac:dyDescent="0.25">
      <c r="A165" s="26"/>
      <c r="C165" s="3" t="str">
        <f>CONCATENATE("                    variantCall ",CHAR(40),CHAR(34),M162,CHAR(34),CHAR(41))</f>
        <v xml:space="preserve">                    variantCall ("NC_000002.11:g.[7783504A&gt;C];[7783504=]")</v>
      </c>
      <c r="J165" s="3" t="str">
        <f t="shared" ref="J165:M165" si="40">J143</f>
        <v>Het%</v>
      </c>
      <c r="K165" s="3">
        <f t="shared" si="40"/>
        <v>43</v>
      </c>
      <c r="L165" s="3">
        <f t="shared" si="40"/>
        <v>1.8</v>
      </c>
      <c r="M165" s="3">
        <f t="shared" si="40"/>
        <v>15.8</v>
      </c>
    </row>
    <row r="166" spans="1:13" x14ac:dyDescent="0.25">
      <c r="A166" s="26"/>
      <c r="C166" s="3" t="str">
        <f>CONCATENATE("                  } &gt; ")</f>
        <v xml:space="preserve">                  } &gt; </v>
      </c>
      <c r="J166" s="3" t="str">
        <f t="shared" ref="J166:M166" si="41">J144</f>
        <v>Homo%</v>
      </c>
      <c r="K166" s="3">
        <f t="shared" si="41"/>
        <v>19.899999999999999</v>
      </c>
      <c r="L166" s="3">
        <f t="shared" si="41"/>
        <v>0.5</v>
      </c>
      <c r="M166" s="3">
        <f t="shared" si="41"/>
        <v>4.7</v>
      </c>
    </row>
    <row r="167" spans="1:13" x14ac:dyDescent="0.25">
      <c r="A167" s="14"/>
      <c r="J167" s="3" t="str">
        <f t="shared" ref="J167:M167" si="42">J145</f>
        <v>Wildtype%</v>
      </c>
      <c r="K167" s="3">
        <f t="shared" si="42"/>
        <v>37.1</v>
      </c>
      <c r="L167" s="3">
        <f t="shared" si="42"/>
        <v>97.8</v>
      </c>
      <c r="M167" s="3">
        <f t="shared" si="42"/>
        <v>79.5</v>
      </c>
    </row>
    <row r="168" spans="1:13" x14ac:dyDescent="0.25">
      <c r="A168" s="14"/>
      <c r="C168" s="3" t="s">
        <v>26</v>
      </c>
    </row>
    <row r="169" spans="1:13" x14ac:dyDescent="0.25">
      <c r="A169" s="14"/>
    </row>
    <row r="170" spans="1:13" x14ac:dyDescent="0.25">
      <c r="A170" s="14"/>
      <c r="C170" s="3" t="str">
        <f>CONCATENATE("    ",B161)</f>
        <v xml:space="preserve">    People with this variant have two copies of the [T928G](https://www.ncbi.nlm.nih.gov/projects/SNP/snp_ref.cgi?rs=6691840)[(Ser310Ala)](https://www.ncbi.nlm.nih.gov/pubmed/11986986) variant and one copy of the [C36983994T](https://www.ncbi.nlm.nih.gov/projects/SNP/snp_ref.cgi?rs=3913434) and [A7783504C](https://www.ncbi.nlm.nih.gov/projects/SNP/snp_ref.cgi?rs=270838) variants. This substitution of a single nucleotide is known as a missense mutation.</v>
      </c>
    </row>
    <row r="171" spans="1:13" x14ac:dyDescent="0.25">
      <c r="A171" s="14"/>
    </row>
    <row r="172" spans="1:13" x14ac:dyDescent="0.25">
      <c r="A172" s="26"/>
      <c r="C172" s="3" t="s">
        <v>29</v>
      </c>
    </row>
    <row r="173" spans="1:13" x14ac:dyDescent="0.25">
      <c r="A173" s="26"/>
    </row>
    <row r="174" spans="1:13" x14ac:dyDescent="0.25">
      <c r="A174" s="26"/>
      <c r="C174" s="3" t="str">
        <f>CONCATENATE(B162)</f>
        <v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175" spans="1:13" x14ac:dyDescent="0.25">
      <c r="A175" s="26"/>
    </row>
    <row r="176" spans="1:13" x14ac:dyDescent="0.25">
      <c r="A176" s="26"/>
      <c r="C176" s="3" t="s">
        <v>30</v>
      </c>
    </row>
    <row r="177" spans="1:13" x14ac:dyDescent="0.25">
      <c r="A177" s="26"/>
    </row>
    <row r="178" spans="1:13" x14ac:dyDescent="0.25">
      <c r="A178" s="26"/>
      <c r="C178" s="3" t="str">
        <f>CONCATENATE( "    &lt;piechart percentage=",B163," /&gt;")</f>
        <v xml:space="preserve">    &lt;piechart percentage= /&gt;</v>
      </c>
    </row>
    <row r="179" spans="1:13" x14ac:dyDescent="0.25">
      <c r="A179" s="26"/>
      <c r="C179" s="3" t="str">
        <f>"  &lt;/Analysis&gt;"</f>
        <v xml:space="preserve">  &lt;/Analysis&gt;</v>
      </c>
      <c r="K179" s="3" t="str">
        <f t="shared" ref="K179:M179" si="43">K157</f>
        <v>rs6691840</v>
      </c>
      <c r="L179" s="3" t="str">
        <f t="shared" si="43"/>
        <v>rs3913434</v>
      </c>
      <c r="M179" s="3" t="str">
        <f t="shared" si="43"/>
        <v>rs270838</v>
      </c>
    </row>
    <row r="180" spans="1:13" s="21" customFormat="1" x14ac:dyDescent="0.25">
      <c r="A180" s="28" t="s">
        <v>70</v>
      </c>
      <c r="B180" s="20" t="str">
        <f>CONCATENATE(B48," and ",B92)</f>
        <v>T928G (T;G) and C36983994T (C;T)</v>
      </c>
      <c r="C180" s="21" t="str">
        <f>CONCATENATE("&lt;# ",B180," #&gt;")</f>
        <v>&lt;# T928G (T;G) and C36983994T (C;T) #&gt;</v>
      </c>
      <c r="K180" s="21" t="str">
        <f t="shared" ref="K180:M180" si="44">K158</f>
        <v>T928G</v>
      </c>
      <c r="L180" s="21" t="str">
        <f t="shared" si="44"/>
        <v>C36983994T</v>
      </c>
      <c r="M180" s="21" t="str">
        <f t="shared" si="44"/>
        <v>A7783504C</v>
      </c>
    </row>
    <row r="181" spans="1:13" x14ac:dyDescent="0.25">
      <c r="A181" s="14" t="s">
        <v>21</v>
      </c>
      <c r="B181" s="15" t="str">
        <f>K96</f>
        <v>NC_000001.10:g.[37325477A&gt;G];[37325477=]</v>
      </c>
      <c r="K181" s="3" t="str">
        <f t="shared" ref="K181:M181" si="45">K159</f>
        <v>NC_000001.10:g.</v>
      </c>
      <c r="L181" s="3" t="str">
        <f t="shared" si="45"/>
        <v>NC_000001.10:g.</v>
      </c>
      <c r="M181" s="3" t="str">
        <f t="shared" si="45"/>
        <v>NC_000002.11:g.</v>
      </c>
    </row>
    <row r="182" spans="1:13" x14ac:dyDescent="0.25">
      <c r="A182" s="14" t="s">
        <v>72</v>
      </c>
      <c r="C182" s="3" t="str">
        <f>CONCATENATE("  &lt;Analysis name=",CHAR(34),B180,CHAR(34))</f>
        <v xml:space="preserve">  &lt;Analysis name="T928G (T;G) and C36983994T (C;T)"</v>
      </c>
      <c r="J182" s="3" t="str">
        <f t="shared" ref="J182:M182" si="46">J160</f>
        <v>Variant</v>
      </c>
      <c r="K182" s="3" t="str">
        <f t="shared" si="46"/>
        <v>[37325477A&gt;G]</v>
      </c>
      <c r="L182" s="3" t="str">
        <f t="shared" si="46"/>
        <v>[37449595C&gt;T]</v>
      </c>
      <c r="M182" s="3" t="str">
        <f t="shared" si="46"/>
        <v>[7783504A&gt;C]</v>
      </c>
    </row>
    <row r="183" spans="1:13" x14ac:dyDescent="0.25">
      <c r="A183" s="26" t="s">
        <v>75</v>
      </c>
      <c r="B183" s="15" t="str">
        <f>CONCATENATE("People with this variant have one copy of the ",B22, ", and ",B31," variants. This substitution of a single nucleotide is known as a missense mutation.")</f>
        <v>People with this variant have one copy of the [T928G](https://www.ncbi.nlm.nih.gov/projects/SNP/snp_ref.cgi?rs=6691840)[(Ser310Ala)](https://www.ncbi.nlm.nih.gov/pubmed/11986986), and [C36983994T](https://www.ncbi.nlm.nih.gov/projects/SNP/snp_ref.cgi?rs=3913434) variants. This substitution of a single nucleotide is known as a missense mutation.</v>
      </c>
      <c r="C183" s="3" t="str">
        <f>CONCATENATE("            case={  variantCall ",CHAR(40),CHAR(34),K184,CHAR(34),CHAR(41))</f>
        <v xml:space="preserve">            case={  variantCall ("NC_000001.10:g.[37325477A&gt;G];[37325477=]")</v>
      </c>
      <c r="J183" s="3" t="str">
        <f t="shared" ref="J183:M183" si="47">J161</f>
        <v>Wildtype</v>
      </c>
      <c r="K183" s="3" t="str">
        <f t="shared" si="47"/>
        <v>[37325477=]</v>
      </c>
      <c r="L183" s="3" t="str">
        <f t="shared" si="47"/>
        <v>[37449595=]</v>
      </c>
      <c r="M183" s="3" t="str">
        <f t="shared" si="47"/>
        <v>[7783504=]</v>
      </c>
    </row>
    <row r="184" spans="1:13" x14ac:dyDescent="0.25">
      <c r="A184" s="26" t="s">
        <v>28</v>
      </c>
      <c r="B184" s="15" t="s">
        <v>115</v>
      </c>
      <c r="C184" s="3" t="s">
        <v>71</v>
      </c>
      <c r="J184" s="3" t="str">
        <f t="shared" ref="J184:M184" si="48">J162</f>
        <v>Het</v>
      </c>
      <c r="K184" s="3" t="str">
        <f t="shared" si="48"/>
        <v>NC_000001.10:g.[37325477A&gt;G];[37325477=]</v>
      </c>
      <c r="L184" s="3" t="str">
        <f t="shared" si="48"/>
        <v>NC_000001.10:g.[37449595C&gt;T];[37449595=]</v>
      </c>
      <c r="M184" s="3" t="str">
        <f t="shared" si="48"/>
        <v>NC_000002.11:g.[7783504A&gt;C];[7783504=]</v>
      </c>
    </row>
    <row r="185" spans="1:13" x14ac:dyDescent="0.25">
      <c r="A185" s="26" t="s">
        <v>73</v>
      </c>
      <c r="C185" s="3" t="str">
        <f>CONCATENATE("                    variantCall ",CHAR(40),CHAR(34),L184,CHAR(34),CHAR(41))</f>
        <v xml:space="preserve">                    variantCall ("NC_000001.10:g.[37449595C&gt;T];[37449595=]")</v>
      </c>
      <c r="J185" s="3" t="str">
        <f t="shared" ref="J185:M185" si="49">J163</f>
        <v>Homo</v>
      </c>
      <c r="K185" s="3" t="str">
        <f t="shared" si="49"/>
        <v>NC_000001.10:g.[37325477A&gt;G];[37325477A&gt;G]</v>
      </c>
      <c r="L185" s="3" t="str">
        <f t="shared" si="49"/>
        <v>NC_000001.10:g.[37449595C&gt;T];[37449595C&gt;T]</v>
      </c>
      <c r="M185" s="3" t="str">
        <f t="shared" si="49"/>
        <v>NC_000002.11:g.[7783504A&gt;C];[7783504A&gt;C]</v>
      </c>
    </row>
    <row r="186" spans="1:13" x14ac:dyDescent="0.25">
      <c r="A186" s="26"/>
      <c r="C186" s="3" t="s">
        <v>71</v>
      </c>
      <c r="J186" s="3" t="str">
        <f t="shared" ref="J186:M186" si="50">J164</f>
        <v>Wildtype</v>
      </c>
      <c r="K186" s="3" t="str">
        <f t="shared" si="50"/>
        <v>NC_000001.10:g.[37325477=];[37325477=]</v>
      </c>
      <c r="L186" s="3" t="str">
        <f t="shared" si="50"/>
        <v>NC_000001.10:g.[37449595=];[37449595=]</v>
      </c>
      <c r="M186" s="3" t="str">
        <f t="shared" si="50"/>
        <v>NC_000002.11:g.[7783504=];[7783504=]</v>
      </c>
    </row>
    <row r="187" spans="1:13" x14ac:dyDescent="0.25">
      <c r="A187" s="26"/>
      <c r="C187" s="3" t="str">
        <f>CONCATENATE("                    variantCall ",CHAR(40),CHAR(34),M184,CHAR(34),CHAR(41))</f>
        <v xml:space="preserve">                    variantCall ("NC_000002.11:g.[7783504A&gt;C];[7783504=]")</v>
      </c>
      <c r="J187" s="3" t="str">
        <f t="shared" ref="J187:M187" si="51">J165</f>
        <v>Het%</v>
      </c>
      <c r="K187" s="3">
        <f t="shared" si="51"/>
        <v>43</v>
      </c>
      <c r="L187" s="3">
        <f t="shared" si="51"/>
        <v>1.8</v>
      </c>
      <c r="M187" s="3">
        <f t="shared" si="51"/>
        <v>15.8</v>
      </c>
    </row>
    <row r="188" spans="1:13" x14ac:dyDescent="0.25">
      <c r="A188" s="26"/>
      <c r="C188" s="3" t="str">
        <f>CONCATENATE("                  } &gt; ")</f>
        <v xml:space="preserve">                  } &gt; </v>
      </c>
      <c r="J188" s="3" t="str">
        <f t="shared" ref="J188:M188" si="52">J166</f>
        <v>Homo%</v>
      </c>
      <c r="K188" s="3">
        <f t="shared" si="52"/>
        <v>19.899999999999999</v>
      </c>
      <c r="L188" s="3">
        <f t="shared" si="52"/>
        <v>0.5</v>
      </c>
      <c r="M188" s="3">
        <f t="shared" si="52"/>
        <v>4.7</v>
      </c>
    </row>
    <row r="189" spans="1:13" x14ac:dyDescent="0.25">
      <c r="A189" s="14"/>
      <c r="J189" s="3" t="str">
        <f t="shared" ref="J189:M189" si="53">J167</f>
        <v>Wildtype%</v>
      </c>
      <c r="K189" s="3">
        <f t="shared" si="53"/>
        <v>37.1</v>
      </c>
      <c r="L189" s="3">
        <f t="shared" si="53"/>
        <v>97.8</v>
      </c>
      <c r="M189" s="3">
        <f t="shared" si="53"/>
        <v>79.5</v>
      </c>
    </row>
    <row r="190" spans="1:13" x14ac:dyDescent="0.25">
      <c r="A190" s="14"/>
      <c r="C190" s="3" t="s">
        <v>26</v>
      </c>
    </row>
    <row r="191" spans="1:13" x14ac:dyDescent="0.25">
      <c r="A191" s="14"/>
    </row>
    <row r="192" spans="1:13" x14ac:dyDescent="0.25">
      <c r="A192" s="14"/>
      <c r="C192" s="3" t="str">
        <f>CONCATENATE("    ",B183)</f>
        <v xml:space="preserve">    People with this variant have one copy of the [T928G](https://www.ncbi.nlm.nih.gov/projects/SNP/snp_ref.cgi?rs=6691840)[(Ser310Ala)](https://www.ncbi.nlm.nih.gov/pubmed/11986986), and [C36983994T](https://www.ncbi.nlm.nih.gov/projects/SNP/snp_ref.cgi?rs=3913434) variants. This substitution of a single nucleotide is known as a missense mutation.</v>
      </c>
    </row>
    <row r="193" spans="1:13" x14ac:dyDescent="0.25">
      <c r="A193" s="14"/>
    </row>
    <row r="194" spans="1:13" x14ac:dyDescent="0.25">
      <c r="A194" s="26"/>
      <c r="C194" s="3" t="s">
        <v>29</v>
      </c>
    </row>
    <row r="195" spans="1:13" x14ac:dyDescent="0.25">
      <c r="A195" s="26"/>
    </row>
    <row r="196" spans="1:13" x14ac:dyDescent="0.25">
      <c r="A196" s="26"/>
      <c r="C196" s="3" t="str">
        <f>CONCATENATE(B184)</f>
        <v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197" spans="1:13" x14ac:dyDescent="0.25">
      <c r="A197" s="26"/>
    </row>
    <row r="198" spans="1:13" x14ac:dyDescent="0.25">
      <c r="A198" s="26"/>
      <c r="C198" s="3" t="s">
        <v>30</v>
      </c>
    </row>
    <row r="199" spans="1:13" x14ac:dyDescent="0.25">
      <c r="A199" s="26"/>
    </row>
    <row r="200" spans="1:13" x14ac:dyDescent="0.25">
      <c r="A200" s="26"/>
      <c r="C200" s="3" t="str">
        <f>CONCATENATE( "    &lt;piechart percentage=",B185," /&gt;")</f>
        <v xml:space="preserve">    &lt;piechart percentage= /&gt;</v>
      </c>
    </row>
    <row r="201" spans="1:13" x14ac:dyDescent="0.25">
      <c r="A201" s="26"/>
      <c r="C201" s="3" t="str">
        <f>"  &lt;/Analysis&gt;"</f>
        <v xml:space="preserve">  &lt;/Analysis&gt;</v>
      </c>
      <c r="K201" s="3" t="str">
        <f t="shared" ref="K201:M201" si="54">K179</f>
        <v>rs6691840</v>
      </c>
      <c r="L201" s="3" t="str">
        <f t="shared" si="54"/>
        <v>rs3913434</v>
      </c>
      <c r="M201" s="3" t="str">
        <f t="shared" si="54"/>
        <v>rs270838</v>
      </c>
    </row>
    <row r="202" spans="1:13" s="21" customFormat="1" x14ac:dyDescent="0.25">
      <c r="A202" s="28" t="s">
        <v>70</v>
      </c>
      <c r="B202" s="20" t="str">
        <f>CONCATENATE(B48," and ",B114)</f>
        <v>T928G (T;G) and A7783504C (A;C)</v>
      </c>
      <c r="C202" s="21" t="str">
        <f>CONCATENATE("&lt;# ",B202," #&gt;")</f>
        <v>&lt;# T928G (T;G) and A7783504C (A;C) #&gt;</v>
      </c>
      <c r="K202" s="21" t="str">
        <f t="shared" ref="K202:M202" si="55">K180</f>
        <v>T928G</v>
      </c>
      <c r="L202" s="21" t="str">
        <f t="shared" si="55"/>
        <v>C36983994T</v>
      </c>
      <c r="M202" s="21" t="str">
        <f t="shared" si="55"/>
        <v>A7783504C</v>
      </c>
    </row>
    <row r="203" spans="1:13" x14ac:dyDescent="0.25">
      <c r="A203" s="14" t="s">
        <v>21</v>
      </c>
      <c r="B203" s="15" t="str">
        <f>K118</f>
        <v>NC_000001.10:g.[37325477A&gt;G];[37325477=]</v>
      </c>
      <c r="K203" s="3" t="str">
        <f t="shared" ref="K203:M203" si="56">K181</f>
        <v>NC_000001.10:g.</v>
      </c>
      <c r="L203" s="3" t="str">
        <f t="shared" si="56"/>
        <v>NC_000001.10:g.</v>
      </c>
      <c r="M203" s="3" t="str">
        <f t="shared" si="56"/>
        <v>NC_000002.11:g.</v>
      </c>
    </row>
    <row r="204" spans="1:13" x14ac:dyDescent="0.25">
      <c r="A204" s="14" t="s">
        <v>72</v>
      </c>
      <c r="C204" s="3" t="str">
        <f>CONCATENATE("  &lt;Analysis name=",CHAR(34),B202,CHAR(34))</f>
        <v xml:space="preserve">  &lt;Analysis name="T928G (T;G) and A7783504C (A;C)"</v>
      </c>
      <c r="J204" s="3" t="str">
        <f t="shared" ref="J204:M204" si="57">J182</f>
        <v>Variant</v>
      </c>
      <c r="K204" s="3" t="str">
        <f t="shared" si="57"/>
        <v>[37325477A&gt;G]</v>
      </c>
      <c r="L204" s="3" t="str">
        <f t="shared" si="57"/>
        <v>[37449595C&gt;T]</v>
      </c>
      <c r="M204" s="3" t="str">
        <f t="shared" si="57"/>
        <v>[7783504A&gt;C]</v>
      </c>
    </row>
    <row r="205" spans="1:13" x14ac:dyDescent="0.25">
      <c r="A205" s="26" t="s">
        <v>75</v>
      </c>
      <c r="B205" s="15" t="str">
        <f>CONCATENATE("People with this variant have one copy of the ",B22," and ",B40," variants. This substitution of a single nucleotide is known as a missense mutation.")</f>
        <v>People with this variant have one copy of the [T928G](https://www.ncbi.nlm.nih.gov/projects/SNP/snp_ref.cgi?rs=6691840)[(Ser310Ala)](https://www.ncbi.nlm.nih.gov/pubmed/11986986) and [A7783504C](https://www.ncbi.nlm.nih.gov/projects/SNP/snp_ref.cgi?rs=270838) variants. This substitution of a single nucleotide is known as a missense mutation.</v>
      </c>
      <c r="C205" s="3" t="str">
        <f>CONCATENATE("            case={  variantCall ",CHAR(40),CHAR(34),K206,CHAR(34),CHAR(41))</f>
        <v xml:space="preserve">            case={  variantCall ("NC_000001.10:g.[37325477A&gt;G];[37325477=]")</v>
      </c>
      <c r="J205" s="3" t="str">
        <f t="shared" ref="J205:M205" si="58">J183</f>
        <v>Wildtype</v>
      </c>
      <c r="K205" s="3" t="str">
        <f t="shared" si="58"/>
        <v>[37325477=]</v>
      </c>
      <c r="L205" s="3" t="str">
        <f t="shared" si="58"/>
        <v>[37449595=]</v>
      </c>
      <c r="M205" s="3" t="str">
        <f t="shared" si="58"/>
        <v>[7783504=]</v>
      </c>
    </row>
    <row r="206" spans="1:13" x14ac:dyDescent="0.25">
      <c r="A206" s="26" t="s">
        <v>28</v>
      </c>
      <c r="B206" s="15" t="s">
        <v>116</v>
      </c>
      <c r="C206" s="3" t="s">
        <v>71</v>
      </c>
      <c r="J206" s="3" t="str">
        <f t="shared" ref="J206:M206" si="59">J184</f>
        <v>Het</v>
      </c>
      <c r="K206" s="3" t="str">
        <f t="shared" si="59"/>
        <v>NC_000001.10:g.[37325477A&gt;G];[37325477=]</v>
      </c>
      <c r="L206" s="3" t="str">
        <f t="shared" si="59"/>
        <v>NC_000001.10:g.[37449595C&gt;T];[37449595=]</v>
      </c>
      <c r="M206" s="3" t="str">
        <f t="shared" si="59"/>
        <v>NC_000002.11:g.[7783504A&gt;C];[7783504=]</v>
      </c>
    </row>
    <row r="207" spans="1:13" x14ac:dyDescent="0.25">
      <c r="A207" s="26" t="s">
        <v>73</v>
      </c>
      <c r="C207" s="3" t="str">
        <f>CONCATENATE("                    variantCall ",CHAR(40),CHAR(34),L206,CHAR(34),CHAR(41))</f>
        <v xml:space="preserve">                    variantCall ("NC_000001.10:g.[37449595C&gt;T];[37449595=]")</v>
      </c>
      <c r="J207" s="3" t="str">
        <f t="shared" ref="J207:M207" si="60">J185</f>
        <v>Homo</v>
      </c>
      <c r="K207" s="3" t="str">
        <f t="shared" si="60"/>
        <v>NC_000001.10:g.[37325477A&gt;G];[37325477A&gt;G]</v>
      </c>
      <c r="L207" s="3" t="str">
        <f t="shared" si="60"/>
        <v>NC_000001.10:g.[37449595C&gt;T];[37449595C&gt;T]</v>
      </c>
      <c r="M207" s="3" t="str">
        <f t="shared" si="60"/>
        <v>NC_000002.11:g.[7783504A&gt;C];[7783504A&gt;C]</v>
      </c>
    </row>
    <row r="208" spans="1:13" x14ac:dyDescent="0.25">
      <c r="A208" s="26"/>
      <c r="C208" s="3" t="s">
        <v>71</v>
      </c>
      <c r="J208" s="3" t="str">
        <f t="shared" ref="J208:M208" si="61">J186</f>
        <v>Wildtype</v>
      </c>
      <c r="K208" s="3" t="str">
        <f t="shared" si="61"/>
        <v>NC_000001.10:g.[37325477=];[37325477=]</v>
      </c>
      <c r="L208" s="3" t="str">
        <f t="shared" si="61"/>
        <v>NC_000001.10:g.[37449595=];[37449595=]</v>
      </c>
      <c r="M208" s="3" t="str">
        <f t="shared" si="61"/>
        <v>NC_000002.11:g.[7783504=];[7783504=]</v>
      </c>
    </row>
    <row r="209" spans="1:13" x14ac:dyDescent="0.25">
      <c r="A209" s="26"/>
      <c r="C209" s="3" t="str">
        <f>CONCATENATE("                    variantCall ",CHAR(40),CHAR(34),M206,CHAR(34),CHAR(41))</f>
        <v xml:space="preserve">                    variantCall ("NC_000002.11:g.[7783504A&gt;C];[7783504=]")</v>
      </c>
      <c r="J209" s="3" t="str">
        <f t="shared" ref="J209:M209" si="62">J187</f>
        <v>Het%</v>
      </c>
      <c r="K209" s="3">
        <f t="shared" si="62"/>
        <v>43</v>
      </c>
      <c r="L209" s="3">
        <f t="shared" si="62"/>
        <v>1.8</v>
      </c>
      <c r="M209" s="3">
        <f t="shared" si="62"/>
        <v>15.8</v>
      </c>
    </row>
    <row r="210" spans="1:13" x14ac:dyDescent="0.25">
      <c r="A210" s="26"/>
      <c r="C210" s="3" t="str">
        <f>CONCATENATE("                  } &gt; ")</f>
        <v xml:space="preserve">                  } &gt; </v>
      </c>
      <c r="J210" s="3" t="str">
        <f t="shared" ref="J210:M210" si="63">J188</f>
        <v>Homo%</v>
      </c>
      <c r="K210" s="3">
        <f t="shared" si="63"/>
        <v>19.899999999999999</v>
      </c>
      <c r="L210" s="3">
        <f t="shared" si="63"/>
        <v>0.5</v>
      </c>
      <c r="M210" s="3">
        <f t="shared" si="63"/>
        <v>4.7</v>
      </c>
    </row>
    <row r="211" spans="1:13" x14ac:dyDescent="0.25">
      <c r="A211" s="14"/>
      <c r="J211" s="3" t="str">
        <f t="shared" ref="J211:M211" si="64">J189</f>
        <v>Wildtype%</v>
      </c>
      <c r="K211" s="3">
        <f t="shared" si="64"/>
        <v>37.1</v>
      </c>
      <c r="L211" s="3">
        <f t="shared" si="64"/>
        <v>97.8</v>
      </c>
      <c r="M211" s="3">
        <f t="shared" si="64"/>
        <v>79.5</v>
      </c>
    </row>
    <row r="212" spans="1:13" x14ac:dyDescent="0.25">
      <c r="A212" s="14"/>
      <c r="C212" s="3" t="s">
        <v>26</v>
      </c>
    </row>
    <row r="213" spans="1:13" x14ac:dyDescent="0.25">
      <c r="A213" s="14"/>
    </row>
    <row r="214" spans="1:13" x14ac:dyDescent="0.25">
      <c r="A214" s="14"/>
      <c r="C214" s="3" t="str">
        <f>CONCATENATE("    ",B205)</f>
        <v xml:space="preserve">    People with this variant have one copy of the [T928G](https://www.ncbi.nlm.nih.gov/projects/SNP/snp_ref.cgi?rs=6691840)[(Ser310Ala)](https://www.ncbi.nlm.nih.gov/pubmed/11986986) and [A7783504C](https://www.ncbi.nlm.nih.gov/projects/SNP/snp_ref.cgi?rs=270838) variants. This substitution of a single nucleotide is known as a missense mutation.</v>
      </c>
    </row>
    <row r="215" spans="1:13" x14ac:dyDescent="0.25">
      <c r="A215" s="14"/>
    </row>
    <row r="216" spans="1:13" x14ac:dyDescent="0.25">
      <c r="A216" s="26"/>
      <c r="C216" s="3" t="s">
        <v>29</v>
      </c>
    </row>
    <row r="217" spans="1:13" x14ac:dyDescent="0.25">
      <c r="A217" s="26"/>
    </row>
    <row r="218" spans="1:13" x14ac:dyDescent="0.25">
      <c r="A218" s="26"/>
      <c r="C218" s="3" t="str">
        <f>CONCATENATE(B206)</f>
        <v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219" spans="1:13" x14ac:dyDescent="0.25">
      <c r="A219" s="26"/>
    </row>
    <row r="220" spans="1:13" x14ac:dyDescent="0.25">
      <c r="A220" s="26"/>
      <c r="C220" s="3" t="s">
        <v>30</v>
      </c>
    </row>
    <row r="221" spans="1:13" x14ac:dyDescent="0.25">
      <c r="A221" s="26"/>
    </row>
    <row r="222" spans="1:13" x14ac:dyDescent="0.25">
      <c r="A222" s="26"/>
      <c r="C222" s="3" t="str">
        <f>CONCATENATE( "    &lt;piechart percentage=",B207," /&gt;")</f>
        <v xml:space="preserve">    &lt;piechart percentage= /&gt;</v>
      </c>
    </row>
    <row r="223" spans="1:13" x14ac:dyDescent="0.25">
      <c r="A223" s="26"/>
      <c r="C223" s="3" t="str">
        <f>"  &lt;/Analysis&gt;"</f>
        <v xml:space="preserve">  &lt;/Analysis&gt;</v>
      </c>
      <c r="K223" s="3" t="str">
        <f t="shared" ref="K223:M223" si="65">K201</f>
        <v>rs6691840</v>
      </c>
      <c r="L223" s="3" t="str">
        <f t="shared" si="65"/>
        <v>rs3913434</v>
      </c>
      <c r="M223" s="3" t="str">
        <f t="shared" si="65"/>
        <v>rs270838</v>
      </c>
    </row>
    <row r="224" spans="1:13" s="21" customFormat="1" x14ac:dyDescent="0.25">
      <c r="A224" s="28" t="s">
        <v>70</v>
      </c>
      <c r="B224" s="20" t="str">
        <f>CONCATENATE(B70," and ",B92)</f>
        <v>T928G (G;G) and C36983994T (C;T)</v>
      </c>
      <c r="C224" s="21" t="str">
        <f>CONCATENATE("&lt;# ",B224," #&gt;")</f>
        <v>&lt;# T928G (G;G) and C36983994T (C;T) #&gt;</v>
      </c>
      <c r="K224" s="21" t="str">
        <f t="shared" ref="K224:M224" si="66">K202</f>
        <v>T928G</v>
      </c>
      <c r="L224" s="21" t="str">
        <f t="shared" si="66"/>
        <v>C36983994T</v>
      </c>
      <c r="M224" s="21" t="str">
        <f t="shared" si="66"/>
        <v>A7783504C</v>
      </c>
    </row>
    <row r="225" spans="1:13" x14ac:dyDescent="0.25">
      <c r="A225" s="14" t="s">
        <v>21</v>
      </c>
      <c r="B225" s="15" t="str">
        <f>K140</f>
        <v>NC_000001.10:g.[37325477A&gt;G];[37325477=]</v>
      </c>
      <c r="K225" s="3" t="str">
        <f t="shared" ref="K225:M225" si="67">K203</f>
        <v>NC_000001.10:g.</v>
      </c>
      <c r="L225" s="3" t="str">
        <f t="shared" si="67"/>
        <v>NC_000001.10:g.</v>
      </c>
      <c r="M225" s="3" t="str">
        <f t="shared" si="67"/>
        <v>NC_000002.11:g.</v>
      </c>
    </row>
    <row r="226" spans="1:13" x14ac:dyDescent="0.25">
      <c r="A226" s="14" t="s">
        <v>72</v>
      </c>
      <c r="C226" s="3" t="str">
        <f>CONCATENATE("  &lt;Analysis name=",CHAR(34),B224,CHAR(34))</f>
        <v xml:space="preserve">  &lt;Analysis name="T928G (G;G) and C36983994T (C;T)"</v>
      </c>
      <c r="J226" s="3" t="str">
        <f t="shared" ref="J226:M226" si="68">J204</f>
        <v>Variant</v>
      </c>
      <c r="K226" s="3" t="str">
        <f t="shared" si="68"/>
        <v>[37325477A&gt;G]</v>
      </c>
      <c r="L226" s="3" t="str">
        <f t="shared" si="68"/>
        <v>[37449595C&gt;T]</v>
      </c>
      <c r="M226" s="3" t="str">
        <f t="shared" si="68"/>
        <v>[7783504A&gt;C]</v>
      </c>
    </row>
    <row r="227" spans="1:13" x14ac:dyDescent="0.25">
      <c r="A227" s="26" t="s">
        <v>75</v>
      </c>
      <c r="B227" s="15" t="str">
        <f>CONCATENATE("People with this variant have two copies of the ",B22," variant and one copy of the ",B31," variant. This substitution of a single nucleotide is known as a missense mutation.")</f>
        <v>People with this variant have two copies of the [T928G](https://www.ncbi.nlm.nih.gov/projects/SNP/snp_ref.cgi?rs=6691840)[(Ser310Ala)](https://www.ncbi.nlm.nih.gov/pubmed/11986986) variant and one copy of the [C36983994T](https://www.ncbi.nlm.nih.gov/projects/SNP/snp_ref.cgi?rs=3913434) variant. This substitution of a single nucleotide is known as a missense mutation.</v>
      </c>
      <c r="C227" s="3" t="str">
        <f>CONCATENATE("            case={  variantCall ",CHAR(40),CHAR(34),K228,CHAR(34),CHAR(41))</f>
        <v xml:space="preserve">            case={  variantCall ("NC_000001.10:g.[37325477A&gt;G];[37325477=]")</v>
      </c>
      <c r="J227" s="3" t="str">
        <f t="shared" ref="J227:M227" si="69">J205</f>
        <v>Wildtype</v>
      </c>
      <c r="K227" s="3" t="str">
        <f t="shared" si="69"/>
        <v>[37325477=]</v>
      </c>
      <c r="L227" s="3" t="str">
        <f t="shared" si="69"/>
        <v>[37449595=]</v>
      </c>
      <c r="M227" s="3" t="str">
        <f t="shared" si="69"/>
        <v>[7783504=]</v>
      </c>
    </row>
    <row r="228" spans="1:13" x14ac:dyDescent="0.25">
      <c r="A228" s="26" t="s">
        <v>28</v>
      </c>
      <c r="B228" s="3" t="s">
        <v>117</v>
      </c>
      <c r="C228" s="3" t="s">
        <v>71</v>
      </c>
      <c r="J228" s="3" t="str">
        <f t="shared" ref="J228:M228" si="70">J206</f>
        <v>Het</v>
      </c>
      <c r="K228" s="3" t="str">
        <f t="shared" si="70"/>
        <v>NC_000001.10:g.[37325477A&gt;G];[37325477=]</v>
      </c>
      <c r="L228" s="3" t="str">
        <f t="shared" si="70"/>
        <v>NC_000001.10:g.[37449595C&gt;T];[37449595=]</v>
      </c>
      <c r="M228" s="3" t="str">
        <f t="shared" si="70"/>
        <v>NC_000002.11:g.[7783504A&gt;C];[7783504=]</v>
      </c>
    </row>
    <row r="229" spans="1:13" x14ac:dyDescent="0.25">
      <c r="A229" s="26" t="s">
        <v>73</v>
      </c>
      <c r="C229" s="3" t="str">
        <f>CONCATENATE("                    variantCall ",CHAR(40),CHAR(34),L228,CHAR(34),CHAR(41))</f>
        <v xml:space="preserve">                    variantCall ("NC_000001.10:g.[37449595C&gt;T];[37449595=]")</v>
      </c>
      <c r="J229" s="3" t="str">
        <f t="shared" ref="J229:M229" si="71">J207</f>
        <v>Homo</v>
      </c>
      <c r="K229" s="3" t="str">
        <f t="shared" si="71"/>
        <v>NC_000001.10:g.[37325477A&gt;G];[37325477A&gt;G]</v>
      </c>
      <c r="L229" s="3" t="str">
        <f t="shared" si="71"/>
        <v>NC_000001.10:g.[37449595C&gt;T];[37449595C&gt;T]</v>
      </c>
      <c r="M229" s="3" t="str">
        <f t="shared" si="71"/>
        <v>NC_000002.11:g.[7783504A&gt;C];[7783504A&gt;C]</v>
      </c>
    </row>
    <row r="230" spans="1:13" x14ac:dyDescent="0.25">
      <c r="A230" s="26"/>
      <c r="C230" s="3" t="s">
        <v>71</v>
      </c>
      <c r="J230" s="3" t="str">
        <f t="shared" ref="J230:M230" si="72">J208</f>
        <v>Wildtype</v>
      </c>
      <c r="K230" s="3" t="str">
        <f t="shared" si="72"/>
        <v>NC_000001.10:g.[37325477=];[37325477=]</v>
      </c>
      <c r="L230" s="3" t="str">
        <f t="shared" si="72"/>
        <v>NC_000001.10:g.[37449595=];[37449595=]</v>
      </c>
      <c r="M230" s="3" t="str">
        <f t="shared" si="72"/>
        <v>NC_000002.11:g.[7783504=];[7783504=]</v>
      </c>
    </row>
    <row r="231" spans="1:13" x14ac:dyDescent="0.25">
      <c r="A231" s="26"/>
      <c r="C231" s="3" t="str">
        <f>CONCATENATE("                    variantCall ",CHAR(40),CHAR(34),M228,CHAR(34),CHAR(41))</f>
        <v xml:space="preserve">                    variantCall ("NC_000002.11:g.[7783504A&gt;C];[7783504=]")</v>
      </c>
      <c r="J231" s="3" t="str">
        <f t="shared" ref="J231:M231" si="73">J209</f>
        <v>Het%</v>
      </c>
      <c r="K231" s="3">
        <f t="shared" si="73"/>
        <v>43</v>
      </c>
      <c r="L231" s="3">
        <f t="shared" si="73"/>
        <v>1.8</v>
      </c>
      <c r="M231" s="3">
        <f t="shared" si="73"/>
        <v>15.8</v>
      </c>
    </row>
    <row r="232" spans="1:13" x14ac:dyDescent="0.25">
      <c r="A232" s="26"/>
      <c r="C232" s="3" t="str">
        <f>CONCATENATE("                  } &gt; ")</f>
        <v xml:space="preserve">                  } &gt; </v>
      </c>
      <c r="J232" s="3" t="str">
        <f t="shared" ref="J232:M232" si="74">J210</f>
        <v>Homo%</v>
      </c>
      <c r="K232" s="3">
        <f t="shared" si="74"/>
        <v>19.899999999999999</v>
      </c>
      <c r="L232" s="3">
        <f t="shared" si="74"/>
        <v>0.5</v>
      </c>
      <c r="M232" s="3">
        <f t="shared" si="74"/>
        <v>4.7</v>
      </c>
    </row>
    <row r="233" spans="1:13" x14ac:dyDescent="0.25">
      <c r="A233" s="14"/>
      <c r="J233" s="3" t="str">
        <f t="shared" ref="J233:M233" si="75">J211</f>
        <v>Wildtype%</v>
      </c>
      <c r="K233" s="3">
        <f t="shared" si="75"/>
        <v>37.1</v>
      </c>
      <c r="L233" s="3">
        <f t="shared" si="75"/>
        <v>97.8</v>
      </c>
      <c r="M233" s="3">
        <f t="shared" si="75"/>
        <v>79.5</v>
      </c>
    </row>
    <row r="234" spans="1:13" x14ac:dyDescent="0.25">
      <c r="A234" s="14"/>
      <c r="C234" s="3" t="s">
        <v>26</v>
      </c>
    </row>
    <row r="235" spans="1:13" x14ac:dyDescent="0.25">
      <c r="A235" s="14"/>
    </row>
    <row r="236" spans="1:13" x14ac:dyDescent="0.25">
      <c r="A236" s="14"/>
      <c r="C236" s="3" t="str">
        <f>CONCATENATE("    ",B227)</f>
        <v xml:space="preserve">    People with this variant have two copies of the [T928G](https://www.ncbi.nlm.nih.gov/projects/SNP/snp_ref.cgi?rs=6691840)[(Ser310Ala)](https://www.ncbi.nlm.nih.gov/pubmed/11986986) variant and one copy of the [C36983994T](https://www.ncbi.nlm.nih.gov/projects/SNP/snp_ref.cgi?rs=3913434) variant. This substitution of a single nucleotide is known as a missense mutation.</v>
      </c>
    </row>
    <row r="237" spans="1:13" x14ac:dyDescent="0.25">
      <c r="A237" s="14"/>
    </row>
    <row r="238" spans="1:13" x14ac:dyDescent="0.25">
      <c r="A238" s="26"/>
      <c r="C238" s="3" t="s">
        <v>29</v>
      </c>
    </row>
    <row r="239" spans="1:13" x14ac:dyDescent="0.25">
      <c r="A239" s="26"/>
    </row>
    <row r="240" spans="1:13" x14ac:dyDescent="0.25">
      <c r="A240" s="26"/>
      <c r="C240" s="3" t="str">
        <f>CONCATENATE(B228)</f>
        <v xml:space="preserve">    There is currently no data on the interaction between these variants.  However, some information exists on the individual variants. 
    # What is the effect of T928G?
Two copies of T928G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241" spans="1:13" x14ac:dyDescent="0.25">
      <c r="A241" s="26"/>
    </row>
    <row r="242" spans="1:13" x14ac:dyDescent="0.25">
      <c r="A242" s="26"/>
      <c r="C242" s="3" t="s">
        <v>30</v>
      </c>
    </row>
    <row r="243" spans="1:13" x14ac:dyDescent="0.25">
      <c r="A243" s="26"/>
    </row>
    <row r="244" spans="1:13" x14ac:dyDescent="0.25">
      <c r="A244" s="26"/>
      <c r="C244" s="3" t="str">
        <f>CONCATENATE( "    &lt;piechart percentage=",B229," /&gt;")</f>
        <v xml:space="preserve">    &lt;piechart percentage= /&gt;</v>
      </c>
    </row>
    <row r="245" spans="1:13" x14ac:dyDescent="0.25">
      <c r="A245" s="26"/>
      <c r="C245" s="3" t="str">
        <f>"  &lt;/Analysis&gt;"</f>
        <v xml:space="preserve">  &lt;/Analysis&gt;</v>
      </c>
      <c r="K245" s="3" t="str">
        <f t="shared" ref="K245:M245" si="76">K223</f>
        <v>rs6691840</v>
      </c>
      <c r="L245" s="3" t="str">
        <f t="shared" si="76"/>
        <v>rs3913434</v>
      </c>
      <c r="M245" s="3" t="str">
        <f t="shared" si="76"/>
        <v>rs270838</v>
      </c>
    </row>
    <row r="246" spans="1:13" s="21" customFormat="1" x14ac:dyDescent="0.25">
      <c r="A246" s="28" t="s">
        <v>70</v>
      </c>
      <c r="B246" s="20" t="str">
        <f>CONCATENATE(B70," and ",B114)</f>
        <v>T928G (G;G) and A7783504C (A;C)</v>
      </c>
      <c r="C246" s="21" t="str">
        <f>CONCATENATE("&lt;# ",B246," #&gt;")</f>
        <v>&lt;# T928G (G;G) and A7783504C (A;C) #&gt;</v>
      </c>
      <c r="K246" s="21" t="str">
        <f t="shared" ref="K246:M246" si="77">K224</f>
        <v>T928G</v>
      </c>
      <c r="L246" s="21" t="str">
        <f t="shared" si="77"/>
        <v>C36983994T</v>
      </c>
      <c r="M246" s="21" t="str">
        <f t="shared" si="77"/>
        <v>A7783504C</v>
      </c>
    </row>
    <row r="247" spans="1:13" x14ac:dyDescent="0.25">
      <c r="A247" s="14" t="s">
        <v>21</v>
      </c>
      <c r="B247" s="15" t="str">
        <f>K162</f>
        <v>NC_000001.10:g.[37325477A&gt;G];[37325477=]</v>
      </c>
      <c r="K247" s="3" t="str">
        <f t="shared" ref="K247:M247" si="78">K225</f>
        <v>NC_000001.10:g.</v>
      </c>
      <c r="L247" s="3" t="str">
        <f t="shared" si="78"/>
        <v>NC_000001.10:g.</v>
      </c>
      <c r="M247" s="3" t="str">
        <f t="shared" si="78"/>
        <v>NC_000002.11:g.</v>
      </c>
    </row>
    <row r="248" spans="1:13" x14ac:dyDescent="0.25">
      <c r="A248" s="14" t="s">
        <v>72</v>
      </c>
      <c r="C248" s="3" t="str">
        <f>CONCATENATE("  &lt;Analysis name=",CHAR(34),B246,CHAR(34))</f>
        <v xml:space="preserve">  &lt;Analysis name="T928G (G;G) and A7783504C (A;C)"</v>
      </c>
      <c r="J248" s="3" t="str">
        <f t="shared" ref="J248:M248" si="79">J226</f>
        <v>Variant</v>
      </c>
      <c r="K248" s="3" t="str">
        <f t="shared" si="79"/>
        <v>[37325477A&gt;G]</v>
      </c>
      <c r="L248" s="3" t="str">
        <f t="shared" si="79"/>
        <v>[37449595C&gt;T]</v>
      </c>
      <c r="M248" s="3" t="str">
        <f t="shared" si="79"/>
        <v>[7783504A&gt;C]</v>
      </c>
    </row>
    <row r="249" spans="1:13" x14ac:dyDescent="0.25">
      <c r="A249" s="26" t="s">
        <v>75</v>
      </c>
      <c r="B249" s="15" t="str">
        <f>CONCATENATE("People with this variant have two copies of the ",B22," variant and one copy of the ",B40," variant. This substitution of a single nucleotide is known as a missense mutation.")</f>
        <v>People with this variant have two copies of the [T928G](https://www.ncbi.nlm.nih.gov/projects/SNP/snp_ref.cgi?rs=6691840)[(Ser310Ala)](https://www.ncbi.nlm.nih.gov/pubmed/11986986) variant and one copy of the [A7783504C](https://www.ncbi.nlm.nih.gov/projects/SNP/snp_ref.cgi?rs=270838) variant. This substitution of a single nucleotide is known as a missense mutation.</v>
      </c>
      <c r="C249" s="3" t="str">
        <f>CONCATENATE("            case={  variantCall ",CHAR(40),CHAR(34),K250,CHAR(34),CHAR(41))</f>
        <v xml:space="preserve">            case={  variantCall ("NC_000001.10:g.[37325477A&gt;G];[37325477=]")</v>
      </c>
      <c r="J249" s="3" t="str">
        <f t="shared" ref="J249:M249" si="80">J227</f>
        <v>Wildtype</v>
      </c>
      <c r="K249" s="3" t="str">
        <f t="shared" si="80"/>
        <v>[37325477=]</v>
      </c>
      <c r="L249" s="3" t="str">
        <f t="shared" si="80"/>
        <v>[37449595=]</v>
      </c>
      <c r="M249" s="3" t="str">
        <f t="shared" si="80"/>
        <v>[7783504=]</v>
      </c>
    </row>
    <row r="250" spans="1:13" x14ac:dyDescent="0.25">
      <c r="A250" s="26" t="s">
        <v>28</v>
      </c>
      <c r="B250" s="15" t="s">
        <v>118</v>
      </c>
      <c r="C250" s="3" t="s">
        <v>71</v>
      </c>
      <c r="J250" s="3" t="str">
        <f t="shared" ref="J250:M250" si="81">J228</f>
        <v>Het</v>
      </c>
      <c r="K250" s="3" t="str">
        <f t="shared" si="81"/>
        <v>NC_000001.10:g.[37325477A&gt;G];[37325477=]</v>
      </c>
      <c r="L250" s="3" t="str">
        <f t="shared" si="81"/>
        <v>NC_000001.10:g.[37449595C&gt;T];[37449595=]</v>
      </c>
      <c r="M250" s="3" t="str">
        <f t="shared" si="81"/>
        <v>NC_000002.11:g.[7783504A&gt;C];[7783504=]</v>
      </c>
    </row>
    <row r="251" spans="1:13" x14ac:dyDescent="0.25">
      <c r="A251" s="26" t="s">
        <v>73</v>
      </c>
      <c r="C251" s="3" t="str">
        <f>CONCATENATE("                    variantCall ",CHAR(40),CHAR(34),L250,CHAR(34),CHAR(41))</f>
        <v xml:space="preserve">                    variantCall ("NC_000001.10:g.[37449595C&gt;T];[37449595=]")</v>
      </c>
      <c r="J251" s="3" t="str">
        <f t="shared" ref="J251:M251" si="82">J229</f>
        <v>Homo</v>
      </c>
      <c r="K251" s="3" t="str">
        <f t="shared" si="82"/>
        <v>NC_000001.10:g.[37325477A&gt;G];[37325477A&gt;G]</v>
      </c>
      <c r="L251" s="3" t="str">
        <f t="shared" si="82"/>
        <v>NC_000001.10:g.[37449595C&gt;T];[37449595C&gt;T]</v>
      </c>
      <c r="M251" s="3" t="str">
        <f t="shared" si="82"/>
        <v>NC_000002.11:g.[7783504A&gt;C];[7783504A&gt;C]</v>
      </c>
    </row>
    <row r="252" spans="1:13" x14ac:dyDescent="0.25">
      <c r="A252" s="26"/>
      <c r="C252" s="3" t="s">
        <v>71</v>
      </c>
      <c r="J252" s="3" t="str">
        <f t="shared" ref="J252:M252" si="83">J230</f>
        <v>Wildtype</v>
      </c>
      <c r="K252" s="3" t="str">
        <f t="shared" si="83"/>
        <v>NC_000001.10:g.[37325477=];[37325477=]</v>
      </c>
      <c r="L252" s="3" t="str">
        <f t="shared" si="83"/>
        <v>NC_000001.10:g.[37449595=];[37449595=]</v>
      </c>
      <c r="M252" s="3" t="str">
        <f t="shared" si="83"/>
        <v>NC_000002.11:g.[7783504=];[7783504=]</v>
      </c>
    </row>
    <row r="253" spans="1:13" x14ac:dyDescent="0.25">
      <c r="A253" s="26"/>
      <c r="C253" s="3" t="str">
        <f>CONCATENATE("                    variantCall ",CHAR(40),CHAR(34),M250,CHAR(34),CHAR(41))</f>
        <v xml:space="preserve">                    variantCall ("NC_000002.11:g.[7783504A&gt;C];[7783504=]")</v>
      </c>
      <c r="J253" s="3" t="str">
        <f t="shared" ref="J253:M253" si="84">J231</f>
        <v>Het%</v>
      </c>
      <c r="K253" s="3">
        <f t="shared" si="84"/>
        <v>43</v>
      </c>
      <c r="L253" s="3">
        <f t="shared" si="84"/>
        <v>1.8</v>
      </c>
      <c r="M253" s="3">
        <f t="shared" si="84"/>
        <v>15.8</v>
      </c>
    </row>
    <row r="254" spans="1:13" x14ac:dyDescent="0.25">
      <c r="A254" s="26"/>
      <c r="C254" s="3" t="str">
        <f>CONCATENATE("                  } &gt; ")</f>
        <v xml:space="preserve">                  } &gt; </v>
      </c>
      <c r="J254" s="3" t="str">
        <f t="shared" ref="J254:M254" si="85">J232</f>
        <v>Homo%</v>
      </c>
      <c r="K254" s="3">
        <f t="shared" si="85"/>
        <v>19.899999999999999</v>
      </c>
      <c r="L254" s="3">
        <f t="shared" si="85"/>
        <v>0.5</v>
      </c>
      <c r="M254" s="3">
        <f t="shared" si="85"/>
        <v>4.7</v>
      </c>
    </row>
    <row r="255" spans="1:13" x14ac:dyDescent="0.25">
      <c r="A255" s="14"/>
      <c r="J255" s="3" t="str">
        <f t="shared" ref="J255:M255" si="86">J233</f>
        <v>Wildtype%</v>
      </c>
      <c r="K255" s="3">
        <f t="shared" si="86"/>
        <v>37.1</v>
      </c>
      <c r="L255" s="3">
        <f t="shared" si="86"/>
        <v>97.8</v>
      </c>
      <c r="M255" s="3">
        <f t="shared" si="86"/>
        <v>79.5</v>
      </c>
    </row>
    <row r="256" spans="1:13" x14ac:dyDescent="0.25">
      <c r="A256" s="14"/>
      <c r="C256" s="3" t="s">
        <v>26</v>
      </c>
    </row>
    <row r="257" spans="1:13" x14ac:dyDescent="0.25">
      <c r="A257" s="14"/>
    </row>
    <row r="258" spans="1:13" x14ac:dyDescent="0.25">
      <c r="A258" s="14"/>
      <c r="C258" s="3" t="str">
        <f>CONCATENATE("    ",B249)</f>
        <v xml:space="preserve">    People with this variant have two copies of the [T928G](https://www.ncbi.nlm.nih.gov/projects/SNP/snp_ref.cgi?rs=6691840)[(Ser310Ala)](https://www.ncbi.nlm.nih.gov/pubmed/11986986) variant and one copy of the [A7783504C](https://www.ncbi.nlm.nih.gov/projects/SNP/snp_ref.cgi?rs=270838) variant. This substitution of a single nucleotide is known as a missense mutation.</v>
      </c>
    </row>
    <row r="259" spans="1:13" x14ac:dyDescent="0.25">
      <c r="A259" s="14"/>
    </row>
    <row r="260" spans="1:13" x14ac:dyDescent="0.25">
      <c r="A260" s="26"/>
      <c r="C260" s="3" t="s">
        <v>29</v>
      </c>
    </row>
    <row r="261" spans="1:13" x14ac:dyDescent="0.25">
      <c r="A261" s="26"/>
    </row>
    <row r="262" spans="1:13" x14ac:dyDescent="0.25">
      <c r="A262" s="26"/>
      <c r="C262" s="3" t="str">
        <f>CONCATENATE(B250)</f>
        <v xml:space="preserve">    There is currently no data on the interaction between these variants.  However, some information exists on the individual variants. 
    # What is the effect of T928G?
Two copies of T928G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263" spans="1:13" x14ac:dyDescent="0.25">
      <c r="A263" s="26"/>
    </row>
    <row r="264" spans="1:13" x14ac:dyDescent="0.25">
      <c r="A264" s="26"/>
      <c r="C264" s="3" t="s">
        <v>30</v>
      </c>
    </row>
    <row r="265" spans="1:13" x14ac:dyDescent="0.25">
      <c r="A265" s="26"/>
    </row>
    <row r="266" spans="1:13" x14ac:dyDescent="0.25">
      <c r="A266" s="26"/>
      <c r="C266" s="3" t="str">
        <f>CONCATENATE( "    &lt;piechart percentage=",B251," /&gt;")</f>
        <v xml:space="preserve">    &lt;piechart percentage= /&gt;</v>
      </c>
    </row>
    <row r="267" spans="1:13" x14ac:dyDescent="0.25">
      <c r="A267" s="26"/>
      <c r="C267" s="3" t="str">
        <f>"  &lt;/Analysis&gt;"</f>
        <v xml:space="preserve">  &lt;/Analysis&gt;</v>
      </c>
      <c r="K267" s="3" t="str">
        <f t="shared" ref="K267:M267" si="87">K245</f>
        <v>rs6691840</v>
      </c>
      <c r="L267" s="3" t="str">
        <f t="shared" si="87"/>
        <v>rs3913434</v>
      </c>
      <c r="M267" s="3" t="str">
        <f t="shared" si="87"/>
        <v>rs270838</v>
      </c>
    </row>
    <row r="268" spans="1:13" s="21" customFormat="1" x14ac:dyDescent="0.25">
      <c r="A268" s="28" t="s">
        <v>70</v>
      </c>
      <c r="B268" s="20" t="str">
        <f>CONCATENATE(B92," and ",B114)</f>
        <v>C36983994T (C;T) and A7783504C (A;C)</v>
      </c>
      <c r="C268" s="21" t="str">
        <f>CONCATENATE("&lt;# ",B268," #&gt;")</f>
        <v>&lt;# C36983994T (C;T) and A7783504C (A;C) #&gt;</v>
      </c>
      <c r="K268" s="21" t="str">
        <f t="shared" ref="K268:M268" si="88">K246</f>
        <v>T928G</v>
      </c>
      <c r="L268" s="21" t="str">
        <f t="shared" si="88"/>
        <v>C36983994T</v>
      </c>
      <c r="M268" s="21" t="str">
        <f t="shared" si="88"/>
        <v>A7783504C</v>
      </c>
    </row>
    <row r="269" spans="1:13" x14ac:dyDescent="0.25">
      <c r="A269" s="14" t="s">
        <v>21</v>
      </c>
      <c r="B269" s="15" t="str">
        <f>K184</f>
        <v>NC_000001.10:g.[37325477A&gt;G];[37325477=]</v>
      </c>
      <c r="K269" s="3" t="str">
        <f t="shared" ref="K269:M269" si="89">K247</f>
        <v>NC_000001.10:g.</v>
      </c>
      <c r="L269" s="3" t="str">
        <f t="shared" si="89"/>
        <v>NC_000001.10:g.</v>
      </c>
      <c r="M269" s="3" t="str">
        <f t="shared" si="89"/>
        <v>NC_000002.11:g.</v>
      </c>
    </row>
    <row r="270" spans="1:13" x14ac:dyDescent="0.25">
      <c r="A270" s="14" t="s">
        <v>72</v>
      </c>
      <c r="C270" s="3" t="str">
        <f>CONCATENATE("  &lt;Analysis name=",CHAR(34),B268,CHAR(34))</f>
        <v xml:space="preserve">  &lt;Analysis name="C36983994T (C;T) and A7783504C (A;C)"</v>
      </c>
      <c r="J270" s="3" t="str">
        <f t="shared" ref="J270:M270" si="90">J248</f>
        <v>Variant</v>
      </c>
      <c r="K270" s="3" t="str">
        <f t="shared" si="90"/>
        <v>[37325477A&gt;G]</v>
      </c>
      <c r="L270" s="3" t="str">
        <f t="shared" si="90"/>
        <v>[37449595C&gt;T]</v>
      </c>
      <c r="M270" s="3" t="str">
        <f t="shared" si="90"/>
        <v>[7783504A&gt;C]</v>
      </c>
    </row>
    <row r="271" spans="1:13" x14ac:dyDescent="0.25">
      <c r="A271" s="26" t="s">
        <v>75</v>
      </c>
      <c r="B271" s="15" t="str">
        <f>CONCATENATE("People with this variant have one copy of the ",B31," and ",B40," variants. This substitution of a single nucleotide is known as a missense mutation.")</f>
        <v>People with this variant have one copy of the [C36983994T](https://www.ncbi.nlm.nih.gov/projects/SNP/snp_ref.cgi?rs=3913434) and [A7783504C](https://www.ncbi.nlm.nih.gov/projects/SNP/snp_ref.cgi?rs=270838) variants. This substitution of a single nucleotide is known as a missense mutation.</v>
      </c>
      <c r="C271" s="3" t="str">
        <f>CONCATENATE("            case={  variantCall ",CHAR(40),CHAR(34),L272,CHAR(34),CHAR(41))</f>
        <v xml:space="preserve">            case={  variantCall ("NC_000001.10:g.[37449595C&gt;T];[37449595=]")</v>
      </c>
      <c r="J271" s="3" t="str">
        <f t="shared" ref="J271:M271" si="91">J249</f>
        <v>Wildtype</v>
      </c>
      <c r="K271" s="3" t="str">
        <f t="shared" si="91"/>
        <v>[37325477=]</v>
      </c>
      <c r="L271" s="3" t="str">
        <f t="shared" si="91"/>
        <v>[37449595=]</v>
      </c>
      <c r="M271" s="3" t="str">
        <f t="shared" si="91"/>
        <v>[7783504=]</v>
      </c>
    </row>
    <row r="272" spans="1:13" x14ac:dyDescent="0.25">
      <c r="A272" s="26" t="s">
        <v>28</v>
      </c>
      <c r="B272" s="15" t="s">
        <v>119</v>
      </c>
      <c r="C272" s="3" t="s">
        <v>71</v>
      </c>
      <c r="J272" s="3" t="str">
        <f t="shared" ref="J272:M272" si="92">J250</f>
        <v>Het</v>
      </c>
      <c r="K272" s="3" t="str">
        <f t="shared" si="92"/>
        <v>NC_000001.10:g.[37325477A&gt;G];[37325477=]</v>
      </c>
      <c r="L272" s="3" t="str">
        <f t="shared" si="92"/>
        <v>NC_000001.10:g.[37449595C&gt;T];[37449595=]</v>
      </c>
      <c r="M272" s="3" t="str">
        <f t="shared" si="92"/>
        <v>NC_000002.11:g.[7783504A&gt;C];[7783504=]</v>
      </c>
    </row>
    <row r="273" spans="1:13" x14ac:dyDescent="0.25">
      <c r="A273" s="26" t="s">
        <v>73</v>
      </c>
      <c r="C273" s="3" t="str">
        <f>CONCATENATE("                    variantCall ",CHAR(40),CHAR(34),M272,CHAR(34),CHAR(41))</f>
        <v xml:space="preserve">                    variantCall ("NC_000002.11:g.[7783504A&gt;C];[7783504=]")</v>
      </c>
      <c r="J273" s="3" t="str">
        <f t="shared" ref="J273:M273" si="93">J251</f>
        <v>Homo</v>
      </c>
      <c r="K273" s="3" t="str">
        <f t="shared" si="93"/>
        <v>NC_000001.10:g.[37325477A&gt;G];[37325477A&gt;G]</v>
      </c>
      <c r="L273" s="3" t="str">
        <f t="shared" si="93"/>
        <v>NC_000001.10:g.[37449595C&gt;T];[37449595C&gt;T]</v>
      </c>
      <c r="M273" s="3" t="str">
        <f t="shared" si="93"/>
        <v>NC_000002.11:g.[7783504A&gt;C];[7783504A&gt;C]</v>
      </c>
    </row>
    <row r="274" spans="1:13" x14ac:dyDescent="0.25">
      <c r="A274" s="26"/>
      <c r="J274" s="3" t="str">
        <f t="shared" ref="J274:M274" si="94">J252</f>
        <v>Wildtype</v>
      </c>
      <c r="K274" s="3" t="str">
        <f t="shared" si="94"/>
        <v>NC_000001.10:g.[37325477=];[37325477=]</v>
      </c>
      <c r="L274" s="3" t="str">
        <f t="shared" si="94"/>
        <v>NC_000001.10:g.[37449595=];[37449595=]</v>
      </c>
      <c r="M274" s="3" t="str">
        <f t="shared" si="94"/>
        <v>NC_000002.11:g.[7783504=];[7783504=]</v>
      </c>
    </row>
    <row r="275" spans="1:13" x14ac:dyDescent="0.25">
      <c r="A275" s="26"/>
      <c r="J275" s="3" t="str">
        <f t="shared" ref="J275:M275" si="95">J253</f>
        <v>Het%</v>
      </c>
      <c r="K275" s="3">
        <f t="shared" si="95"/>
        <v>43</v>
      </c>
      <c r="L275" s="3">
        <f t="shared" si="95"/>
        <v>1.8</v>
      </c>
      <c r="M275" s="3">
        <f t="shared" si="95"/>
        <v>15.8</v>
      </c>
    </row>
    <row r="276" spans="1:13" x14ac:dyDescent="0.25">
      <c r="A276" s="26"/>
      <c r="C276" s="3" t="str">
        <f>CONCATENATE("                  } &gt; ")</f>
        <v xml:space="preserve">                  } &gt; </v>
      </c>
      <c r="J276" s="3" t="str">
        <f t="shared" ref="J276:M276" si="96">J254</f>
        <v>Homo%</v>
      </c>
      <c r="K276" s="3">
        <f t="shared" si="96"/>
        <v>19.899999999999999</v>
      </c>
      <c r="L276" s="3">
        <f t="shared" si="96"/>
        <v>0.5</v>
      </c>
      <c r="M276" s="3">
        <f t="shared" si="96"/>
        <v>4.7</v>
      </c>
    </row>
    <row r="277" spans="1:13" x14ac:dyDescent="0.25">
      <c r="A277" s="14"/>
      <c r="J277" s="3" t="str">
        <f t="shared" ref="J277:M277" si="97">J255</f>
        <v>Wildtype%</v>
      </c>
      <c r="K277" s="3">
        <f t="shared" si="97"/>
        <v>37.1</v>
      </c>
      <c r="L277" s="3">
        <f t="shared" si="97"/>
        <v>97.8</v>
      </c>
      <c r="M277" s="3">
        <f t="shared" si="97"/>
        <v>79.5</v>
      </c>
    </row>
    <row r="278" spans="1:13" x14ac:dyDescent="0.25">
      <c r="A278" s="14"/>
      <c r="C278" s="3" t="s">
        <v>26</v>
      </c>
    </row>
    <row r="279" spans="1:13" x14ac:dyDescent="0.25">
      <c r="A279" s="14"/>
    </row>
    <row r="280" spans="1:13" x14ac:dyDescent="0.25">
      <c r="A280" s="14"/>
      <c r="C280" s="3" t="str">
        <f>CONCATENATE("    ",B271)</f>
        <v xml:space="preserve">    People with this variant have one copy of the [C36983994T](https://www.ncbi.nlm.nih.gov/projects/SNP/snp_ref.cgi?rs=3913434) and [A7783504C](https://www.ncbi.nlm.nih.gov/projects/SNP/snp_ref.cgi?rs=270838) variants. This substitution of a single nucleotide is known as a missense mutation.</v>
      </c>
    </row>
    <row r="281" spans="1:13" x14ac:dyDescent="0.25">
      <c r="A281" s="14"/>
    </row>
    <row r="282" spans="1:13" x14ac:dyDescent="0.25">
      <c r="A282" s="26"/>
      <c r="C282" s="3" t="s">
        <v>29</v>
      </c>
    </row>
    <row r="283" spans="1:13" x14ac:dyDescent="0.25">
      <c r="A283" s="26"/>
    </row>
    <row r="284" spans="1:13" x14ac:dyDescent="0.25">
      <c r="A284" s="26"/>
      <c r="C284" s="3" t="str">
        <f>CONCATENATE(B272)</f>
        <v xml:space="preserve">    There is currently no data on the interaction between these variants.  However, some information exists on the individual variants.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285" spans="1:13" x14ac:dyDescent="0.25">
      <c r="A285" s="26"/>
    </row>
    <row r="286" spans="1:13" x14ac:dyDescent="0.25">
      <c r="A286" s="26"/>
      <c r="C286" s="3" t="s">
        <v>30</v>
      </c>
    </row>
    <row r="287" spans="1:13" x14ac:dyDescent="0.25">
      <c r="A287" s="26"/>
    </row>
    <row r="288" spans="1:13" x14ac:dyDescent="0.25">
      <c r="A288" s="26"/>
      <c r="C288" s="3" t="str">
        <f>CONCATENATE( "    &lt;piechart percentage=",B273," /&gt;")</f>
        <v xml:space="preserve">    &lt;piechart percentage= /&gt;</v>
      </c>
    </row>
    <row r="289" spans="1:13" x14ac:dyDescent="0.25">
      <c r="A289" s="26"/>
      <c r="C289" s="3" t="str">
        <f>"  &lt;/Analysis&gt;"</f>
        <v xml:space="preserve">  &lt;/Analysis&gt;</v>
      </c>
      <c r="K289" s="3" t="str">
        <f t="shared" ref="K289:M289" si="98">K135</f>
        <v>rs6691840</v>
      </c>
      <c r="L289" s="3" t="str">
        <f t="shared" si="98"/>
        <v>rs3913434</v>
      </c>
      <c r="M289" s="3" t="str">
        <f t="shared" si="98"/>
        <v>rs270838</v>
      </c>
    </row>
    <row r="290" spans="1:13" s="21" customFormat="1" x14ac:dyDescent="0.25">
      <c r="A290" s="28" t="s">
        <v>70</v>
      </c>
      <c r="B290" s="20" t="s">
        <v>85</v>
      </c>
      <c r="C290" s="21" t="str">
        <f>CONCATENATE("&lt;# ",B290," #&gt;")</f>
        <v>&lt;# Wild type #&gt;</v>
      </c>
      <c r="K290" s="21" t="str">
        <f t="shared" ref="K290:M290" si="99">K136</f>
        <v>T928G</v>
      </c>
      <c r="L290" s="21" t="str">
        <f t="shared" si="99"/>
        <v>C36983994T</v>
      </c>
      <c r="M290" s="21" t="str">
        <f t="shared" si="99"/>
        <v>A7783504C</v>
      </c>
    </row>
    <row r="291" spans="1:13" x14ac:dyDescent="0.25">
      <c r="A291" s="14" t="s">
        <v>21</v>
      </c>
      <c r="B291" s="15" t="str">
        <f>K54</f>
        <v>NC_000001.10:g.[37325477=];[37325477=]</v>
      </c>
      <c r="K291" s="3" t="str">
        <f t="shared" ref="K291:M291" si="100">K137</f>
        <v>NC_000001.10:g.</v>
      </c>
      <c r="L291" s="3" t="str">
        <f t="shared" si="100"/>
        <v>NC_000001.10:g.</v>
      </c>
      <c r="M291" s="3" t="str">
        <f t="shared" si="100"/>
        <v>NC_000002.11:g.</v>
      </c>
    </row>
    <row r="292" spans="1:13" x14ac:dyDescent="0.25">
      <c r="A292" s="14" t="s">
        <v>72</v>
      </c>
      <c r="B292" s="15" t="str">
        <f>L54</f>
        <v>NC_000001.10:g.[37449595=];[37449595=]</v>
      </c>
      <c r="C292" s="3" t="str">
        <f>CONCATENATE("  &lt;Analysis name=",CHAR(34),B290,CHAR(34))</f>
        <v xml:space="preserve">  &lt;Analysis name="Wild type"</v>
      </c>
      <c r="J292" s="3" t="str">
        <f t="shared" ref="J292:M292" si="101">J138</f>
        <v>Variant</v>
      </c>
      <c r="K292" s="3" t="str">
        <f t="shared" si="101"/>
        <v>[37325477A&gt;G]</v>
      </c>
      <c r="L292" s="3" t="str">
        <f t="shared" si="101"/>
        <v>[37449595C&gt;T]</v>
      </c>
      <c r="M292" s="3" t="str">
        <f t="shared" si="101"/>
        <v>[7783504A&gt;C]</v>
      </c>
    </row>
    <row r="293" spans="1:13" x14ac:dyDescent="0.25">
      <c r="A293" s="26" t="s">
        <v>75</v>
      </c>
      <c r="B293" s="15" t="str">
        <f>CONCATENATE("Your ",B12," gene has no variants. A normal gene is referred to as a ",CHAR(34),"wild-type",CHAR(34)," gene.")</f>
        <v>Your GRIK3 gene has no variants. A normal gene is referred to as a "wild-type" gene.</v>
      </c>
      <c r="C293" s="3" t="str">
        <f>CONCATENATE("            case={  variantCall ",CHAR(40),CHAR(34),B291,CHAR(34),CHAR(41))</f>
        <v xml:space="preserve">            case={  variantCall ("NC_000001.10:g.[37325477=];[37325477=]")</v>
      </c>
      <c r="J293" s="3" t="str">
        <f t="shared" ref="J293:M293" si="102">J139</f>
        <v>Wildtype</v>
      </c>
      <c r="K293" s="3" t="str">
        <f t="shared" si="102"/>
        <v>[37325477=]</v>
      </c>
      <c r="L293" s="3" t="str">
        <f t="shared" si="102"/>
        <v>[37449595=]</v>
      </c>
      <c r="M293" s="3" t="str">
        <f t="shared" si="102"/>
        <v>[7783504=]</v>
      </c>
    </row>
    <row r="294" spans="1:13" x14ac:dyDescent="0.25">
      <c r="A294" s="26" t="s">
        <v>28</v>
      </c>
      <c r="C294" s="3" t="s">
        <v>71</v>
      </c>
      <c r="J294" s="3" t="str">
        <f t="shared" ref="J294:M294" si="103">J140</f>
        <v>Het</v>
      </c>
      <c r="K294" s="3" t="str">
        <f t="shared" si="103"/>
        <v>NC_000001.10:g.[37325477A&gt;G];[37325477=]</v>
      </c>
      <c r="L294" s="3" t="str">
        <f t="shared" si="103"/>
        <v>NC_000001.10:g.[37449595C&gt;T];[37449595=]</v>
      </c>
      <c r="M294" s="3" t="str">
        <f t="shared" si="103"/>
        <v>NC_000002.11:g.[7783504A&gt;C];[7783504=]</v>
      </c>
    </row>
    <row r="295" spans="1:13" x14ac:dyDescent="0.25">
      <c r="A295" s="26" t="s">
        <v>73</v>
      </c>
      <c r="C295" s="3" t="str">
        <f>CONCATENATE("                    ",CHAR(40),"variantCall ",CHAR(40),CHAR(34),L295,CHAR(34),CHAR(41)," or variantCall ",CHAR(40),CHAR(34),L296,CHAR(34),CHAR(41),CHAR(41))</f>
        <v xml:space="preserve">                    (variantCall ("NC_000001.10:g.[37449595C&gt;T];[37449595C&gt;T]") or variantCall ("NC_000001.10:g.[37449595=];[37449595=]"))</v>
      </c>
      <c r="J295" s="3" t="str">
        <f t="shared" ref="J295:M295" si="104">J141</f>
        <v>Homo</v>
      </c>
      <c r="K295" s="3" t="str">
        <f t="shared" si="104"/>
        <v>NC_000001.10:g.[37325477A&gt;G];[37325477A&gt;G]</v>
      </c>
      <c r="L295" s="3" t="str">
        <f t="shared" si="104"/>
        <v>NC_000001.10:g.[37449595C&gt;T];[37449595C&gt;T]</v>
      </c>
      <c r="M295" s="3" t="str">
        <f t="shared" si="104"/>
        <v>NC_000002.11:g.[7783504A&gt;C];[7783504A&gt;C]</v>
      </c>
    </row>
    <row r="296" spans="1:13" x14ac:dyDescent="0.25">
      <c r="A296" s="26"/>
      <c r="C296" s="3" t="s">
        <v>71</v>
      </c>
      <c r="J296" s="3" t="str">
        <f t="shared" ref="J296:M296" si="105">J142</f>
        <v>Wildtype</v>
      </c>
      <c r="K296" s="3" t="str">
        <f t="shared" si="105"/>
        <v>NC_000001.10:g.[37325477=];[37325477=]</v>
      </c>
      <c r="L296" s="3" t="str">
        <f t="shared" si="105"/>
        <v>NC_000001.10:g.[37449595=];[37449595=]</v>
      </c>
      <c r="M296" s="3" t="str">
        <f t="shared" si="105"/>
        <v>NC_000002.11:g.[7783504=];[7783504=]</v>
      </c>
    </row>
    <row r="297" spans="1:13" x14ac:dyDescent="0.25">
      <c r="A297" s="26"/>
      <c r="C297" s="3" t="str">
        <f>CONCATENATE("                    ",CHAR(40),"variantCall ",CHAR(40),CHAR(34),M295,CHAR(34),CHAR(41)," or variantCall ",CHAR(40),CHAR(34),M296,CHAR(34),CHAR(41),CHAR(41))</f>
        <v xml:space="preserve">                    (variantCall ("NC_000002.11:g.[7783504A&gt;C];[7783504A&gt;C]") or variantCall ("NC_000002.11:g.[7783504=];[7783504=]"))</v>
      </c>
      <c r="J297" s="3" t="str">
        <f t="shared" ref="J297:M297" si="106">J143</f>
        <v>Het%</v>
      </c>
      <c r="K297" s="3">
        <f t="shared" si="106"/>
        <v>43</v>
      </c>
      <c r="L297" s="3">
        <f t="shared" si="106"/>
        <v>1.8</v>
      </c>
      <c r="M297" s="3">
        <f t="shared" si="106"/>
        <v>15.8</v>
      </c>
    </row>
    <row r="298" spans="1:13" x14ac:dyDescent="0.25">
      <c r="A298" s="26"/>
      <c r="C298" s="3" t="str">
        <f>CONCATENATE("                  } &gt; ")</f>
        <v xml:space="preserve">                  } &gt; </v>
      </c>
      <c r="J298" s="3" t="str">
        <f t="shared" ref="J298:M298" si="107">J144</f>
        <v>Homo%</v>
      </c>
      <c r="K298" s="3">
        <f t="shared" si="107"/>
        <v>19.899999999999999</v>
      </c>
      <c r="L298" s="3">
        <f t="shared" si="107"/>
        <v>0.5</v>
      </c>
      <c r="M298" s="3">
        <f t="shared" si="107"/>
        <v>4.7</v>
      </c>
    </row>
    <row r="299" spans="1:13" x14ac:dyDescent="0.25">
      <c r="A299" s="14"/>
      <c r="J299" s="3" t="str">
        <f t="shared" ref="J299:M299" si="108">J145</f>
        <v>Wildtype%</v>
      </c>
      <c r="K299" s="3">
        <f t="shared" si="108"/>
        <v>37.1</v>
      </c>
      <c r="L299" s="3">
        <f t="shared" si="108"/>
        <v>97.8</v>
      </c>
      <c r="M299" s="3">
        <f t="shared" si="108"/>
        <v>79.5</v>
      </c>
    </row>
    <row r="300" spans="1:13" x14ac:dyDescent="0.25">
      <c r="A300" s="14"/>
      <c r="C300" s="3" t="s">
        <v>26</v>
      </c>
    </row>
    <row r="301" spans="1:13" x14ac:dyDescent="0.25">
      <c r="A301" s="14"/>
    </row>
    <row r="302" spans="1:13" x14ac:dyDescent="0.25">
      <c r="A302" s="26"/>
      <c r="C302" s="3" t="str">
        <f>CONCATENATE("    ",B293)</f>
        <v xml:space="preserve">    Your GRIK3 gene has no variants. A normal gene is referred to as a "wild-type" gene.</v>
      </c>
    </row>
    <row r="303" spans="1:13" x14ac:dyDescent="0.25">
      <c r="A303" s="26"/>
    </row>
    <row r="304" spans="1:13" x14ac:dyDescent="0.25">
      <c r="A304" s="26"/>
      <c r="C304" s="3" t="s">
        <v>30</v>
      </c>
    </row>
    <row r="305" spans="1:3" x14ac:dyDescent="0.25">
      <c r="A305" s="26"/>
    </row>
    <row r="306" spans="1:3" x14ac:dyDescent="0.25">
      <c r="A306" s="26"/>
      <c r="C306" s="3" t="str">
        <f>CONCATENATE( "    &lt;piechart percentage=",B295," /&gt;")</f>
        <v xml:space="preserve">    &lt;piechart percentage= /&gt;</v>
      </c>
    </row>
    <row r="307" spans="1:3" x14ac:dyDescent="0.25">
      <c r="A307" s="26"/>
      <c r="C307" s="3" t="str">
        <f>"  &lt;/Analysis&gt;"</f>
        <v xml:space="preserve">  &lt;/Analysis&gt;</v>
      </c>
    </row>
    <row r="308" spans="1:3" s="21" customFormat="1" x14ac:dyDescent="0.25">
      <c r="A308" s="28" t="s">
        <v>70</v>
      </c>
      <c r="B308" s="20" t="s">
        <v>86</v>
      </c>
      <c r="C308" s="21" t="str">
        <f>CONCATENATE("&lt;# ",B308," #&gt;")</f>
        <v>&lt;# Unknown #&gt;</v>
      </c>
    </row>
    <row r="309" spans="1:3" x14ac:dyDescent="0.25">
      <c r="A309" s="14" t="s">
        <v>21</v>
      </c>
      <c r="B309" s="15" t="str">
        <f>K72</f>
        <v>[37325477A&gt;G]</v>
      </c>
    </row>
    <row r="310" spans="1:3" x14ac:dyDescent="0.25">
      <c r="A310" s="14" t="s">
        <v>72</v>
      </c>
      <c r="C310" s="3" t="str">
        <f>CONCATENATE("  &lt;Analysis name=",CHAR(34),B308,CHAR(34), " case=true&gt;")</f>
        <v xml:space="preserve">  &lt;Analysis name="Unknown" case=true&gt;</v>
      </c>
    </row>
    <row r="311" spans="1:3" x14ac:dyDescent="0.25">
      <c r="A311" s="26" t="s">
        <v>75</v>
      </c>
      <c r="B311" s="15" t="s">
        <v>31</v>
      </c>
    </row>
    <row r="312" spans="1:3" x14ac:dyDescent="0.25">
      <c r="A312" s="26" t="s">
        <v>73</v>
      </c>
      <c r="B312" s="15">
        <v>0</v>
      </c>
      <c r="C312" s="3" t="s">
        <v>26</v>
      </c>
    </row>
    <row r="313" spans="1:3" x14ac:dyDescent="0.25">
      <c r="A313" s="26"/>
    </row>
    <row r="314" spans="1:3" x14ac:dyDescent="0.25">
      <c r="A314" s="14"/>
      <c r="C314" s="3" t="str">
        <f>CONCATENATE("    ",B311)</f>
        <v xml:space="preserve">    The effect is unknown.</v>
      </c>
    </row>
    <row r="315" spans="1:3" x14ac:dyDescent="0.25">
      <c r="A315" s="14"/>
    </row>
    <row r="316" spans="1:3" x14ac:dyDescent="0.25">
      <c r="A316" s="14"/>
      <c r="C316" s="3" t="s">
        <v>30</v>
      </c>
    </row>
    <row r="317" spans="1:3" x14ac:dyDescent="0.25">
      <c r="A317" s="26"/>
    </row>
    <row r="318" spans="1:3" x14ac:dyDescent="0.25">
      <c r="A318" s="26"/>
      <c r="C318" s="3" t="str">
        <f>CONCATENATE( "    &lt;piechart percentage=",B312," /&gt;")</f>
        <v xml:space="preserve">    &lt;piechart percentage=0 /&gt;</v>
      </c>
    </row>
    <row r="319" spans="1:3" x14ac:dyDescent="0.25">
      <c r="A319" s="26"/>
      <c r="C319" s="3" t="str">
        <f>"  &lt;/Analysis&gt;"</f>
        <v xml:space="preserve">  &lt;/Analysis&gt;</v>
      </c>
    </row>
    <row r="320" spans="1:3" x14ac:dyDescent="0.25">
      <c r="A320" s="14"/>
      <c r="C320" s="31" t="s">
        <v>78</v>
      </c>
    </row>
    <row r="321" spans="1:3" s="21" customFormat="1" x14ac:dyDescent="0.25">
      <c r="A321" s="19"/>
      <c r="B321" s="20"/>
      <c r="C321" s="35"/>
    </row>
    <row r="322" spans="1:3" x14ac:dyDescent="0.25">
      <c r="A322" s="14" t="s">
        <v>79</v>
      </c>
      <c r="B322" s="15" t="s">
        <v>125</v>
      </c>
      <c r="C322" s="10" t="str">
        <f>CONCATENATE("&lt;# ",A322," ",B322," #&gt;")</f>
        <v>&lt;# Tissues brain D001921 #&gt;</v>
      </c>
    </row>
    <row r="323" spans="1:3" x14ac:dyDescent="0.25">
      <c r="A323" s="14"/>
    </row>
    <row r="324" spans="1:3" x14ac:dyDescent="0.25">
      <c r="A324" s="14"/>
      <c r="B324" s="15" t="s">
        <v>126</v>
      </c>
      <c r="C324" s="31" t="str">
        <f>CONCATENATE("&lt;TopicBar ",B324," /&gt;")</f>
        <v>&lt;TopicBar brain /&gt;</v>
      </c>
    </row>
    <row r="325" spans="1:3" x14ac:dyDescent="0.25">
      <c r="A325" s="14"/>
    </row>
    <row r="326" spans="1:3" x14ac:dyDescent="0.25">
      <c r="A326" s="14" t="s">
        <v>32</v>
      </c>
      <c r="B326" s="15" t="s">
        <v>121</v>
      </c>
      <c r="C326" s="10" t="str">
        <f>CONCATENATE("&lt;# ",A326," ",B326," #&gt;")</f>
        <v>&lt;# Symptoms depression, stress, problems with thinking or memory, brain fog, pain #&gt;</v>
      </c>
    </row>
    <row r="327" spans="1:3" x14ac:dyDescent="0.25">
      <c r="A327" s="14"/>
    </row>
    <row r="328" spans="1:3" x14ac:dyDescent="0.25">
      <c r="A328" s="14"/>
      <c r="B328" s="15" t="s">
        <v>122</v>
      </c>
      <c r="C328" s="31" t="str">
        <f>CONCATENATE("&lt;TopicBar ",B328," /&gt;")</f>
        <v>&lt;TopicBar mesh_D003863 mesh_D040701 mesh_D008569 mesh_D010146 /&gt;</v>
      </c>
    </row>
    <row r="329" spans="1:3" x14ac:dyDescent="0.25">
      <c r="A329" s="14"/>
      <c r="C329" s="31"/>
    </row>
    <row r="330" spans="1:3" x14ac:dyDescent="0.25">
      <c r="A330" s="14" t="s">
        <v>48</v>
      </c>
      <c r="B330" s="15" t="s">
        <v>123</v>
      </c>
      <c r="C330" s="10" t="str">
        <f>CONCATENATE("&lt;# ",A330," ",B330," #&gt;")</f>
        <v>&lt;# Diseases schizophrenia D012559; major depressive disorder D003866; ME/CFS D015673;  #&gt;</v>
      </c>
    </row>
    <row r="331" spans="1:3" x14ac:dyDescent="0.25">
      <c r="A331" s="14"/>
    </row>
    <row r="332" spans="1:3" x14ac:dyDescent="0.25">
      <c r="A332" s="14"/>
      <c r="B332" s="15" t="s">
        <v>124</v>
      </c>
      <c r="C332" s="31" t="str">
        <f>CONCATENATE("&lt;TopicBar ",B332," /&gt;")</f>
        <v>&lt;TopicBar mesh_D012559 mesh_D003866 mesh_D015673 /&gt;</v>
      </c>
    </row>
    <row r="333" spans="1:3" x14ac:dyDescent="0.25">
      <c r="A333" s="14"/>
    </row>
    <row r="334" spans="1:3" s="21" customFormat="1" x14ac:dyDescent="0.25">
      <c r="A334" s="28"/>
      <c r="B334" s="20"/>
    </row>
    <row r="335" spans="1:3" x14ac:dyDescent="0.25">
      <c r="B335" s="30"/>
    </row>
    <row r="337" spans="2:2" x14ac:dyDescent="0.25">
      <c r="B337" s="30"/>
    </row>
    <row r="339" spans="2:2" x14ac:dyDescent="0.25">
      <c r="B339" s="30"/>
    </row>
    <row r="341" spans="2:2" x14ac:dyDescent="0.25">
      <c r="B341" s="30"/>
    </row>
    <row r="343" spans="2:2" x14ac:dyDescent="0.25">
      <c r="B343" s="3"/>
    </row>
    <row r="345" spans="2:2" x14ac:dyDescent="0.25">
      <c r="B345" s="3"/>
    </row>
    <row r="1017" spans="3:3" x14ac:dyDescent="0.25">
      <c r="C1017" s="3" t="str">
        <f>CONCATENATE("    This variant is a change at a specific point in the ",B1008," gene from ",B1017," to ",B1018," resulting in incorrect ",B1011,"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3" spans="3:3" x14ac:dyDescent="0.25">
      <c r="C1023" s="3" t="str">
        <f>CONCATENATE("    This variant is a change at a specific point in the ",B1008," gene from ",B1023," to ",B1024," resulting in incorrect ",B1011,"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3" spans="3:3" x14ac:dyDescent="0.25">
      <c r="C1153" s="3" t="str">
        <f>CONCATENATE("    This variant is a change at a specific point in the ",B1144," gene from ",B1153," to ",B1154," resulting in incorrect ",B1147,"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9" spans="3:3" x14ac:dyDescent="0.25">
      <c r="C1159" s="3" t="str">
        <f>CONCATENATE("    This variant is a change at a specific point in the ",B1144," gene from ",B1159," to ",B1160," resulting in incorrect ",B1147,"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1" spans="3:3" x14ac:dyDescent="0.25">
      <c r="C1561" s="3" t="str">
        <f>CONCATENATE("    This variant is a change at a specific point in the ",B1552," gene from ",B1561," to ",B1562," resulting in incorrect ",B1555,"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7" spans="3:3" x14ac:dyDescent="0.25">
      <c r="C1567" s="3" t="str">
        <f>CONCATENATE("    This variant is a change at a specific point in the ",B1552," gene from ",B1567," to ",B1568," resulting in incorrect ",B1555,"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97" spans="3:3" x14ac:dyDescent="0.25">
      <c r="C1697" s="3" t="str">
        <f>CONCATENATE("    This variant is a change at a specific point in the ",B1688," gene from ",B1697," to ",B1698," resulting in incorrect ",B1691,"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3" spans="3:3" x14ac:dyDescent="0.25">
      <c r="C1703" s="3" t="str">
        <f>CONCATENATE("    This variant is a change at a specific point in the ",B1688," gene from ",B1703," to ",B1704," resulting in incorrect ",B1691,"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3" spans="3:3" x14ac:dyDescent="0.25">
      <c r="C1833" s="3" t="str">
        <f>CONCATENATE("    This variant is a change at a specific point in the ",B1824," gene from ",B1833," to ",B1834," resulting in incorrect ",B1827,"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9" spans="3:3" x14ac:dyDescent="0.25">
      <c r="C1839" s="3" t="str">
        <f>CONCATENATE("    This variant is a change at a specific point in the ",B1824," gene from ",B1839," to ",B1840," resulting in incorrect ",B1827,"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69" spans="3:3" x14ac:dyDescent="0.25">
      <c r="C1969" s="3" t="str">
        <f>CONCATENATE("    This variant is a change at a specific point in the ",B1960," gene from ",B1969," to ",B1970," resulting in incorrect ",B1963,"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5" spans="3:3" x14ac:dyDescent="0.25">
      <c r="C1975" s="3" t="str">
        <f>CONCATENATE("    This variant is a change at a specific point in the ",B1960," gene from ",B1975," to ",B1976," resulting in incorrect ",B1963,"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5" spans="3:3" x14ac:dyDescent="0.25">
      <c r="C2105" s="3" t="str">
        <f>CONCATENATE("    This variant is a change at a specific point in the ",B2096," gene from ",B2105," to ",B2106," resulting in incorrect ",B2099,"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1" spans="3:3" x14ac:dyDescent="0.25">
      <c r="C2111" s="3" t="str">
        <f>CONCATENATE("    This variant is a change at a specific point in the ",B2096," gene from ",B2111," to ",B2112," resulting in incorrect ",B2099,"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1" spans="3:3" x14ac:dyDescent="0.25">
      <c r="C2241" s="3" t="str">
        <f>CONCATENATE("    This variant is a change at a specific point in the ",B2232," gene from ",B2241," to ",B2242," resulting in incorrect ",B2235,"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7" spans="3:3" x14ac:dyDescent="0.25">
      <c r="C2247" s="3" t="str">
        <f>CONCATENATE("    This variant is a change at a specific point in the ",B2232," gene from ",B2247," to ",B2248," resulting in incorrect ",B2235,"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77" spans="3:3" x14ac:dyDescent="0.25">
      <c r="C2377" s="3" t="str">
        <f>CONCATENATE("    This variant is a change at a specific point in the ",B2368," gene from ",B2377," to ",B2378," resulting in incorrect ",B2371,"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3" spans="3:3" x14ac:dyDescent="0.25">
      <c r="C2383" s="3" t="str">
        <f>CONCATENATE("    This variant is a change at a specific point in the ",B2368," gene from ",B2383," to ",B2384," resulting in incorrect ",B2371,"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3" spans="3:3" x14ac:dyDescent="0.25">
      <c r="C2513" s="3" t="str">
        <f>CONCATENATE("    This variant is a change at a specific point in the ",B2504," gene from ",B2513," to ",B2514," resulting in incorrect ",B2507,"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9" spans="3:3" x14ac:dyDescent="0.25">
      <c r="C2519" s="3" t="str">
        <f>CONCATENATE("    This variant is a change at a specific point in the ",B2504," gene from ",B2519," to ",B2520," resulting in incorrect ",B2507,"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5800-0380-458E-9056-58818A8D8CB2}">
  <dimension ref="A1:AJ2563"/>
  <sheetViews>
    <sheetView topLeftCell="A363" workbookViewId="0">
      <selection activeCell="C334" sqref="C334:C376"/>
    </sheetView>
  </sheetViews>
  <sheetFormatPr defaultRowHeight="15.75" x14ac:dyDescent="0.25"/>
  <cols>
    <col min="1" max="1" width="16.28515625" style="3" customWidth="1"/>
    <col min="2" max="2" width="58.28515625" style="15" customWidth="1"/>
    <col min="3" max="6" width="9.140625" style="3"/>
    <col min="7" max="7" width="10.28515625" style="3" bestFit="1" customWidth="1"/>
    <col min="8" max="8" width="13" style="3" customWidth="1"/>
    <col min="9" max="9" width="13.4257812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8" t="s">
        <v>0</v>
      </c>
      <c r="B1" s="9" t="s">
        <v>1</v>
      </c>
      <c r="C1" s="8" t="s">
        <v>2</v>
      </c>
      <c r="H1" s="10"/>
      <c r="I1" s="11"/>
      <c r="J1" s="10"/>
      <c r="K1" s="10"/>
      <c r="L1" s="10"/>
      <c r="Y1" s="12"/>
      <c r="AC1" s="12"/>
      <c r="AF1" s="13"/>
      <c r="AG1" s="13"/>
      <c r="AJ1" s="13"/>
    </row>
    <row r="2" spans="1:36" x14ac:dyDescent="0.25">
      <c r="A2" s="14" t="s">
        <v>35</v>
      </c>
      <c r="B2" s="15" t="s">
        <v>207</v>
      </c>
      <c r="C2" s="3" t="str">
        <f>CONCATENATE("&lt;",A2," ",B2," /&gt;")</f>
        <v>&lt;Gene_Name CHRNB4 /&gt;</v>
      </c>
      <c r="D2" s="15"/>
      <c r="H2" s="10"/>
      <c r="I2" s="11"/>
      <c r="J2" s="10"/>
      <c r="K2" s="10"/>
      <c r="L2" s="10"/>
      <c r="Y2" s="12"/>
      <c r="AC2" s="12"/>
      <c r="AF2" s="13"/>
      <c r="AG2" s="13"/>
      <c r="AJ2" s="13"/>
    </row>
    <row r="3" spans="1:36" x14ac:dyDescent="0.25">
      <c r="A3" s="8"/>
      <c r="B3" s="9"/>
      <c r="C3" s="8"/>
      <c r="D3" s="15"/>
      <c r="H3" s="10"/>
      <c r="I3" s="11"/>
      <c r="J3" s="10"/>
      <c r="K3" s="10"/>
      <c r="L3" s="10"/>
      <c r="Y3" s="12"/>
      <c r="AC3" s="12"/>
      <c r="AF3" s="13"/>
      <c r="AG3" s="13"/>
      <c r="AJ3" s="13"/>
    </row>
    <row r="4" spans="1:36" x14ac:dyDescent="0.25">
      <c r="A4" s="14" t="s">
        <v>37</v>
      </c>
      <c r="B4" s="15" t="s">
        <v>208</v>
      </c>
      <c r="C4" s="3" t="str">
        <f>CONCATENATE("&lt;",A4," ",B4," /&gt;")</f>
        <v>&lt;GeneName_full neuronal acetylcholine receptor subunit beta-4 /&gt;</v>
      </c>
      <c r="D4" s="15"/>
      <c r="H4" s="10"/>
      <c r="I4" s="11"/>
      <c r="J4" s="10"/>
      <c r="K4" s="10"/>
      <c r="L4" s="10"/>
      <c r="Y4" s="12"/>
      <c r="AC4" s="12"/>
      <c r="AF4" s="13"/>
      <c r="AG4" s="13"/>
      <c r="AJ4" s="13"/>
    </row>
    <row r="5" spans="1:36" x14ac:dyDescent="0.25">
      <c r="A5" s="14"/>
      <c r="B5" s="9"/>
      <c r="C5" s="8"/>
      <c r="D5" s="15"/>
      <c r="H5" s="10"/>
      <c r="I5" s="11"/>
      <c r="J5" s="10"/>
      <c r="K5" s="10"/>
      <c r="L5" s="10"/>
      <c r="Y5" s="12"/>
      <c r="AC5" s="12"/>
      <c r="AF5" s="13"/>
      <c r="AG5" s="13"/>
      <c r="AJ5" s="13"/>
    </row>
    <row r="6" spans="1:36" x14ac:dyDescent="0.25">
      <c r="A6" s="14"/>
      <c r="B6" s="3"/>
      <c r="C6" s="3" t="str">
        <f>CONCATENATE("# What does the ",B2," gene do?")</f>
        <v># What does the CHRNB4 gene do?</v>
      </c>
      <c r="H6" s="10"/>
      <c r="I6" s="11"/>
      <c r="J6" s="10"/>
      <c r="K6" s="10"/>
      <c r="L6" s="10"/>
      <c r="Y6" s="16"/>
      <c r="Z6" s="16"/>
      <c r="AA6" s="16"/>
      <c r="AC6" s="16"/>
      <c r="AF6" s="13"/>
      <c r="AJ6" s="13"/>
    </row>
    <row r="7" spans="1:36" x14ac:dyDescent="0.25">
      <c r="A7" s="14"/>
      <c r="I7" s="17"/>
      <c r="Y7" s="16"/>
      <c r="Z7" s="16"/>
      <c r="AA7" s="16"/>
      <c r="AC7" s="16"/>
      <c r="AF7" s="13"/>
      <c r="AJ7" s="13"/>
    </row>
    <row r="8" spans="1:36" x14ac:dyDescent="0.25">
      <c r="A8" s="14" t="s">
        <v>5</v>
      </c>
      <c r="B8" s="37" t="s">
        <v>215</v>
      </c>
      <c r="C8" s="3" t="str">
        <f>CONCATENATE(B8," This gene is located on chromosome ",B9,".")</f>
        <v>The [CHRNB4](http://www.uniprot.org/uniprot/P30926) gene creates a protein that is part of [nicotine receptor](https://www.ncbi.nlm.nih.gov/gene/1143). It also affects muscle contraction and the function of neurons. Variants in CHRNB4 have been linked to an increased risk of [lung cancer](https://www.ncbi.nlm.nih.gov/pubmed/18385738?dopt=Abstract) and [nicotine dependence](https://www.ncbi.nlm.nih.gov/pubmed/19443489). For ME/CFS patients, variants are associated with [severe cognitive and sleep symptoms](https://www.ncbi.nlm.nih.gov/pubmed/28633629) and decreased function of [natural killer cells (NKC)](https://www.ncbi.nlm.nih.gov/pubmed/27099524), a type of white blood cell that helps the body respond to viral infections. This gene is located on chromosome 15.</v>
      </c>
      <c r="I8" s="17"/>
      <c r="X8" s="18"/>
      <c r="Y8" s="16"/>
      <c r="Z8" s="16"/>
      <c r="AA8" s="16"/>
      <c r="AC8" s="16"/>
    </row>
    <row r="9" spans="1:36" x14ac:dyDescent="0.25">
      <c r="A9" s="14" t="s">
        <v>6</v>
      </c>
      <c r="B9" s="2">
        <v>15</v>
      </c>
      <c r="I9" s="17"/>
      <c r="Y9" s="16"/>
      <c r="Z9" s="16"/>
      <c r="AA9" s="16"/>
      <c r="AC9" s="16"/>
    </row>
    <row r="10" spans="1:36" x14ac:dyDescent="0.25">
      <c r="A10" s="14" t="s">
        <v>7</v>
      </c>
      <c r="B10" s="2" t="s">
        <v>40</v>
      </c>
      <c r="Y10" s="12"/>
      <c r="AC10" s="16"/>
    </row>
    <row r="11" spans="1:36" s="21" customFormat="1" ht="16.5" thickBot="1" x14ac:dyDescent="0.3">
      <c r="A11" s="19"/>
      <c r="B11" s="20"/>
    </row>
    <row r="12" spans="1:36" ht="16.5" thickBot="1" x14ac:dyDescent="0.3">
      <c r="A12" s="14" t="s">
        <v>3</v>
      </c>
      <c r="B12" s="15" t="s">
        <v>207</v>
      </c>
      <c r="C12" s="3" t="str">
        <f>CONCATENATE("&lt;GeneMap name= ",CHAR(34),B12,CHAR(34)," interval=",CHAR(34),B13,"=",CHAR(34),"&gt;")</f>
        <v>&lt;GeneMap name= "CHRNB4" interval="NC_000015.9:g.78916636_78933587="&gt;</v>
      </c>
      <c r="J12" s="23"/>
      <c r="K12" s="23"/>
      <c r="L12" s="23"/>
      <c r="M12" s="23"/>
      <c r="N12" s="23"/>
      <c r="O12" s="24"/>
      <c r="P12" s="25"/>
      <c r="Q12" s="24"/>
      <c r="R12" s="24"/>
      <c r="S12" s="25"/>
      <c r="T12" s="25"/>
      <c r="U12" s="24"/>
      <c r="V12" s="24"/>
      <c r="W12" s="25"/>
      <c r="X12" s="25"/>
      <c r="Y12" s="25"/>
      <c r="Z12" s="25"/>
    </row>
    <row r="13" spans="1:36" x14ac:dyDescent="0.25">
      <c r="A13" s="14" t="s">
        <v>9</v>
      </c>
      <c r="B13" t="s">
        <v>206</v>
      </c>
      <c r="J13" s="15"/>
      <c r="K13" s="15"/>
      <c r="L13" s="15"/>
      <c r="M13" s="15"/>
      <c r="N13" s="15"/>
      <c r="O13" s="15"/>
      <c r="P13" s="15"/>
      <c r="Q13" s="15"/>
      <c r="R13" s="15"/>
      <c r="S13" s="15"/>
      <c r="T13" s="15"/>
      <c r="U13" s="15"/>
      <c r="V13" s="15"/>
      <c r="W13" s="15"/>
      <c r="X13" s="15"/>
      <c r="Y13" s="15"/>
      <c r="Z13" s="15"/>
    </row>
    <row r="14" spans="1:36" x14ac:dyDescent="0.25">
      <c r="A14" s="14" t="s">
        <v>11</v>
      </c>
      <c r="B14" t="s">
        <v>91</v>
      </c>
      <c r="C14" s="3" t="str">
        <f>CONCATENATE("# What are some common variants of ",B12,"?")</f>
        <v># What are some common variants of CHRNB4?</v>
      </c>
      <c r="J14" s="15"/>
      <c r="K14" s="15"/>
      <c r="L14" s="15"/>
      <c r="M14" s="15"/>
      <c r="N14" s="15"/>
      <c r="O14" s="15"/>
      <c r="P14" s="15"/>
      <c r="Q14" s="15"/>
      <c r="R14" s="15"/>
      <c r="S14" s="15"/>
      <c r="T14" s="15"/>
      <c r="U14" s="15"/>
      <c r="V14" s="15"/>
      <c r="W14" s="15"/>
      <c r="X14" s="15"/>
      <c r="Y14" s="15"/>
      <c r="Z14" s="15"/>
    </row>
    <row r="15" spans="1:36" x14ac:dyDescent="0.25">
      <c r="A15" s="14"/>
      <c r="B15" s="2"/>
      <c r="C15" s="3" t="s">
        <v>13</v>
      </c>
      <c r="J15" s="15"/>
      <c r="K15" s="15"/>
      <c r="L15" s="15"/>
      <c r="M15" s="15"/>
      <c r="N15" s="15"/>
      <c r="O15" s="15"/>
      <c r="P15" s="15"/>
      <c r="Q15" s="15"/>
      <c r="R15" s="15"/>
      <c r="S15" s="15"/>
      <c r="T15" s="15"/>
      <c r="U15" s="15"/>
      <c r="V15" s="15"/>
      <c r="W15" s="15"/>
      <c r="X15" s="15"/>
      <c r="Y15" s="15"/>
      <c r="Z15" s="15"/>
    </row>
    <row r="16" spans="1:36" x14ac:dyDescent="0.25">
      <c r="B16" s="2"/>
      <c r="C16" s="3" t="str">
        <f>CONCATENATE("A variant is a change at a specific point in the gene from the expected nucleotide sequence to another, resulting in incorrect ", B10," function. There are ",B14," common variants in ",B12,": ",B22,", ",B31,", and ",B40,".")</f>
        <v>A variant is a change at a specific point in the gene from the expected nucleotide sequence to another, resulting in incorrect protein function. There are three common variants in CHRNB4: [C78631645T](https://www.ncbi.nlm.nih.gov/projects/SNP/snp_ref.cgi?rs=17487223), [G78635922T](http://journals.sagepub.com/doi/10.4137/III.S25147), and [A78638168G](http://journals.sagepub.com/doi/10.4137/III.S25147).</v>
      </c>
      <c r="J16" s="15"/>
      <c r="K16" s="15"/>
      <c r="L16" s="15"/>
      <c r="M16" s="15"/>
      <c r="N16" s="15"/>
      <c r="O16" s="15"/>
      <c r="P16" s="15"/>
      <c r="Q16" s="15"/>
      <c r="R16" s="15"/>
      <c r="S16" s="15"/>
      <c r="T16" s="15"/>
      <c r="U16" s="15"/>
      <c r="V16" s="15"/>
      <c r="W16" s="15"/>
      <c r="X16" s="15"/>
      <c r="Y16" s="15"/>
      <c r="Z16" s="15"/>
    </row>
    <row r="17" spans="1:26" x14ac:dyDescent="0.25">
      <c r="B17" s="2"/>
      <c r="J17" s="15"/>
      <c r="K17" s="15"/>
      <c r="L17" s="15"/>
      <c r="M17" s="15"/>
      <c r="N17" s="15"/>
      <c r="O17" s="15"/>
      <c r="P17" s="15"/>
      <c r="Q17" s="15"/>
      <c r="R17" s="15"/>
      <c r="S17" s="15"/>
      <c r="T17" s="15"/>
      <c r="U17" s="15"/>
      <c r="V17" s="15"/>
      <c r="W17" s="15"/>
      <c r="X17" s="15"/>
      <c r="Y17" s="15"/>
      <c r="Z17" s="15"/>
    </row>
    <row r="18" spans="1:26" x14ac:dyDescent="0.25">
      <c r="A18" s="14" t="s">
        <v>14</v>
      </c>
      <c r="B18" s="6" t="s">
        <v>216</v>
      </c>
      <c r="C18" s="3" t="str">
        <f>CONCATENATE("&lt;# ",B19," #&gt;")</f>
        <v>&lt;# C78631645T #&gt;</v>
      </c>
      <c r="J18" s="15"/>
      <c r="K18" s="15"/>
      <c r="L18" s="15"/>
      <c r="M18" s="15"/>
      <c r="N18" s="15"/>
      <c r="O18" s="15"/>
      <c r="P18" s="15"/>
      <c r="Q18" s="15"/>
      <c r="R18" s="15"/>
      <c r="S18" s="15"/>
      <c r="T18" s="15"/>
      <c r="U18" s="15"/>
      <c r="V18" s="15"/>
      <c r="W18" s="15"/>
      <c r="X18" s="15"/>
      <c r="Y18" s="15"/>
      <c r="Z18" s="15"/>
    </row>
    <row r="19" spans="1:26" x14ac:dyDescent="0.25">
      <c r="A19" s="26" t="s">
        <v>15</v>
      </c>
      <c r="B19" s="29" t="s">
        <v>209</v>
      </c>
      <c r="J19" s="6"/>
      <c r="K19" s="15"/>
      <c r="L19" s="15"/>
      <c r="M19" s="15"/>
      <c r="N19" s="15"/>
      <c r="O19" s="15"/>
      <c r="P19" s="15"/>
      <c r="Q19" s="15"/>
      <c r="R19" s="15"/>
      <c r="S19" s="15"/>
      <c r="T19" s="15"/>
      <c r="U19" s="15"/>
      <c r="V19" s="15"/>
      <c r="W19" s="15"/>
      <c r="X19" s="15"/>
      <c r="Y19" s="15"/>
      <c r="Z19" s="15"/>
    </row>
    <row r="20" spans="1:26" x14ac:dyDescent="0.25">
      <c r="A20" s="26" t="s">
        <v>17</v>
      </c>
      <c r="B20" s="15" t="str">
        <f>"cytosine (C)"</f>
        <v>cytosine (C)</v>
      </c>
      <c r="C20" s="3" t="str">
        <f>CONCATENATE("  &lt;Variant hgvs=",CHAR(34),B18,CHAR(34)," name=",CHAR(34),B19,CHAR(34),"&gt; ")</f>
        <v xml:space="preserve">  &lt;Variant hgvs="NC_000015.9:g.78923987C&gt;T" name="C78631645T"&gt; </v>
      </c>
      <c r="J20" s="2"/>
      <c r="K20" s="15"/>
      <c r="L20" s="15"/>
      <c r="M20" s="15"/>
      <c r="N20" s="15"/>
      <c r="O20" s="15"/>
      <c r="P20" s="15"/>
      <c r="Q20" s="15"/>
      <c r="R20" s="15"/>
      <c r="S20" s="15"/>
      <c r="T20" s="15"/>
      <c r="U20" s="15"/>
      <c r="V20" s="15"/>
      <c r="W20" s="15"/>
      <c r="X20" s="15"/>
      <c r="Y20" s="15"/>
      <c r="Z20" s="15"/>
    </row>
    <row r="21" spans="1:26" x14ac:dyDescent="0.25">
      <c r="A21" s="26" t="s">
        <v>19</v>
      </c>
      <c r="B21" s="15" t="s">
        <v>20</v>
      </c>
      <c r="H21" s="15"/>
      <c r="I21" s="15"/>
      <c r="J21" s="2"/>
      <c r="K21" s="15"/>
      <c r="L21" s="15"/>
      <c r="M21" s="15"/>
      <c r="N21" s="15"/>
      <c r="O21" s="15"/>
      <c r="P21" s="15"/>
      <c r="Q21" s="15"/>
      <c r="R21" s="15"/>
      <c r="S21" s="15"/>
      <c r="T21" s="15"/>
      <c r="U21" s="15"/>
      <c r="V21" s="15"/>
      <c r="W21" s="15"/>
      <c r="X21" s="15"/>
      <c r="Y21" s="15"/>
      <c r="Z21" s="15"/>
    </row>
    <row r="22" spans="1:26" x14ac:dyDescent="0.25">
      <c r="A22" s="26" t="s">
        <v>21</v>
      </c>
      <c r="B22" s="15" t="s">
        <v>210</v>
      </c>
      <c r="C22" s="3" t="str">
        <f>CONCATENATE("    Instead of ",B20,", there is an ",B21," nucleotide.")</f>
        <v xml:space="preserve">    Instead of cytosine (C), there is an thymine (T) nucleotide.</v>
      </c>
      <c r="H22" s="15"/>
      <c r="I22" s="15"/>
      <c r="J22" s="7"/>
      <c r="K22" s="15"/>
      <c r="L22" s="15"/>
      <c r="M22" s="15"/>
      <c r="N22" s="15"/>
      <c r="O22" s="15"/>
      <c r="P22" s="15"/>
      <c r="Q22" s="15"/>
      <c r="R22" s="15"/>
      <c r="S22" s="15"/>
      <c r="T22" s="15"/>
      <c r="U22" s="15"/>
      <c r="V22" s="15"/>
      <c r="W22" s="15"/>
      <c r="X22" s="15"/>
      <c r="Y22" s="15"/>
      <c r="Z22" s="15"/>
    </row>
    <row r="23" spans="1:26" x14ac:dyDescent="0.25">
      <c r="A23" s="3" t="s">
        <v>65</v>
      </c>
      <c r="B23" s="6" t="s">
        <v>153</v>
      </c>
      <c r="H23" s="2"/>
      <c r="I23" s="2"/>
      <c r="J23" s="15"/>
      <c r="K23" s="15"/>
      <c r="L23" s="15"/>
      <c r="M23" s="15"/>
      <c r="N23" s="15"/>
      <c r="O23" s="15"/>
      <c r="P23" s="15"/>
      <c r="Q23" s="15"/>
      <c r="R23" s="15"/>
      <c r="S23" s="15"/>
      <c r="T23" s="15"/>
      <c r="U23" s="15"/>
      <c r="V23" s="15"/>
      <c r="W23" s="15"/>
      <c r="X23" s="15"/>
      <c r="Y23" s="15"/>
      <c r="Z23" s="15"/>
    </row>
    <row r="24" spans="1:26" x14ac:dyDescent="0.25">
      <c r="A24" s="3" t="s">
        <v>51</v>
      </c>
      <c r="B24" s="7" t="s">
        <v>217</v>
      </c>
      <c r="C24" s="3" t="str">
        <f>"  &lt;/Variant&gt;"</f>
        <v xml:space="preserve">  &lt;/Variant&gt;</v>
      </c>
      <c r="H24" s="2"/>
      <c r="I24" s="2"/>
      <c r="J24" s="15"/>
      <c r="K24" s="15"/>
      <c r="L24" s="15"/>
      <c r="M24" s="15"/>
      <c r="N24" s="15"/>
      <c r="O24" s="15"/>
      <c r="P24" s="15"/>
      <c r="Q24" s="15"/>
      <c r="R24" s="15"/>
      <c r="S24" s="15"/>
      <c r="T24" s="15"/>
      <c r="U24" s="15"/>
      <c r="V24" s="15"/>
      <c r="W24" s="15"/>
      <c r="X24" s="15"/>
      <c r="Y24" s="15"/>
      <c r="Z24" s="15"/>
    </row>
    <row r="25" spans="1:26" x14ac:dyDescent="0.25">
      <c r="A25" s="26" t="s">
        <v>52</v>
      </c>
      <c r="B25" s="7" t="s">
        <v>218</v>
      </c>
      <c r="J25" s="6"/>
    </row>
    <row r="26" spans="1:26" x14ac:dyDescent="0.25">
      <c r="A26" s="26"/>
      <c r="B26" s="7"/>
      <c r="J26" s="6"/>
    </row>
    <row r="27" spans="1:26" x14ac:dyDescent="0.25">
      <c r="A27" s="14" t="s">
        <v>14</v>
      </c>
      <c r="B27" s="41" t="s">
        <v>219</v>
      </c>
      <c r="C27" s="3" t="str">
        <f>CONCATENATE("&lt;# ",B28," #&gt;")</f>
        <v>&lt;# G78635922T #&gt;</v>
      </c>
      <c r="J27" s="6"/>
    </row>
    <row r="28" spans="1:26" x14ac:dyDescent="0.25">
      <c r="A28" s="26" t="s">
        <v>15</v>
      </c>
      <c r="B28" s="15" t="s">
        <v>211</v>
      </c>
      <c r="J28" s="2"/>
    </row>
    <row r="29" spans="1:26" x14ac:dyDescent="0.25">
      <c r="A29" s="26" t="s">
        <v>17</v>
      </c>
      <c r="B29" s="15" t="s">
        <v>44</v>
      </c>
      <c r="C29" s="3" t="str">
        <f>CONCATENATE("  &lt;Variant hgvs=",CHAR(34),B27,CHAR(34)," name=",CHAR(34),B28,CHAR(34),"&gt; ")</f>
        <v xml:space="preserve">  &lt;Variant hgvs="NC_000015.9:g.78928264G&gt;T" name="G78635922T"&gt; </v>
      </c>
      <c r="J29" s="2"/>
    </row>
    <row r="30" spans="1:26" x14ac:dyDescent="0.25">
      <c r="A30" s="26" t="s">
        <v>19</v>
      </c>
      <c r="B30" s="15" t="s">
        <v>20</v>
      </c>
      <c r="J30" s="7"/>
    </row>
    <row r="31" spans="1:26" x14ac:dyDescent="0.25">
      <c r="A31" s="26" t="s">
        <v>21</v>
      </c>
      <c r="B31" s="15" t="s">
        <v>212</v>
      </c>
      <c r="C31" s="3" t="str">
        <f>CONCATENATE("    Instead of ",B29,", there is an ",B30," nucleotide.")</f>
        <v xml:space="preserve">    Instead of guanine (G), there is an thymine (T) nucleotide.</v>
      </c>
    </row>
    <row r="32" spans="1:26" x14ac:dyDescent="0.25">
      <c r="A32" s="3" t="s">
        <v>65</v>
      </c>
      <c r="B32" s="3" t="s">
        <v>153</v>
      </c>
      <c r="J32" s="7"/>
    </row>
    <row r="33" spans="1:13" x14ac:dyDescent="0.25">
      <c r="A33" s="3" t="s">
        <v>51</v>
      </c>
      <c r="B33" s="3" t="s">
        <v>220</v>
      </c>
      <c r="C33" s="3" t="str">
        <f>"  &lt;/Variant&gt;"</f>
        <v xml:space="preserve">  &lt;/Variant&gt;</v>
      </c>
      <c r="J33" s="7"/>
    </row>
    <row r="34" spans="1:13" x14ac:dyDescent="0.25">
      <c r="A34" s="26" t="s">
        <v>52</v>
      </c>
      <c r="B34" s="7" t="s">
        <v>221</v>
      </c>
    </row>
    <row r="35" spans="1:13" x14ac:dyDescent="0.25">
      <c r="B35" s="3"/>
    </row>
    <row r="36" spans="1:13" x14ac:dyDescent="0.25">
      <c r="A36" s="14" t="s">
        <v>14</v>
      </c>
      <c r="B36" s="41" t="s">
        <v>222</v>
      </c>
      <c r="C36" s="3" t="str">
        <f>CONCATENATE("&lt;# ",B37," #&gt;")</f>
        <v>&lt;# A78638168G #&gt;</v>
      </c>
      <c r="J36" s="6"/>
    </row>
    <row r="37" spans="1:13" x14ac:dyDescent="0.25">
      <c r="A37" s="26" t="s">
        <v>15</v>
      </c>
      <c r="B37" s="15" t="s">
        <v>213</v>
      </c>
      <c r="J37" s="2"/>
    </row>
    <row r="38" spans="1:13" x14ac:dyDescent="0.25">
      <c r="A38" s="26" t="s">
        <v>17</v>
      </c>
      <c r="B38" s="15" t="s">
        <v>24</v>
      </c>
      <c r="C38" s="3" t="str">
        <f>CONCATENATE("  &lt;Variant hgvs=",CHAR(34),B36,CHAR(34)," name=",CHAR(34),B37,CHAR(34),"&gt; ")</f>
        <v xml:space="preserve">  &lt;Variant hgvs="NC_000015.9:g.78930510A&gt;G" name="A78638168G"&gt; </v>
      </c>
      <c r="J38" s="2"/>
    </row>
    <row r="39" spans="1:13" x14ac:dyDescent="0.25">
      <c r="A39" s="26" t="s">
        <v>19</v>
      </c>
      <c r="B39" s="15" t="s">
        <v>44</v>
      </c>
      <c r="J39" s="7"/>
    </row>
    <row r="40" spans="1:13" x14ac:dyDescent="0.25">
      <c r="A40" s="26" t="s">
        <v>21</v>
      </c>
      <c r="B40" s="15" t="s">
        <v>214</v>
      </c>
      <c r="C40" s="3" t="str">
        <f>CONCATENATE("    Instead of ",B38,", there is a ",B39," nucleotide.")</f>
        <v xml:space="preserve">    Instead of adenine (A), there is a guanine (G) nucleotide.</v>
      </c>
    </row>
    <row r="41" spans="1:13" x14ac:dyDescent="0.25">
      <c r="A41" s="3" t="s">
        <v>65</v>
      </c>
      <c r="B41" s="3" t="s">
        <v>153</v>
      </c>
      <c r="J41" s="7"/>
    </row>
    <row r="42" spans="1:13" x14ac:dyDescent="0.25">
      <c r="A42" s="3" t="s">
        <v>51</v>
      </c>
      <c r="B42" s="3" t="s">
        <v>223</v>
      </c>
      <c r="C42" s="3" t="str">
        <f>"  &lt;/Variant&gt;"</f>
        <v xml:space="preserve">  &lt;/Variant&gt;</v>
      </c>
      <c r="J42" s="7"/>
    </row>
    <row r="43" spans="1:13" x14ac:dyDescent="0.25">
      <c r="A43" s="26" t="s">
        <v>52</v>
      </c>
      <c r="B43" s="7" t="s">
        <v>224</v>
      </c>
    </row>
    <row r="44" spans="1:13" x14ac:dyDescent="0.25">
      <c r="B44" s="3"/>
    </row>
    <row r="45" spans="1:13" s="21" customFormat="1" x14ac:dyDescent="0.25">
      <c r="A45" s="28"/>
      <c r="B45" s="20"/>
    </row>
    <row r="46" spans="1:13" s="10" customFormat="1" ht="16.5" thickBot="1" x14ac:dyDescent="0.3">
      <c r="A46" s="32"/>
      <c r="B46" s="33"/>
      <c r="C46" s="34" t="s">
        <v>62</v>
      </c>
      <c r="L46" s="38"/>
    </row>
    <row r="47" spans="1:13" s="10" customFormat="1" ht="16.5" thickBot="1" x14ac:dyDescent="0.3">
      <c r="A47" s="32"/>
      <c r="B47" s="33"/>
      <c r="K47" s="45" t="s">
        <v>228</v>
      </c>
      <c r="L47" s="45" t="s">
        <v>229</v>
      </c>
      <c r="M47" s="46" t="s">
        <v>230</v>
      </c>
    </row>
    <row r="48" spans="1:13" s="21" customFormat="1" ht="16.5" thickBot="1" x14ac:dyDescent="0.3">
      <c r="A48" s="28" t="s">
        <v>70</v>
      </c>
      <c r="B48" s="20" t="str">
        <f>CONCATENATE(B19," (C;T)")</f>
        <v>C78631645T (C;T)</v>
      </c>
      <c r="C48" s="21" t="str">
        <f>CONCATENATE("&lt;# ",B48," #&gt;")</f>
        <v>&lt;# C78631645T (C;T) #&gt;</v>
      </c>
      <c r="K48" s="21" t="str">
        <f>B19</f>
        <v>C78631645T</v>
      </c>
      <c r="L48" s="21" t="str">
        <f>B28</f>
        <v>G78635922T</v>
      </c>
      <c r="M48" s="21" t="str">
        <f>B37</f>
        <v>A78638168G</v>
      </c>
    </row>
    <row r="49" spans="1:17" s="10" customFormat="1" ht="16.5" thickBot="1" x14ac:dyDescent="0.3">
      <c r="A49" s="3" t="s">
        <v>21</v>
      </c>
      <c r="B49" s="29" t="str">
        <f>K52</f>
        <v>NC_000015.9:g.[78923987C&gt;T];[78923987=]</v>
      </c>
      <c r="J49" s="3"/>
      <c r="K49" s="22" t="str">
        <f>B23</f>
        <v>NC_000015.9:g.</v>
      </c>
      <c r="L49" s="22" t="str">
        <f>B32</f>
        <v>NC_000015.9:g.</v>
      </c>
      <c r="M49" s="10" t="str">
        <f>B41</f>
        <v>NC_000015.9:g.</v>
      </c>
      <c r="N49" s="45"/>
      <c r="O49" s="15"/>
      <c r="P49" s="15"/>
      <c r="Q49" s="15"/>
    </row>
    <row r="50" spans="1:17" ht="16.5" thickBot="1" x14ac:dyDescent="0.3">
      <c r="B50" s="29"/>
      <c r="C50" s="3" t="str">
        <f>CONCATENATE("  &lt;Analysis name=",CHAR(34),B48,CHAR(34))</f>
        <v xml:space="preserve">  &lt;Analysis name="C78631645T (C;T)"</v>
      </c>
      <c r="J50" s="3" t="s">
        <v>21</v>
      </c>
      <c r="K50" s="15" t="str">
        <f>B24</f>
        <v>[78923987C&gt;T]</v>
      </c>
      <c r="L50" s="22" t="str">
        <f>B33</f>
        <v>[78928264G&gt;T]</v>
      </c>
      <c r="M50" s="10" t="str">
        <f t="shared" ref="M50:M51" si="0">B42</f>
        <v>[78930510A&gt;G]</v>
      </c>
      <c r="N50" s="45"/>
      <c r="O50" s="15"/>
      <c r="P50" s="15"/>
      <c r="Q50" s="15"/>
    </row>
    <row r="51" spans="1:17" ht="16.5" thickBot="1" x14ac:dyDescent="0.3">
      <c r="A51" s="5" t="s">
        <v>27</v>
      </c>
      <c r="B51" s="2" t="str">
        <f>CONCATENATE("People with this variant have one copy of the ",B22," variant. This substitution of a single nucleotide is known as a missense mutation.")</f>
        <v>People with this variant have one copy of the [C78631645T](https://www.ncbi.nlm.nih.gov/projects/SNP/snp_ref.cgi?rs=17487223) variant. This substitution of a single nucleotide is known as a missense mutation.</v>
      </c>
      <c r="C51" s="3" t="str">
        <f>CONCATENATE("            case={  variantCall ",CHAR(40),CHAR(34),K52,CHAR(34),CHAR(41))</f>
        <v xml:space="preserve">            case={  variantCall ("NC_000015.9:g.[78923987C&gt;T];[78923987=]")</v>
      </c>
      <c r="J51" s="3" t="s">
        <v>52</v>
      </c>
      <c r="K51" s="15" t="str">
        <f>B25</f>
        <v>[78923987=]</v>
      </c>
      <c r="L51" s="22" t="str">
        <f>B34</f>
        <v>[78928264=]</v>
      </c>
      <c r="M51" s="10" t="str">
        <f t="shared" si="0"/>
        <v>[78930510=]</v>
      </c>
      <c r="N51" s="46"/>
      <c r="Q51" s="15"/>
    </row>
    <row r="52" spans="1:17" x14ac:dyDescent="0.25">
      <c r="A52" s="1" t="s">
        <v>28</v>
      </c>
      <c r="B52" s="2" t="s">
        <v>226</v>
      </c>
      <c r="C52" s="3" t="s">
        <v>71</v>
      </c>
      <c r="J52" s="3" t="s">
        <v>63</v>
      </c>
      <c r="K52" s="15" t="str">
        <f>CONCATENATE(K49,K50,";",K51)</f>
        <v>NC_000015.9:g.[78923987C&gt;T];[78923987=]</v>
      </c>
      <c r="L52" s="15" t="str">
        <f>CONCATENATE(L49,L50,";",L51)</f>
        <v>NC_000015.9:g.[78928264G&gt;T];[78928264=]</v>
      </c>
      <c r="M52" s="15" t="str">
        <f>CONCATENATE(M49,M50,";",M51)</f>
        <v>NC_000015.9:g.[78930510A&gt;G];[78930510=]</v>
      </c>
      <c r="O52" s="15"/>
      <c r="P52" s="15"/>
      <c r="Q52" s="15"/>
    </row>
    <row r="53" spans="1:17" x14ac:dyDescent="0.25">
      <c r="A53" s="3" t="s">
        <v>73</v>
      </c>
      <c r="B53" s="29">
        <f>K55</f>
        <v>29</v>
      </c>
      <c r="C53" s="3" t="str">
        <f>CONCATENATE("                    ",CHAR(40),"variantCall ",CHAR(40),CHAR(34),L54,CHAR(34),CHAR(41)," OR variantCall ",CHAR(40),CHAR(34),L52,CHAR(34),CHAR(41),CHAR(41))</f>
        <v xml:space="preserve">                    (variantCall ("NC_000015.9:g.[78928264=];[78928264=]") OR variantCall ("NC_000015.9:g.[78928264G&gt;T];[78928264=]"))</v>
      </c>
      <c r="J53" s="3" t="s">
        <v>64</v>
      </c>
      <c r="K53" s="15" t="str">
        <f>CONCATENATE(K49,K50,";",K50)</f>
        <v>NC_000015.9:g.[78923987C&gt;T];[78923987C&gt;T]</v>
      </c>
      <c r="L53" s="15" t="str">
        <f>CONCATENATE(L49,L50,";",L50)</f>
        <v>NC_000015.9:g.[78928264G&gt;T];[78928264G&gt;T]</v>
      </c>
      <c r="M53" s="15" t="str">
        <f>CONCATENATE(M49,M50,";",M50)</f>
        <v>NC_000015.9:g.[78930510A&gt;G];[78930510A&gt;G]</v>
      </c>
      <c r="O53" s="15"/>
      <c r="P53" s="15"/>
      <c r="Q53" s="15"/>
    </row>
    <row r="54" spans="1:17" x14ac:dyDescent="0.25">
      <c r="C54" s="3" t="s">
        <v>71</v>
      </c>
      <c r="J54" s="3" t="s">
        <v>52</v>
      </c>
      <c r="K54" s="2" t="str">
        <f>CONCATENATE(K49,K51,";",K51)</f>
        <v>NC_000015.9:g.[78923987=];[78923987=]</v>
      </c>
      <c r="L54" s="2" t="str">
        <f>CONCATENATE(L49,L51,";",L51)</f>
        <v>NC_000015.9:g.[78928264=];[78928264=]</v>
      </c>
      <c r="M54" s="2" t="str">
        <f>CONCATENATE(M49,M51,";",M51)</f>
        <v>NC_000015.9:g.[78930510=];[78930510=]</v>
      </c>
      <c r="O54" s="15"/>
      <c r="P54" s="15"/>
      <c r="Q54" s="15"/>
    </row>
    <row r="55" spans="1:17" x14ac:dyDescent="0.25">
      <c r="C55" s="3" t="str">
        <f>CONCATENATE("                    ",CHAR(40),"variantCall ",CHAR(40),CHAR(34),M54,CHAR(34),CHAR(41)," OR variantCall ",CHAR(40),CHAR(34),M53,CHAR(34),CHAR(41),CHAR(41))</f>
        <v xml:space="preserve">                    (variantCall ("NC_000015.9:g.[78930510=];[78930510=]") OR variantCall ("NC_000015.9:g.[78930510A&gt;G];[78930510A&gt;G]"))</v>
      </c>
      <c r="J55" s="3" t="s">
        <v>67</v>
      </c>
      <c r="K55" s="15">
        <v>29</v>
      </c>
      <c r="L55" s="15">
        <v>48.5</v>
      </c>
      <c r="M55" s="15">
        <v>44.3</v>
      </c>
      <c r="O55" s="15"/>
      <c r="P55" s="15"/>
      <c r="Q55" s="15"/>
    </row>
    <row r="56" spans="1:17" x14ac:dyDescent="0.25">
      <c r="A56" s="14"/>
      <c r="C56" s="3" t="str">
        <f>CONCATENATE("                  } &gt; ")</f>
        <v xml:space="preserve">                  } &gt; </v>
      </c>
      <c r="J56" s="3" t="s">
        <v>68</v>
      </c>
      <c r="K56" s="15">
        <v>10.4</v>
      </c>
      <c r="L56" s="15">
        <v>29.2</v>
      </c>
      <c r="M56" s="15">
        <v>38.200000000000003</v>
      </c>
    </row>
    <row r="57" spans="1:17" x14ac:dyDescent="0.25">
      <c r="A57" s="26"/>
      <c r="J57" s="3" t="s">
        <v>69</v>
      </c>
      <c r="K57" s="15">
        <v>60.6</v>
      </c>
      <c r="L57" s="15">
        <v>22.3</v>
      </c>
      <c r="M57" s="15">
        <v>17.5</v>
      </c>
    </row>
    <row r="58" spans="1:17" x14ac:dyDescent="0.25">
      <c r="A58" s="14"/>
      <c r="C58" s="3" t="s">
        <v>26</v>
      </c>
      <c r="K58"/>
      <c r="L58" s="2"/>
      <c r="M58" s="2"/>
    </row>
    <row r="59" spans="1:17" x14ac:dyDescent="0.25">
      <c r="A59" s="14"/>
      <c r="K59" s="15"/>
      <c r="L59" s="15"/>
      <c r="M59" s="15"/>
    </row>
    <row r="60" spans="1:17" x14ac:dyDescent="0.25">
      <c r="A60" s="26"/>
      <c r="C60" s="3" t="str">
        <f>CONCATENATE("    ",B51)</f>
        <v xml:space="preserve">    People with this variant have one copy of the [C78631645T](https://www.ncbi.nlm.nih.gov/projects/SNP/snp_ref.cgi?rs=17487223) variant. This substitution of a single nucleotide is known as a missense mutation.</v>
      </c>
      <c r="K60" s="15"/>
      <c r="L60" s="15"/>
      <c r="M60" s="15"/>
    </row>
    <row r="61" spans="1:17" x14ac:dyDescent="0.25">
      <c r="A61" s="14"/>
      <c r="K61" s="2"/>
      <c r="L61" s="2"/>
      <c r="M61" s="2"/>
    </row>
    <row r="62" spans="1:17" x14ac:dyDescent="0.25">
      <c r="A62" s="14"/>
      <c r="C62" s="3" t="s">
        <v>29</v>
      </c>
    </row>
    <row r="63" spans="1:17" x14ac:dyDescent="0.25">
      <c r="A63" s="14"/>
    </row>
    <row r="64" spans="1:17" x14ac:dyDescent="0.25">
      <c r="A64" s="14"/>
      <c r="C64" s="3" t="str">
        <f>CONCATENATE(B52)</f>
        <v xml:space="preserve">    CHRN genes play a large role in the risk for nicotine dependence, smoking, and lung cancer. This CHRNB4 variant is associated:
    - [Higher risk of habitual smoking in Caucasians](https://www.ncbi.nlm.nih.gov/pubmed/18519524?dopt=Abstract) 
    - [1.45X](https://www.ncbi.nlm.nih.gov/pubmed/19259974?dopt=Abstract) higher risk for a risk of heavy smoking 
    - [1.33 higher risk](https://www.ncbi.nlm.nih.gov/pubmed/19259974?dopt=Abstract) of [nicotine dependence](https://www.ncbi.nlm.nih.gov/pubmed/19443489?dopt=Abstract) 
    - Increased susceptibility to [lung cancer](https://www.ncbi.nlm.nih.gov/pubmed/18385738?dopt=Abstract). 
    For ME/CFS patients, [previous and current smoking](https://www.ncbi.nlm.nih.gov/pubmed/25811400) are associated with a [3X higher risk of severe cognitive and sleep symptoms](https://www.ncbi.nlm.nih.gov/pubmed/28633629), including trouble concentrating and unrefreshing sleep. Additionally, ME/CFS patients also may have [higher levels of nicotine](https://www.ncbi.nlm.nih.gov/pubmed/26983655) in the brain as compared to the general population. High nicotine levels are associated with symptoms, including [abdominal pain, stress, fainting, depression, muscle weakness, muscle twitching, headache, and dizziness](https://medlineplus.gov/ency/article/002510.htm), which may be worsened by smoking.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Consult your physician on [medications](http://www.uniprot.org/uniprot/P30926) that act on variants in CHRNB4, including [Dextromethorphan](https://www.drugbank.ca/drugs/DB00514), [Ethanol](https://www.drugbank.ca/drugs/DB00898), [Galantamine](https://www.drugbank.ca/drugs/DB00674), [Levomethadyl acetate](https://www.drugbank.ca/drugs/DB01227), [Nicotine](https://www.drugbank.ca/drugs/DB00184), and [Pentolinium](https://www.drugbank.ca/drugs/DB01090).</v>
      </c>
    </row>
    <row r="65" spans="1:13" x14ac:dyDescent="0.25">
      <c r="A65" s="26"/>
    </row>
    <row r="66" spans="1:13" x14ac:dyDescent="0.25">
      <c r="A66" s="26"/>
      <c r="C66" s="3" t="s">
        <v>30</v>
      </c>
    </row>
    <row r="67" spans="1:13" x14ac:dyDescent="0.25">
      <c r="A67" s="26"/>
    </row>
    <row r="68" spans="1:13" x14ac:dyDescent="0.25">
      <c r="A68" s="26"/>
      <c r="C68" s="3" t="str">
        <f>CONCATENATE( "    &lt;piechart percentage=",B53," /&gt;")</f>
        <v xml:space="preserve">    &lt;piechart percentage=29 /&gt;</v>
      </c>
    </row>
    <row r="69" spans="1:13" x14ac:dyDescent="0.25">
      <c r="A69" s="26"/>
      <c r="C69" s="3" t="str">
        <f>"  &lt;/Analysis&gt;"</f>
        <v xml:space="preserve">  &lt;/Analysis&gt;</v>
      </c>
      <c r="K69" s="3" t="str">
        <f t="shared" ref="K69:M71" si="1">K47</f>
        <v>rs17487223</v>
      </c>
      <c r="L69" s="3" t="str">
        <f t="shared" si="1"/>
        <v>rs12441088</v>
      </c>
      <c r="M69" s="3" t="str">
        <f t="shared" si="1"/>
        <v>rs1316971</v>
      </c>
    </row>
    <row r="70" spans="1:13" s="21" customFormat="1" x14ac:dyDescent="0.25">
      <c r="A70" s="28" t="s">
        <v>70</v>
      </c>
      <c r="B70" s="20" t="str">
        <f>CONCATENATE(B19," (T;T)")</f>
        <v>C78631645T (T;T)</v>
      </c>
      <c r="C70" s="21" t="str">
        <f>CONCATENATE("&lt;# ",B70," #&gt;")</f>
        <v>&lt;# C78631645T (T;T) #&gt;</v>
      </c>
      <c r="K70" s="21" t="str">
        <f t="shared" si="1"/>
        <v>C78631645T</v>
      </c>
      <c r="L70" s="21" t="str">
        <f t="shared" si="1"/>
        <v>G78635922T</v>
      </c>
      <c r="M70" s="21" t="str">
        <f t="shared" si="1"/>
        <v>A78638168G</v>
      </c>
    </row>
    <row r="71" spans="1:13" x14ac:dyDescent="0.25">
      <c r="A71" s="3" t="s">
        <v>21</v>
      </c>
      <c r="B71" s="29" t="str">
        <f>K53</f>
        <v>NC_000015.9:g.[78923987C&gt;T];[78923987C&gt;T]</v>
      </c>
      <c r="C71" s="10"/>
      <c r="K71" s="3" t="str">
        <f t="shared" si="1"/>
        <v>NC_000015.9:g.</v>
      </c>
      <c r="L71" s="3" t="str">
        <f t="shared" si="1"/>
        <v>NC_000015.9:g.</v>
      </c>
      <c r="M71" s="3" t="str">
        <f t="shared" si="1"/>
        <v>NC_000015.9:g.</v>
      </c>
    </row>
    <row r="72" spans="1:13" x14ac:dyDescent="0.25">
      <c r="B72" s="29"/>
      <c r="C72" s="3" t="str">
        <f>CONCATENATE("  &lt;Analysis name=",CHAR(34),B70,CHAR(34))</f>
        <v xml:space="preserve">  &lt;Analysis name="C78631645T (T;T)"</v>
      </c>
      <c r="J72" s="3" t="str">
        <f t="shared" ref="J72:M79" si="2">J50</f>
        <v>Variant</v>
      </c>
      <c r="K72" s="3" t="str">
        <f t="shared" si="2"/>
        <v>[78923987C&gt;T]</v>
      </c>
      <c r="L72" s="3" t="str">
        <f t="shared" si="2"/>
        <v>[78928264G&gt;T]</v>
      </c>
      <c r="M72" s="3" t="str">
        <f t="shared" si="2"/>
        <v>[78930510A&gt;G]</v>
      </c>
    </row>
    <row r="73" spans="1:13" x14ac:dyDescent="0.25">
      <c r="A73" s="5" t="s">
        <v>75</v>
      </c>
      <c r="B73" s="2" t="str">
        <f>CONCATENATE("People with this variant have two copies of the ",B22," variant. This substitution of a single nucleotide is known as a missense mutation.")</f>
        <v>People with this variant have two copies of the [C78631645T](https://www.ncbi.nlm.nih.gov/projects/SNP/snp_ref.cgi?rs=17487223) variant. This substitution of a single nucleotide is known as a missense mutation.</v>
      </c>
      <c r="C73" s="3" t="str">
        <f>CONCATENATE("            case={  variantCall ",CHAR(40),CHAR(34),B71,CHAR(34),CHAR(41))</f>
        <v xml:space="preserve">            case={  variantCall ("NC_000015.9:g.[78923987C&gt;T];[78923987C&gt;T]")</v>
      </c>
      <c r="J73" s="3" t="str">
        <f t="shared" si="2"/>
        <v>Wildtype</v>
      </c>
      <c r="K73" s="3" t="str">
        <f t="shared" si="2"/>
        <v>[78923987=]</v>
      </c>
      <c r="L73" s="3" t="str">
        <f t="shared" si="2"/>
        <v>[78928264=]</v>
      </c>
      <c r="M73" s="3" t="str">
        <f t="shared" si="2"/>
        <v>[78930510=]</v>
      </c>
    </row>
    <row r="74" spans="1:13" x14ac:dyDescent="0.25">
      <c r="A74" s="1" t="s">
        <v>28</v>
      </c>
      <c r="B74" s="29" t="s">
        <v>225</v>
      </c>
      <c r="C74" s="3" t="s">
        <v>71</v>
      </c>
      <c r="J74" s="3" t="str">
        <f t="shared" si="2"/>
        <v>Het</v>
      </c>
      <c r="K74" s="3" t="str">
        <f t="shared" si="2"/>
        <v>NC_000015.9:g.[78923987C&gt;T];[78923987=]</v>
      </c>
      <c r="L74" s="3" t="str">
        <f t="shared" si="2"/>
        <v>NC_000015.9:g.[78928264G&gt;T];[78928264=]</v>
      </c>
      <c r="M74" s="3" t="str">
        <f t="shared" si="2"/>
        <v>NC_000015.9:g.[78930510A&gt;G];[78930510=]</v>
      </c>
    </row>
    <row r="75" spans="1:13" x14ac:dyDescent="0.25">
      <c r="A75" s="3" t="s">
        <v>73</v>
      </c>
      <c r="B75" s="29">
        <f>K56</f>
        <v>10.4</v>
      </c>
      <c r="C75" s="3" t="str">
        <f>CONCATENATE("                    ",CHAR(40),"variantCall ",CHAR(40),CHAR(34),L76,CHAR(34),CHAR(41)," OR variantCall ",CHAR(40),CHAR(34),L74,CHAR(34),CHAR(41),CHAR(41))</f>
        <v xml:space="preserve">                    (variantCall ("NC_000015.9:g.[78928264=];[78928264=]") OR variantCall ("NC_000015.9:g.[78928264G&gt;T];[78928264=]"))</v>
      </c>
      <c r="J75" s="3" t="str">
        <f t="shared" si="2"/>
        <v>Homo</v>
      </c>
      <c r="K75" s="3" t="str">
        <f t="shared" si="2"/>
        <v>NC_000015.9:g.[78923987C&gt;T];[78923987C&gt;T]</v>
      </c>
      <c r="L75" s="3" t="str">
        <f t="shared" si="2"/>
        <v>NC_000015.9:g.[78928264G&gt;T];[78928264G&gt;T]</v>
      </c>
      <c r="M75" s="3" t="str">
        <f t="shared" si="2"/>
        <v>NC_000015.9:g.[78930510A&gt;G];[78930510A&gt;G]</v>
      </c>
    </row>
    <row r="76" spans="1:13" x14ac:dyDescent="0.25">
      <c r="C76" s="3" t="s">
        <v>71</v>
      </c>
      <c r="J76" s="3" t="str">
        <f t="shared" si="2"/>
        <v>Wildtype</v>
      </c>
      <c r="K76" s="3" t="str">
        <f t="shared" si="2"/>
        <v>NC_000015.9:g.[78923987=];[78923987=]</v>
      </c>
      <c r="L76" s="3" t="str">
        <f t="shared" si="2"/>
        <v>NC_000015.9:g.[78928264=];[78928264=]</v>
      </c>
      <c r="M76" s="3" t="str">
        <f t="shared" si="2"/>
        <v>NC_000015.9:g.[78930510=];[78930510=]</v>
      </c>
    </row>
    <row r="77" spans="1:13" x14ac:dyDescent="0.25">
      <c r="C77" s="3" t="str">
        <f>CONCATENATE("                    ",CHAR(40),"variantCall ",CHAR(40),CHAR(34),M76,CHAR(34),CHAR(41)," OR variantCall ",CHAR(40),CHAR(34),M75,CHAR(34),CHAR(41),CHAR(41))</f>
        <v xml:space="preserve">                    (variantCall ("NC_000015.9:g.[78930510=];[78930510=]") OR variantCall ("NC_000015.9:g.[78930510A&gt;G];[78930510A&gt;G]"))</v>
      </c>
      <c r="J77" s="3" t="str">
        <f t="shared" si="2"/>
        <v>Het%</v>
      </c>
      <c r="K77" s="3">
        <f t="shared" si="2"/>
        <v>29</v>
      </c>
      <c r="L77" s="3">
        <f t="shared" si="2"/>
        <v>48.5</v>
      </c>
      <c r="M77" s="3">
        <f t="shared" si="2"/>
        <v>44.3</v>
      </c>
    </row>
    <row r="78" spans="1:13" x14ac:dyDescent="0.25">
      <c r="A78" s="14"/>
      <c r="C78" s="3" t="str">
        <f>CONCATENATE("                  } &gt; ")</f>
        <v xml:space="preserve">                  } &gt; </v>
      </c>
      <c r="J78" s="3" t="str">
        <f t="shared" si="2"/>
        <v>Homo%</v>
      </c>
      <c r="K78" s="3">
        <f t="shared" si="2"/>
        <v>10.4</v>
      </c>
      <c r="L78" s="3">
        <f t="shared" si="2"/>
        <v>29.2</v>
      </c>
      <c r="M78" s="3">
        <f t="shared" si="2"/>
        <v>38.200000000000003</v>
      </c>
    </row>
    <row r="79" spans="1:13" x14ac:dyDescent="0.25">
      <c r="A79" s="26"/>
      <c r="J79" s="3" t="str">
        <f t="shared" si="2"/>
        <v>Wildtype%</v>
      </c>
      <c r="K79" s="3">
        <f t="shared" si="2"/>
        <v>60.6</v>
      </c>
      <c r="L79" s="3">
        <f t="shared" si="2"/>
        <v>22.3</v>
      </c>
      <c r="M79" s="3">
        <f t="shared" si="2"/>
        <v>17.5</v>
      </c>
    </row>
    <row r="80" spans="1:13" x14ac:dyDescent="0.25">
      <c r="A80" s="14"/>
      <c r="C80" s="3" t="s">
        <v>26</v>
      </c>
    </row>
    <row r="81" spans="1:13" x14ac:dyDescent="0.25">
      <c r="A81" s="14"/>
    </row>
    <row r="82" spans="1:13" x14ac:dyDescent="0.25">
      <c r="A82" s="26"/>
      <c r="C82" s="3" t="str">
        <f>CONCATENATE("    ",B73)</f>
        <v xml:space="preserve">    People with this variant have two copies of the [C78631645T](https://www.ncbi.nlm.nih.gov/projects/SNP/snp_ref.cgi?rs=17487223) variant. This substitution of a single nucleotide is known as a missense mutation.</v>
      </c>
    </row>
    <row r="83" spans="1:13" x14ac:dyDescent="0.25">
      <c r="A83" s="14"/>
    </row>
    <row r="84" spans="1:13" x14ac:dyDescent="0.25">
      <c r="A84" s="14"/>
      <c r="C84" s="3" t="s">
        <v>29</v>
      </c>
    </row>
    <row r="85" spans="1:13" x14ac:dyDescent="0.25">
      <c r="A85" s="14"/>
    </row>
    <row r="86" spans="1:13" x14ac:dyDescent="0.25">
      <c r="A86" s="14"/>
      <c r="C86" s="3" t="str">
        <f>CONCATENATE(B74)</f>
        <v xml:space="preserve">    CHRN genes play a large role in the risk for nicotine dependence, smoking, and lung cancer. This homozygous CHRNB4 variant is associated with:
    - A [much higher risk of habitual smoking in Caucasians](https://www.ncbi.nlm.nih.gov/pubmed/18519524?dopt=Abstract) 
    - [1.64X higher](https://www.ncbi.nlm.nih.gov/pubmed/19259974?dopt=Abstract) risk of heavy smoking 
    - [1.33X higher risk](https://www.ncbi.nlm.nih.gov/pubmed/19259974?dopt=Abstract) of [nicotine dependence](https://www.ncbi.nlm.nih.gov/pubmed/19443489?dopt=Abstract) 
    - 1.28X greater risk of [lung cancer](https://www.ncbi.nlm.nih.gov/pubmed/18385738?dopt=Abstract). 
    For ME/CFS patients, [previous and current smoking](https://www.ncbi.nlm.nih.gov/pubmed/25811400) are associated with [3X higher risk of severe severe cognitive and sleep symptoms](https://www.ncbi.nlm.nih.gov/pubmed/28633629), including trouble concentrating and unrefreshing sleep. Additionally, ME/CFS patients also may have [higher levels of nicotine](https://www.ncbi.nlm.nih.gov/pubmed/26983655) in the brain as compared to the general population. High nicotine levels are associated with symptoms such as [abdominal pain, stress, fainting, depression, muscle weakness, muscle twitching, headache, and dizziness](https://medlineplus.gov/ency/article/002510.htm), and smoking may lead to a worsening of these symptoms.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Consult your physician on [medications](http://www.uniprot.org/uniprot/P30926) that act on variants in CHRNB4, including [Dextromethorphan](https://www.drugbank.ca/drugs/DB00514), [Ethanol](https://www.drugbank.ca/drugs/DB00898), [Galantamine](https://www.drugbank.ca/drugs/DB00674), [Levomethadyl acetate](https://www.drugbank.ca/drugs/DB01227), [Nicotine](https://www.drugbank.ca/drugs/DB00184), and [Pentolinium](https://www.drugbank.ca/drugs/DB01090).</v>
      </c>
    </row>
    <row r="87" spans="1:13" x14ac:dyDescent="0.25">
      <c r="A87" s="26"/>
    </row>
    <row r="88" spans="1:13" x14ac:dyDescent="0.25">
      <c r="A88" s="26"/>
      <c r="C88" s="3" t="s">
        <v>30</v>
      </c>
    </row>
    <row r="89" spans="1:13" x14ac:dyDescent="0.25">
      <c r="A89" s="26"/>
    </row>
    <row r="90" spans="1:13" x14ac:dyDescent="0.25">
      <c r="A90" s="26"/>
      <c r="C90" s="3" t="str">
        <f>CONCATENATE( "    &lt;piechart percentage=",B75," /&gt;")</f>
        <v xml:space="preserve">    &lt;piechart percentage=10.4 /&gt;</v>
      </c>
    </row>
    <row r="91" spans="1:13" x14ac:dyDescent="0.25">
      <c r="A91" s="26"/>
      <c r="C91" s="3" t="str">
        <f>"  &lt;/Analysis&gt;"</f>
        <v xml:space="preserve">  &lt;/Analysis&gt;</v>
      </c>
      <c r="K91" s="3" t="str">
        <f t="shared" ref="K91:M93" si="3">K69</f>
        <v>rs17487223</v>
      </c>
      <c r="L91" s="3" t="str">
        <f t="shared" si="3"/>
        <v>rs12441088</v>
      </c>
      <c r="M91" s="3" t="str">
        <f t="shared" si="3"/>
        <v>rs1316971</v>
      </c>
    </row>
    <row r="92" spans="1:13" s="21" customFormat="1" x14ac:dyDescent="0.25">
      <c r="A92" s="28"/>
      <c r="B92" s="20"/>
      <c r="K92" s="21" t="str">
        <f t="shared" si="3"/>
        <v>C78631645T</v>
      </c>
      <c r="L92" s="21" t="str">
        <f t="shared" si="3"/>
        <v>G78635922T</v>
      </c>
      <c r="M92" s="21" t="str">
        <f t="shared" si="3"/>
        <v>A78638168G</v>
      </c>
    </row>
    <row r="93" spans="1:13" s="10" customFormat="1" x14ac:dyDescent="0.25">
      <c r="A93" s="3"/>
      <c r="B93" s="29"/>
      <c r="J93" s="3"/>
      <c r="K93" s="22" t="str">
        <f t="shared" si="3"/>
        <v>NC_000015.9:g.</v>
      </c>
      <c r="L93" s="22" t="str">
        <f t="shared" si="3"/>
        <v>NC_000015.9:g.</v>
      </c>
      <c r="M93" s="10" t="str">
        <f t="shared" si="3"/>
        <v>NC_000015.9:g.</v>
      </c>
    </row>
    <row r="94" spans="1:13" x14ac:dyDescent="0.25">
      <c r="B94" s="29"/>
      <c r="J94" s="3" t="str">
        <f t="shared" ref="J94:M101" si="4">J72</f>
        <v>Variant</v>
      </c>
      <c r="K94" s="15" t="str">
        <f t="shared" si="4"/>
        <v>[78923987C&gt;T]</v>
      </c>
      <c r="L94" s="22" t="str">
        <f t="shared" si="4"/>
        <v>[78928264G&gt;T]</v>
      </c>
      <c r="M94" s="3" t="str">
        <f t="shared" si="4"/>
        <v>[78930510A&gt;G]</v>
      </c>
    </row>
    <row r="95" spans="1:13" x14ac:dyDescent="0.25">
      <c r="A95" s="5"/>
      <c r="B95" s="2"/>
      <c r="J95" s="3" t="str">
        <f t="shared" si="4"/>
        <v>Wildtype</v>
      </c>
      <c r="K95" s="15" t="str">
        <f t="shared" si="4"/>
        <v>[78923987=]</v>
      </c>
      <c r="L95" s="22" t="str">
        <f t="shared" si="4"/>
        <v>[78928264=]</v>
      </c>
      <c r="M95" s="3" t="str">
        <f t="shared" si="4"/>
        <v>[78930510=]</v>
      </c>
    </row>
    <row r="96" spans="1:13" x14ac:dyDescent="0.25">
      <c r="A96" s="1"/>
      <c r="B96" s="2"/>
      <c r="J96" s="3" t="str">
        <f t="shared" si="4"/>
        <v>Het</v>
      </c>
      <c r="K96" s="15" t="str">
        <f t="shared" si="4"/>
        <v>NC_000015.9:g.[78923987C&gt;T];[78923987=]</v>
      </c>
      <c r="L96" s="15" t="str">
        <f t="shared" si="4"/>
        <v>NC_000015.9:g.[78928264G&gt;T];[78928264=]</v>
      </c>
      <c r="M96" s="3" t="str">
        <f t="shared" si="4"/>
        <v>NC_000015.9:g.[78930510A&gt;G];[78930510=]</v>
      </c>
    </row>
    <row r="97" spans="1:13" x14ac:dyDescent="0.25">
      <c r="B97" s="29"/>
      <c r="J97" s="3" t="str">
        <f t="shared" si="4"/>
        <v>Homo</v>
      </c>
      <c r="K97" s="15" t="str">
        <f t="shared" si="4"/>
        <v>NC_000015.9:g.[78923987C&gt;T];[78923987C&gt;T]</v>
      </c>
      <c r="L97" s="15" t="str">
        <f t="shared" si="4"/>
        <v>NC_000015.9:g.[78928264G&gt;T];[78928264G&gt;T]</v>
      </c>
      <c r="M97" s="3" t="str">
        <f t="shared" si="4"/>
        <v>NC_000015.9:g.[78930510A&gt;G];[78930510A&gt;G]</v>
      </c>
    </row>
    <row r="98" spans="1:13" x14ac:dyDescent="0.25">
      <c r="B98" s="29"/>
      <c r="J98" s="3" t="str">
        <f t="shared" si="4"/>
        <v>Wildtype</v>
      </c>
      <c r="K98" s="2" t="str">
        <f t="shared" si="4"/>
        <v>NC_000015.9:g.[78923987=];[78923987=]</v>
      </c>
      <c r="L98" s="2" t="str">
        <f t="shared" si="4"/>
        <v>NC_000015.9:g.[78928264=];[78928264=]</v>
      </c>
      <c r="M98" s="3" t="str">
        <f t="shared" si="4"/>
        <v>NC_000015.9:g.[78930510=];[78930510=]</v>
      </c>
    </row>
    <row r="99" spans="1:13" x14ac:dyDescent="0.25">
      <c r="B99" s="29"/>
      <c r="J99" s="3" t="str">
        <f t="shared" si="4"/>
        <v>Het%</v>
      </c>
      <c r="K99" s="15">
        <f t="shared" si="4"/>
        <v>29</v>
      </c>
      <c r="L99" s="15">
        <f t="shared" si="4"/>
        <v>48.5</v>
      </c>
      <c r="M99" s="3">
        <f t="shared" si="4"/>
        <v>44.3</v>
      </c>
    </row>
    <row r="100" spans="1:13" x14ac:dyDescent="0.25">
      <c r="J100" s="3" t="str">
        <f t="shared" si="4"/>
        <v>Homo%</v>
      </c>
      <c r="K100" s="2">
        <f t="shared" si="4"/>
        <v>10.4</v>
      </c>
      <c r="L100" s="2">
        <f t="shared" si="4"/>
        <v>29.2</v>
      </c>
      <c r="M100" s="3">
        <f t="shared" si="4"/>
        <v>38.200000000000003</v>
      </c>
    </row>
    <row r="101" spans="1:13" x14ac:dyDescent="0.25">
      <c r="J101" s="3" t="str">
        <f t="shared" si="4"/>
        <v>Wildtype%</v>
      </c>
      <c r="K101" s="2">
        <f t="shared" si="4"/>
        <v>60.6</v>
      </c>
      <c r="L101" s="2">
        <f t="shared" si="4"/>
        <v>22.3</v>
      </c>
      <c r="M101" s="3">
        <f t="shared" si="4"/>
        <v>17.5</v>
      </c>
    </row>
    <row r="102" spans="1:13" x14ac:dyDescent="0.25">
      <c r="A102" s="14"/>
    </row>
    <row r="103" spans="1:13" x14ac:dyDescent="0.25">
      <c r="A103" s="26"/>
    </row>
    <row r="104" spans="1:13" x14ac:dyDescent="0.25">
      <c r="A104" s="14"/>
    </row>
    <row r="105" spans="1:13" x14ac:dyDescent="0.25">
      <c r="A105" s="14"/>
    </row>
    <row r="106" spans="1:13" x14ac:dyDescent="0.25">
      <c r="A106" s="26"/>
    </row>
    <row r="107" spans="1:13" x14ac:dyDescent="0.25">
      <c r="A107" s="14"/>
    </row>
    <row r="108" spans="1:13" x14ac:dyDescent="0.25">
      <c r="A108" s="14"/>
    </row>
    <row r="109" spans="1:13" x14ac:dyDescent="0.25">
      <c r="A109" s="14"/>
    </row>
    <row r="110" spans="1:13" x14ac:dyDescent="0.25">
      <c r="A110" s="14"/>
    </row>
    <row r="111" spans="1:13" x14ac:dyDescent="0.25">
      <c r="A111" s="26"/>
    </row>
    <row r="112" spans="1:13" x14ac:dyDescent="0.25">
      <c r="A112" s="26"/>
    </row>
    <row r="113" spans="1:13" x14ac:dyDescent="0.25">
      <c r="A113" s="26"/>
      <c r="K113" s="3" t="str">
        <f t="shared" ref="K113:M113" si="5">K91</f>
        <v>rs17487223</v>
      </c>
      <c r="L113" s="3" t="str">
        <f t="shared" si="5"/>
        <v>rs12441088</v>
      </c>
      <c r="M113" s="3" t="str">
        <f t="shared" si="5"/>
        <v>rs1316971</v>
      </c>
    </row>
    <row r="114" spans="1:13" s="21" customFormat="1" x14ac:dyDescent="0.25">
      <c r="A114" s="28" t="s">
        <v>70</v>
      </c>
      <c r="B114" s="20" t="str">
        <f>CONCATENATE(B28," (T;T)")</f>
        <v>G78635922T (T;T)</v>
      </c>
      <c r="C114" s="21" t="str">
        <f>CONCATENATE("&lt;# ",B114," #&gt;")</f>
        <v>&lt;# G78635922T (T;T) #&gt;</v>
      </c>
      <c r="K114" s="21" t="str">
        <f>K92</f>
        <v>C78631645T</v>
      </c>
      <c r="L114" s="21" t="str">
        <f>L92</f>
        <v>G78635922T</v>
      </c>
      <c r="M114" s="21" t="str">
        <f>M92</f>
        <v>A78638168G</v>
      </c>
    </row>
    <row r="115" spans="1:13" s="10" customFormat="1" x14ac:dyDescent="0.25">
      <c r="A115" s="3" t="s">
        <v>21</v>
      </c>
      <c r="B115" s="29" t="str">
        <f>L118</f>
        <v>NC_000015.9:g.[78928264G&gt;T];[78928264=]</v>
      </c>
      <c r="J115" s="3"/>
      <c r="K115" s="22" t="str">
        <f>K93</f>
        <v>NC_000015.9:g.</v>
      </c>
      <c r="L115" s="22" t="str">
        <f>L93</f>
        <v>NC_000015.9:g.</v>
      </c>
      <c r="M115" s="10" t="str">
        <f>M93</f>
        <v>NC_000015.9:g.</v>
      </c>
    </row>
    <row r="116" spans="1:13" x14ac:dyDescent="0.25">
      <c r="A116" s="3" t="s">
        <v>72</v>
      </c>
      <c r="B116" s="29"/>
      <c r="C116" s="3" t="str">
        <f>CONCATENATE("  &lt;Analysis name=",CHAR(34),B114,CHAR(34))</f>
        <v xml:space="preserve">  &lt;Analysis name="G78635922T (T;T)"</v>
      </c>
      <c r="J116" s="3" t="str">
        <f>J94</f>
        <v>Variant</v>
      </c>
      <c r="K116" s="15" t="str">
        <f>K94</f>
        <v>[78923987C&gt;T]</v>
      </c>
      <c r="L116" s="22" t="str">
        <f>L94</f>
        <v>[78928264G&gt;T]</v>
      </c>
      <c r="M116" s="3" t="str">
        <f>M94</f>
        <v>[78930510A&gt;G]</v>
      </c>
    </row>
    <row r="117" spans="1:13" x14ac:dyDescent="0.25">
      <c r="A117" s="5" t="s">
        <v>27</v>
      </c>
      <c r="B117" s="2" t="str">
        <f>CONCATENATE("People with this variant have two copies of the ",B31," variant. This substitution of a single nucleotide is known as a missense mutation.")</f>
        <v>People with this variant have two copies of the [G78635922T](http://journals.sagepub.com/doi/10.4137/III.S25147) variant. This substitution of a single nucleotide is known as a missense mutation.</v>
      </c>
      <c r="C117" s="3" t="str">
        <f>CONCATENATE("            case={  variantCall ",CHAR(40),CHAR(34),L118,CHAR(34),CHAR(41))</f>
        <v xml:space="preserve">            case={  variantCall ("NC_000015.9:g.[78928264G&gt;T];[78928264=]")</v>
      </c>
      <c r="J117" s="3" t="str">
        <f>J95</f>
        <v>Wildtype</v>
      </c>
      <c r="K117" s="15" t="str">
        <f>K95</f>
        <v>[78923987=]</v>
      </c>
      <c r="L117" s="22" t="str">
        <f>L95</f>
        <v>[78928264=]</v>
      </c>
      <c r="M117" s="3" t="str">
        <f>M95</f>
        <v>[78930510=]</v>
      </c>
    </row>
    <row r="118" spans="1:13" x14ac:dyDescent="0.25">
      <c r="A118" s="1" t="s">
        <v>28</v>
      </c>
      <c r="B118" s="2" t="s">
        <v>231</v>
      </c>
      <c r="C118" s="3" t="s">
        <v>71</v>
      </c>
      <c r="J118" s="3" t="str">
        <f>J96</f>
        <v>Het</v>
      </c>
      <c r="K118" s="15" t="str">
        <f>K96</f>
        <v>NC_000015.9:g.[78923987C&gt;T];[78923987=]</v>
      </c>
      <c r="L118" s="15" t="str">
        <f>L96</f>
        <v>NC_000015.9:g.[78928264G&gt;T];[78928264=]</v>
      </c>
      <c r="M118" s="3" t="str">
        <f>M96</f>
        <v>NC_000015.9:g.[78930510A&gt;G];[78930510=]</v>
      </c>
    </row>
    <row r="119" spans="1:13" x14ac:dyDescent="0.25">
      <c r="A119" s="3" t="s">
        <v>73</v>
      </c>
      <c r="B119" s="29">
        <f>L78</f>
        <v>29.2</v>
      </c>
      <c r="C119" s="3" t="str">
        <f>CONCATENATE("                    ",CHAR(40),"variantCall ",CHAR(40),CHAR(34),L120,CHAR(34),CHAR(41)," OR variantCall ",CHAR(40),CHAR(34),L118,CHAR(34),CHAR(41),CHAR(41))</f>
        <v xml:space="preserve">                    (variantCall ("NC_000015.9:g.[78928264=];[78928264=]") OR variantCall ("NC_000015.9:g.[78928264G&gt;T];[78928264=]"))</v>
      </c>
      <c r="J119" s="3" t="str">
        <f>J97</f>
        <v>Homo</v>
      </c>
      <c r="K119" s="15" t="str">
        <f>K97</f>
        <v>NC_000015.9:g.[78923987C&gt;T];[78923987C&gt;T]</v>
      </c>
      <c r="L119" s="15" t="str">
        <f>L97</f>
        <v>NC_000015.9:g.[78928264G&gt;T];[78928264G&gt;T]</v>
      </c>
      <c r="M119" s="3" t="str">
        <f>M97</f>
        <v>NC_000015.9:g.[78930510A&gt;G];[78930510A&gt;G]</v>
      </c>
    </row>
    <row r="120" spans="1:13" x14ac:dyDescent="0.25">
      <c r="B120" s="29"/>
      <c r="C120" s="3" t="s">
        <v>71</v>
      </c>
      <c r="J120" s="3" t="str">
        <f>J98</f>
        <v>Wildtype</v>
      </c>
      <c r="K120" s="2" t="str">
        <f>K98</f>
        <v>NC_000015.9:g.[78923987=];[78923987=]</v>
      </c>
      <c r="L120" s="2" t="str">
        <f>L98</f>
        <v>NC_000015.9:g.[78928264=];[78928264=]</v>
      </c>
      <c r="M120" s="3" t="str">
        <f>M98</f>
        <v>NC_000015.9:g.[78930510=];[78930510=]</v>
      </c>
    </row>
    <row r="121" spans="1:13" x14ac:dyDescent="0.25">
      <c r="B121" s="29"/>
      <c r="C121" s="3" t="str">
        <f>CONCATENATE("                    ",CHAR(40),"variantCall ",CHAR(40),CHAR(34),M120,CHAR(34),CHAR(41)," OR variantCall ",CHAR(40),CHAR(34),M119,CHAR(34),CHAR(41),CHAR(41))</f>
        <v xml:space="preserve">                    (variantCall ("NC_000015.9:g.[78930510=];[78930510=]") OR variantCall ("NC_000015.9:g.[78930510A&gt;G];[78930510A&gt;G]"))</v>
      </c>
      <c r="J121" s="3" t="str">
        <f>J99</f>
        <v>Het%</v>
      </c>
      <c r="K121" s="15">
        <f>K99</f>
        <v>29</v>
      </c>
      <c r="L121" s="15">
        <f>L99</f>
        <v>48.5</v>
      </c>
      <c r="M121" s="3">
        <f>M99</f>
        <v>44.3</v>
      </c>
    </row>
    <row r="122" spans="1:13" x14ac:dyDescent="0.25">
      <c r="C122" s="3" t="str">
        <f>CONCATENATE("                  } &gt; ")</f>
        <v xml:space="preserve">                  } &gt; </v>
      </c>
      <c r="J122" s="3" t="str">
        <f>J100</f>
        <v>Homo%</v>
      </c>
      <c r="K122" s="2">
        <f>K100</f>
        <v>10.4</v>
      </c>
      <c r="L122" s="2">
        <f>L100</f>
        <v>29.2</v>
      </c>
      <c r="M122" s="3">
        <f>M100</f>
        <v>38.200000000000003</v>
      </c>
    </row>
    <row r="123" spans="1:13" x14ac:dyDescent="0.25">
      <c r="J123" s="3" t="str">
        <f>J101</f>
        <v>Wildtype%</v>
      </c>
      <c r="K123" s="2">
        <f>K101</f>
        <v>60.6</v>
      </c>
      <c r="L123" s="2">
        <f>L101</f>
        <v>22.3</v>
      </c>
      <c r="M123" s="3">
        <f>M101</f>
        <v>17.5</v>
      </c>
    </row>
    <row r="124" spans="1:13" x14ac:dyDescent="0.25">
      <c r="A124" s="14"/>
      <c r="C124" s="3" t="s">
        <v>26</v>
      </c>
    </row>
    <row r="125" spans="1:13" x14ac:dyDescent="0.25">
      <c r="A125" s="26"/>
    </row>
    <row r="126" spans="1:13" x14ac:dyDescent="0.25">
      <c r="A126" s="14"/>
      <c r="C126" s="3" t="str">
        <f>CONCATENATE("    ",B117)</f>
        <v xml:space="preserve">    People with this variant have two copies of the [G78635922T](http://journals.sagepub.com/doi/10.4137/III.S25147) variant. This substitution of a single nucleotide is known as a missense mutation.</v>
      </c>
    </row>
    <row r="127" spans="1:13" x14ac:dyDescent="0.25">
      <c r="A127" s="14"/>
    </row>
    <row r="128" spans="1:13" x14ac:dyDescent="0.25">
      <c r="A128" s="26"/>
      <c r="C128" s="3" t="s">
        <v>29</v>
      </c>
    </row>
    <row r="129" spans="1:13" x14ac:dyDescent="0.25">
      <c r="A129" s="14"/>
    </row>
    <row r="130" spans="1:13" x14ac:dyDescent="0.25">
      <c r="A130" s="14"/>
      <c r="C130" s="3" t="str">
        <f>CONCATENATE(B118)</f>
        <v xml:space="preserve">    Your variant is [1.2X](https://www.ncbi.nlm.nih.gov/pubmed/27099524) more common in ME/CFS patients. The malformed CHRNB4 protein may impact the activity of natural killer cells (NKC), a type of white blood cell found in the blood, bone marrow, spleen, and lymph nodes. They kill viral infected and tumorous cells. The NKC of many patients with ME/CFS have lower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31" spans="1:13" x14ac:dyDescent="0.25">
      <c r="A131" s="14"/>
    </row>
    <row r="132" spans="1:13" x14ac:dyDescent="0.25">
      <c r="A132" s="14"/>
      <c r="C132" s="3" t="s">
        <v>30</v>
      </c>
    </row>
    <row r="133" spans="1:13" x14ac:dyDescent="0.25">
      <c r="A133" s="26"/>
    </row>
    <row r="134" spans="1:13" x14ac:dyDescent="0.25">
      <c r="A134" s="26"/>
      <c r="C134" s="3" t="str">
        <f>CONCATENATE( "    &lt;piechart percentage=",B119," /&gt;")</f>
        <v xml:space="preserve">    &lt;piechart percentage=29.2 /&gt;</v>
      </c>
    </row>
    <row r="135" spans="1:13" x14ac:dyDescent="0.25">
      <c r="A135" s="26"/>
      <c r="C135" s="3" t="str">
        <f>"  &lt;/Analysis&gt;"</f>
        <v xml:space="preserve">  &lt;/Analysis&gt;</v>
      </c>
      <c r="K135" s="3" t="str">
        <f>K91</f>
        <v>rs17487223</v>
      </c>
      <c r="L135" s="3" t="str">
        <f>L91</f>
        <v>rs12441088</v>
      </c>
      <c r="M135" s="3" t="str">
        <f>M91</f>
        <v>rs1316971</v>
      </c>
    </row>
    <row r="136" spans="1:13" s="21" customFormat="1" x14ac:dyDescent="0.25">
      <c r="A136" s="28" t="s">
        <v>70</v>
      </c>
      <c r="B136" s="20" t="str">
        <f>CONCATENATE(B37," (A;G)")</f>
        <v>A78638168G (A;G)</v>
      </c>
      <c r="C136" s="21" t="str">
        <f>CONCATENATE("&lt;# ",B136," #&gt;")</f>
        <v>&lt;# A78638168G (A;G) #&gt;</v>
      </c>
      <c r="K136" s="21" t="str">
        <f>K92</f>
        <v>C78631645T</v>
      </c>
      <c r="L136" s="21" t="str">
        <f>L92</f>
        <v>G78635922T</v>
      </c>
      <c r="M136" s="21" t="str">
        <f>M92</f>
        <v>A78638168G</v>
      </c>
    </row>
    <row r="137" spans="1:13" x14ac:dyDescent="0.25">
      <c r="A137" s="3" t="s">
        <v>21</v>
      </c>
      <c r="B137" s="29" t="str">
        <f>M140</f>
        <v>NC_000015.9:g.[78930510A&gt;G];[78930510=]</v>
      </c>
      <c r="C137" s="10"/>
      <c r="K137" s="3" t="str">
        <f>K93</f>
        <v>NC_000015.9:g.</v>
      </c>
      <c r="L137" s="3" t="str">
        <f>L93</f>
        <v>NC_000015.9:g.</v>
      </c>
      <c r="M137" s="3" t="str">
        <f>M93</f>
        <v>NC_000015.9:g.</v>
      </c>
    </row>
    <row r="138" spans="1:13" x14ac:dyDescent="0.25">
      <c r="A138" s="3" t="s">
        <v>72</v>
      </c>
      <c r="B138" s="29" t="str">
        <f>L53</f>
        <v>NC_000015.9:g.[78928264G&gt;T];[78928264G&gt;T]</v>
      </c>
      <c r="C138" s="3" t="str">
        <f>CONCATENATE("  &lt;Analysis name=",CHAR(34),B136,CHAR(34))</f>
        <v xml:space="preserve">  &lt;Analysis name="A78638168G (A;G)"</v>
      </c>
      <c r="J138" s="3" t="str">
        <f>J94</f>
        <v>Variant</v>
      </c>
      <c r="K138" s="3" t="str">
        <f>K94</f>
        <v>[78923987C&gt;T]</v>
      </c>
      <c r="L138" s="3" t="str">
        <f>L94</f>
        <v>[78928264G&gt;T]</v>
      </c>
      <c r="M138" s="3" t="str">
        <f>M94</f>
        <v>[78930510A&gt;G]</v>
      </c>
    </row>
    <row r="139" spans="1:13" x14ac:dyDescent="0.25">
      <c r="A139" s="5" t="s">
        <v>75</v>
      </c>
      <c r="B139" s="2" t="str">
        <f>CONCATENATE("People with this variant have one copy of the ",B40," variant. This substitution of a single nucleotide is known as a missense mutation.")</f>
        <v>People with this variant have one copy of the [A78638168G](http://journals.sagepub.com/doi/10.4137/III.S25147) variant. This substitution of a single nucleotide is known as a missense mutation.</v>
      </c>
      <c r="C139" s="3" t="str">
        <f>CONCATENATE("            case={  variantCall ",CHAR(40),CHAR(34),B137,CHAR(34),CHAR(41))</f>
        <v xml:space="preserve">            case={  variantCall ("NC_000015.9:g.[78930510A&gt;G];[78930510=]")</v>
      </c>
      <c r="J139" s="3" t="str">
        <f>J95</f>
        <v>Wildtype</v>
      </c>
      <c r="K139" s="3" t="str">
        <f>K95</f>
        <v>[78923987=]</v>
      </c>
      <c r="L139" s="3" t="str">
        <f>L95</f>
        <v>[78928264=]</v>
      </c>
      <c r="M139" s="3" t="str">
        <f>M95</f>
        <v>[78930510=]</v>
      </c>
    </row>
    <row r="140" spans="1:13" x14ac:dyDescent="0.25">
      <c r="A140" s="1" t="s">
        <v>28</v>
      </c>
      <c r="B140" s="44" t="s">
        <v>227</v>
      </c>
      <c r="C140" s="3" t="s">
        <v>71</v>
      </c>
      <c r="J140" s="3" t="str">
        <f>J96</f>
        <v>Het</v>
      </c>
      <c r="K140" s="3" t="str">
        <f>K96</f>
        <v>NC_000015.9:g.[78923987C&gt;T];[78923987=]</v>
      </c>
      <c r="L140" s="3" t="str">
        <f>L96</f>
        <v>NC_000015.9:g.[78928264G&gt;T];[78928264=]</v>
      </c>
      <c r="M140" s="3" t="str">
        <f>M96</f>
        <v>NC_000015.9:g.[78930510A&gt;G];[78930510=]</v>
      </c>
    </row>
    <row r="141" spans="1:13" x14ac:dyDescent="0.25">
      <c r="A141" s="3" t="s">
        <v>73</v>
      </c>
      <c r="B141" s="29">
        <f>M143</f>
        <v>44.3</v>
      </c>
      <c r="C141" s="3" t="str">
        <f>CONCATENATE("                    ",CHAR(40),"variantCall ",CHAR(40),CHAR(34),L142,CHAR(34),CHAR(41)," OR variantCall ",CHAR(40),CHAR(34),L140,CHAR(34),CHAR(41),CHAR(41))</f>
        <v xml:space="preserve">                    (variantCall ("NC_000015.9:g.[78928264=];[78928264=]") OR variantCall ("NC_000015.9:g.[78928264G&gt;T];[78928264=]"))</v>
      </c>
      <c r="J141" s="3" t="str">
        <f>J97</f>
        <v>Homo</v>
      </c>
      <c r="K141" s="3" t="str">
        <f>K97</f>
        <v>NC_000015.9:g.[78923987C&gt;T];[78923987C&gt;T]</v>
      </c>
      <c r="L141" s="3" t="str">
        <f>L97</f>
        <v>NC_000015.9:g.[78928264G&gt;T];[78928264G&gt;T]</v>
      </c>
      <c r="M141" s="3" t="str">
        <f>M97</f>
        <v>NC_000015.9:g.[78930510A&gt;G];[78930510A&gt;G]</v>
      </c>
    </row>
    <row r="142" spans="1:13" x14ac:dyDescent="0.25">
      <c r="C142" s="3" t="s">
        <v>71</v>
      </c>
      <c r="J142" s="3" t="str">
        <f>J98</f>
        <v>Wildtype</v>
      </c>
      <c r="K142" s="3" t="str">
        <f>K98</f>
        <v>NC_000015.9:g.[78923987=];[78923987=]</v>
      </c>
      <c r="L142" s="3" t="str">
        <f>L98</f>
        <v>NC_000015.9:g.[78928264=];[78928264=]</v>
      </c>
      <c r="M142" s="3" t="str">
        <f>M98</f>
        <v>NC_000015.9:g.[78930510=];[78930510=]</v>
      </c>
    </row>
    <row r="143" spans="1:13" x14ac:dyDescent="0.25">
      <c r="C143" s="3" t="str">
        <f>CONCATENATE("                    ",CHAR(40),"variantCall ",CHAR(40),CHAR(34),M142,CHAR(34),CHAR(41)," OR variantCall ",CHAR(40),CHAR(34),M141,CHAR(34),CHAR(41),CHAR(41))</f>
        <v xml:space="preserve">                    (variantCall ("NC_000015.9:g.[78930510=];[78930510=]") OR variantCall ("NC_000015.9:g.[78930510A&gt;G];[78930510A&gt;G]"))</v>
      </c>
      <c r="J143" s="3" t="str">
        <f>J99</f>
        <v>Het%</v>
      </c>
      <c r="K143" s="3">
        <f>K99</f>
        <v>29</v>
      </c>
      <c r="L143" s="3">
        <f>L99</f>
        <v>48.5</v>
      </c>
      <c r="M143" s="3">
        <f>M99</f>
        <v>44.3</v>
      </c>
    </row>
    <row r="144" spans="1:13" x14ac:dyDescent="0.25">
      <c r="A144" s="14"/>
      <c r="C144" s="3" t="str">
        <f>CONCATENATE("                  } &gt; ")</f>
        <v xml:space="preserve">                  } &gt; </v>
      </c>
      <c r="J144" s="3" t="str">
        <f>J100</f>
        <v>Homo%</v>
      </c>
      <c r="K144" s="3">
        <f>K100</f>
        <v>10.4</v>
      </c>
      <c r="L144" s="3">
        <f>L100</f>
        <v>29.2</v>
      </c>
      <c r="M144" s="3">
        <f>M100</f>
        <v>38.200000000000003</v>
      </c>
    </row>
    <row r="145" spans="1:13" x14ac:dyDescent="0.25">
      <c r="A145" s="26"/>
      <c r="J145" s="3" t="str">
        <f>J101</f>
        <v>Wildtype%</v>
      </c>
      <c r="K145" s="3">
        <f>K101</f>
        <v>60.6</v>
      </c>
      <c r="L145" s="3">
        <f>L101</f>
        <v>22.3</v>
      </c>
      <c r="M145" s="3">
        <f>M101</f>
        <v>17.5</v>
      </c>
    </row>
    <row r="146" spans="1:13" x14ac:dyDescent="0.25">
      <c r="A146" s="14"/>
      <c r="C146" s="3" t="s">
        <v>26</v>
      </c>
    </row>
    <row r="147" spans="1:13" x14ac:dyDescent="0.25">
      <c r="A147" s="14"/>
    </row>
    <row r="148" spans="1:13" x14ac:dyDescent="0.25">
      <c r="A148" s="26"/>
      <c r="C148" s="3" t="str">
        <f>CONCATENATE("    ",B139)</f>
        <v xml:space="preserve">    People with this variant have one copy of the [A78638168G](http://journals.sagepub.com/doi/10.4137/III.S25147) variant. This substitution of a single nucleotide is known as a missense mutation.</v>
      </c>
    </row>
    <row r="149" spans="1:13" x14ac:dyDescent="0.25">
      <c r="A149" s="14"/>
    </row>
    <row r="150" spans="1:13" x14ac:dyDescent="0.25">
      <c r="A150" s="14"/>
      <c r="C150" s="3" t="s">
        <v>29</v>
      </c>
    </row>
    <row r="151" spans="1:13" x14ac:dyDescent="0.25">
      <c r="A151" s="14"/>
    </row>
    <row r="152" spans="1:13" x14ac:dyDescent="0.25">
      <c r="A152" s="14"/>
      <c r="C152" s="3" t="str">
        <f>CONCATENATE(B140)</f>
        <v xml:space="preserve">    Your variant is [2.5X](http://journals.sagepub.com/doi/10.4137/III.S25147) more common in ME/CFS patients. The malformed CHRNB4 protein may impact the activity of natural killer cells (NKC), a type of white blood cell found in the blood, bone marrow, spleen, and lymph nodes. They kill viral infected and tumorous cells. The NKC of many patients with ME/CFS have lower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53" spans="1:13" x14ac:dyDescent="0.25">
      <c r="A153" s="26"/>
    </row>
    <row r="154" spans="1:13" x14ac:dyDescent="0.25">
      <c r="A154" s="26"/>
      <c r="C154" s="3" t="s">
        <v>30</v>
      </c>
    </row>
    <row r="155" spans="1:13" x14ac:dyDescent="0.25">
      <c r="A155" s="26"/>
    </row>
    <row r="156" spans="1:13" x14ac:dyDescent="0.25">
      <c r="A156" s="26"/>
      <c r="C156" s="3" t="str">
        <f>CONCATENATE( "    &lt;piechart percentage=",B141," /&gt;")</f>
        <v xml:space="preserve">    &lt;piechart percentage=44.3 /&gt;</v>
      </c>
    </row>
    <row r="157" spans="1:13" x14ac:dyDescent="0.25">
      <c r="A157" s="26"/>
      <c r="C157" s="3" t="str">
        <f>"  &lt;/Analysis&gt;"</f>
        <v xml:space="preserve">  &lt;/Analysis&gt;</v>
      </c>
      <c r="K157" s="3" t="str">
        <f>K113</f>
        <v>rs17487223</v>
      </c>
      <c r="L157" s="3" t="str">
        <f>L113</f>
        <v>rs12441088</v>
      </c>
      <c r="M157" s="3" t="str">
        <f>M113</f>
        <v>rs1316971</v>
      </c>
    </row>
    <row r="158" spans="1:13" s="21" customFormat="1" x14ac:dyDescent="0.25">
      <c r="A158" s="28"/>
      <c r="B158" s="20"/>
      <c r="K158" s="21" t="str">
        <f t="shared" ref="K158:M167" si="6">K114</f>
        <v>C78631645T</v>
      </c>
      <c r="L158" s="21" t="str">
        <f t="shared" si="6"/>
        <v>G78635922T</v>
      </c>
      <c r="M158" s="21" t="str">
        <f t="shared" si="6"/>
        <v>A78638168G</v>
      </c>
    </row>
    <row r="159" spans="1:13" x14ac:dyDescent="0.25">
      <c r="B159" s="29"/>
      <c r="C159" s="10"/>
      <c r="K159" s="3" t="str">
        <f t="shared" si="6"/>
        <v>NC_000015.9:g.</v>
      </c>
      <c r="L159" s="3" t="str">
        <f t="shared" si="6"/>
        <v>NC_000015.9:g.</v>
      </c>
      <c r="M159" s="3" t="str">
        <f t="shared" si="6"/>
        <v>NC_000015.9:g.</v>
      </c>
    </row>
    <row r="160" spans="1:13" x14ac:dyDescent="0.25">
      <c r="B160" s="29"/>
      <c r="J160" s="3" t="str">
        <f t="shared" ref="J160:J167" si="7">J116</f>
        <v>Variant</v>
      </c>
      <c r="K160" s="3" t="str">
        <f t="shared" si="6"/>
        <v>[78923987C&gt;T]</v>
      </c>
      <c r="L160" s="3" t="str">
        <f t="shared" si="6"/>
        <v>[78928264G&gt;T]</v>
      </c>
      <c r="M160" s="3" t="str">
        <f t="shared" si="6"/>
        <v>[78930510A&gt;G]</v>
      </c>
    </row>
    <row r="161" spans="1:13" x14ac:dyDescent="0.25">
      <c r="A161" s="5"/>
      <c r="B161" s="2"/>
      <c r="J161" s="3" t="str">
        <f t="shared" si="7"/>
        <v>Wildtype</v>
      </c>
      <c r="K161" s="3" t="str">
        <f t="shared" si="6"/>
        <v>[78923987=]</v>
      </c>
      <c r="L161" s="3" t="str">
        <f t="shared" si="6"/>
        <v>[78928264=]</v>
      </c>
      <c r="M161" s="3" t="str">
        <f t="shared" si="6"/>
        <v>[78930510=]</v>
      </c>
    </row>
    <row r="162" spans="1:13" x14ac:dyDescent="0.25">
      <c r="A162" s="1"/>
      <c r="B162" s="43"/>
      <c r="J162" s="3" t="str">
        <f t="shared" si="7"/>
        <v>Het</v>
      </c>
      <c r="K162" s="3" t="str">
        <f t="shared" si="6"/>
        <v>NC_000015.9:g.[78923987C&gt;T];[78923987=]</v>
      </c>
      <c r="L162" s="3" t="str">
        <f t="shared" si="6"/>
        <v>NC_000015.9:g.[78928264G&gt;T];[78928264=]</v>
      </c>
      <c r="M162" s="3" t="str">
        <f t="shared" si="6"/>
        <v>NC_000015.9:g.[78930510A&gt;G];[78930510=]</v>
      </c>
    </row>
    <row r="163" spans="1:13" x14ac:dyDescent="0.25">
      <c r="B163" s="29"/>
      <c r="J163" s="3" t="str">
        <f t="shared" si="7"/>
        <v>Homo</v>
      </c>
      <c r="K163" s="3" t="str">
        <f t="shared" si="6"/>
        <v>NC_000015.9:g.[78923987C&gt;T];[78923987C&gt;T]</v>
      </c>
      <c r="L163" s="3" t="str">
        <f t="shared" si="6"/>
        <v>NC_000015.9:g.[78928264G&gt;T];[78928264G&gt;T]</v>
      </c>
      <c r="M163" s="3" t="str">
        <f t="shared" si="6"/>
        <v>NC_000015.9:g.[78930510A&gt;G];[78930510A&gt;G]</v>
      </c>
    </row>
    <row r="164" spans="1:13" x14ac:dyDescent="0.25">
      <c r="J164" s="3" t="str">
        <f t="shared" si="7"/>
        <v>Wildtype</v>
      </c>
      <c r="K164" s="3" t="str">
        <f t="shared" si="6"/>
        <v>NC_000015.9:g.[78923987=];[78923987=]</v>
      </c>
      <c r="L164" s="3" t="str">
        <f t="shared" si="6"/>
        <v>NC_000015.9:g.[78928264=];[78928264=]</v>
      </c>
      <c r="M164" s="3" t="str">
        <f t="shared" si="6"/>
        <v>NC_000015.9:g.[78930510=];[78930510=]</v>
      </c>
    </row>
    <row r="165" spans="1:13" x14ac:dyDescent="0.25">
      <c r="J165" s="3" t="str">
        <f t="shared" si="7"/>
        <v>Het%</v>
      </c>
      <c r="K165" s="3">
        <f t="shared" si="6"/>
        <v>29</v>
      </c>
      <c r="L165" s="3">
        <f t="shared" si="6"/>
        <v>48.5</v>
      </c>
      <c r="M165" s="3">
        <f t="shared" si="6"/>
        <v>44.3</v>
      </c>
    </row>
    <row r="166" spans="1:13" x14ac:dyDescent="0.25">
      <c r="A166" s="14"/>
      <c r="J166" s="3" t="str">
        <f t="shared" si="7"/>
        <v>Homo%</v>
      </c>
      <c r="K166" s="3">
        <f t="shared" si="6"/>
        <v>10.4</v>
      </c>
      <c r="L166" s="3">
        <f t="shared" si="6"/>
        <v>29.2</v>
      </c>
      <c r="M166" s="3">
        <f t="shared" si="6"/>
        <v>38.200000000000003</v>
      </c>
    </row>
    <row r="167" spans="1:13" x14ac:dyDescent="0.25">
      <c r="A167" s="26"/>
      <c r="J167" s="3" t="str">
        <f t="shared" si="7"/>
        <v>Wildtype%</v>
      </c>
      <c r="K167" s="3">
        <f t="shared" si="6"/>
        <v>60.6</v>
      </c>
      <c r="L167" s="3">
        <f t="shared" si="6"/>
        <v>22.3</v>
      </c>
      <c r="M167" s="3">
        <f t="shared" si="6"/>
        <v>17.5</v>
      </c>
    </row>
    <row r="168" spans="1:13" x14ac:dyDescent="0.25">
      <c r="A168" s="14"/>
    </row>
    <row r="169" spans="1:13" x14ac:dyDescent="0.25">
      <c r="A169" s="14"/>
    </row>
    <row r="170" spans="1:13" x14ac:dyDescent="0.25">
      <c r="A170" s="26"/>
    </row>
    <row r="171" spans="1:13" x14ac:dyDescent="0.25">
      <c r="A171" s="14"/>
    </row>
    <row r="172" spans="1:13" x14ac:dyDescent="0.25">
      <c r="A172" s="14"/>
    </row>
    <row r="173" spans="1:13" x14ac:dyDescent="0.25">
      <c r="A173" s="14"/>
    </row>
    <row r="174" spans="1:13" x14ac:dyDescent="0.25">
      <c r="A174" s="14"/>
    </row>
    <row r="175" spans="1:13" x14ac:dyDescent="0.25">
      <c r="A175" s="26"/>
    </row>
    <row r="176" spans="1:13" x14ac:dyDescent="0.25">
      <c r="A176" s="26"/>
    </row>
    <row r="177" spans="1:13" x14ac:dyDescent="0.25">
      <c r="A177" s="26"/>
    </row>
    <row r="178" spans="1:13" x14ac:dyDescent="0.25">
      <c r="A178" s="26"/>
    </row>
    <row r="179" spans="1:13" x14ac:dyDescent="0.25">
      <c r="A179" s="26"/>
      <c r="K179" s="3" t="str">
        <f t="shared" ref="K179:M189" si="8">K135</f>
        <v>rs17487223</v>
      </c>
      <c r="L179" s="3" t="str">
        <f t="shared" si="8"/>
        <v>rs12441088</v>
      </c>
      <c r="M179" s="3" t="str">
        <f t="shared" si="8"/>
        <v>rs1316971</v>
      </c>
    </row>
    <row r="180" spans="1:13" s="21" customFormat="1" x14ac:dyDescent="0.25">
      <c r="A180" s="28" t="s">
        <v>70</v>
      </c>
      <c r="B180" s="20" t="str">
        <f>CONCATENATE(B48," and ",B114," and ",B136)</f>
        <v>C78631645T (C;T) and G78635922T (T;T) and A78638168G (A;G)</v>
      </c>
      <c r="C180" s="21" t="str">
        <f>CONCATENATE("&lt;# ",B180," #&gt;")</f>
        <v>&lt;# C78631645T (C;T) and G78635922T (T;T) and A78638168G (A;G) #&gt;</v>
      </c>
      <c r="K180" s="21" t="str">
        <f t="shared" si="8"/>
        <v>C78631645T</v>
      </c>
      <c r="L180" s="21" t="str">
        <f t="shared" si="8"/>
        <v>G78635922T</v>
      </c>
      <c r="M180" s="21" t="str">
        <f t="shared" si="8"/>
        <v>A78638168G</v>
      </c>
    </row>
    <row r="181" spans="1:13" x14ac:dyDescent="0.25">
      <c r="A181" s="14" t="s">
        <v>21</v>
      </c>
      <c r="B181" s="15" t="str">
        <f>K52</f>
        <v>NC_000015.9:g.[78923987C&gt;T];[78923987=]</v>
      </c>
      <c r="K181" s="3" t="str">
        <f t="shared" si="8"/>
        <v>NC_000015.9:g.</v>
      </c>
      <c r="L181" s="3" t="str">
        <f t="shared" si="8"/>
        <v>NC_000015.9:g.</v>
      </c>
      <c r="M181" s="3" t="str">
        <f t="shared" si="8"/>
        <v>NC_000015.9:g.</v>
      </c>
    </row>
    <row r="182" spans="1:13" x14ac:dyDescent="0.25">
      <c r="A182" s="14" t="s">
        <v>72</v>
      </c>
      <c r="C182" s="3" t="str">
        <f>CONCATENATE("  &lt;Analysis name=",CHAR(34),B180,CHAR(34))</f>
        <v xml:space="preserve">  &lt;Analysis name="C78631645T (C;T) and G78635922T (T;T) and A78638168G (A;G)"</v>
      </c>
      <c r="J182" s="3" t="str">
        <f t="shared" ref="J182:J189" si="9">J138</f>
        <v>Variant</v>
      </c>
      <c r="K182" s="3" t="str">
        <f t="shared" si="8"/>
        <v>[78923987C&gt;T]</v>
      </c>
      <c r="L182" s="3" t="str">
        <f t="shared" si="8"/>
        <v>[78928264G&gt;T]</v>
      </c>
      <c r="M182" s="3" t="str">
        <f t="shared" si="8"/>
        <v>[78930510A&gt;G]</v>
      </c>
    </row>
    <row r="183" spans="1:13" x14ac:dyDescent="0.25">
      <c r="A183" s="26" t="s">
        <v>75</v>
      </c>
      <c r="B183" s="15" t="str">
        <f>CONCATENATE("People with this variant have copies of the ",B22,", ",B31, ", and ",B40," variants. This substitution of a single nucleotide is known as a missense mutation.")</f>
        <v>People with this variant have copies of the [C78631645T](https://www.ncbi.nlm.nih.gov/projects/SNP/snp_ref.cgi?rs=17487223), [G78635922T](http://journals.sagepub.com/doi/10.4137/III.S25147), and [A78638168G](http://journals.sagepub.com/doi/10.4137/III.S25147) variants. This substitution of a single nucleotide is known as a missense mutation.</v>
      </c>
      <c r="C183" s="3" t="str">
        <f>CONCATENATE("            case={  variantCall ",CHAR(40),CHAR(34),K184,CHAR(34),CHAR(41))</f>
        <v xml:space="preserve">            case={  variantCall ("NC_000015.9:g.[78923987C&gt;T];[78923987=]")</v>
      </c>
      <c r="J183" s="3" t="str">
        <f t="shared" si="9"/>
        <v>Wildtype</v>
      </c>
      <c r="K183" s="3" t="str">
        <f t="shared" si="8"/>
        <v>[78923987=]</v>
      </c>
      <c r="L183" s="3" t="str">
        <f t="shared" si="8"/>
        <v>[78928264=]</v>
      </c>
      <c r="M183" s="3" t="str">
        <f t="shared" si="8"/>
        <v>[78930510=]</v>
      </c>
    </row>
    <row r="184" spans="1:13" x14ac:dyDescent="0.25">
      <c r="A184" s="26" t="s">
        <v>28</v>
      </c>
      <c r="B184" s="36"/>
      <c r="C184" s="3" t="s">
        <v>71</v>
      </c>
      <c r="J184" s="3" t="str">
        <f t="shared" si="9"/>
        <v>Het</v>
      </c>
      <c r="K184" s="3" t="str">
        <f t="shared" si="8"/>
        <v>NC_000015.9:g.[78923987C&gt;T];[78923987=]</v>
      </c>
      <c r="L184" s="3" t="str">
        <f t="shared" si="8"/>
        <v>NC_000015.9:g.[78928264G&gt;T];[78928264=]</v>
      </c>
      <c r="M184" s="3" t="str">
        <f t="shared" si="8"/>
        <v>NC_000015.9:g.[78930510A&gt;G];[78930510=]</v>
      </c>
    </row>
    <row r="185" spans="1:13" x14ac:dyDescent="0.25">
      <c r="A185" s="26" t="s">
        <v>73</v>
      </c>
      <c r="C185" s="3" t="str">
        <f>CONCATENATE("                    ",CHAR(40),"variantCall ",CHAR(40),CHAR(34),L184,CHAR(34),CHAR(41)," or variantCall ",CHAR(40),CHAR(34),L185,CHAR(34),CHAR(41),CHAR(41))</f>
        <v xml:space="preserve">                    (variantCall ("NC_000015.9:g.[78928264G&gt;T];[78928264=]") or variantCall ("NC_000015.9:g.[78928264G&gt;T];[78928264G&gt;T]"))</v>
      </c>
      <c r="J185" s="3" t="str">
        <f t="shared" si="9"/>
        <v>Homo</v>
      </c>
      <c r="K185" s="3" t="str">
        <f t="shared" si="8"/>
        <v>NC_000015.9:g.[78923987C&gt;T];[78923987C&gt;T]</v>
      </c>
      <c r="L185" s="3" t="str">
        <f t="shared" si="8"/>
        <v>NC_000015.9:g.[78928264G&gt;T];[78928264G&gt;T]</v>
      </c>
      <c r="M185" s="3" t="str">
        <f t="shared" si="8"/>
        <v>NC_000015.9:g.[78930510A&gt;G];[78930510A&gt;G]</v>
      </c>
    </row>
    <row r="186" spans="1:13" x14ac:dyDescent="0.25">
      <c r="A186" s="26"/>
      <c r="C186" s="3" t="s">
        <v>71</v>
      </c>
      <c r="J186" s="3" t="str">
        <f t="shared" si="9"/>
        <v>Wildtype</v>
      </c>
      <c r="K186" s="3" t="str">
        <f t="shared" si="8"/>
        <v>NC_000015.9:g.[78923987=];[78923987=]</v>
      </c>
      <c r="L186" s="3" t="str">
        <f t="shared" si="8"/>
        <v>NC_000015.9:g.[78928264=];[78928264=]</v>
      </c>
      <c r="M186" s="3" t="str">
        <f t="shared" si="8"/>
        <v>NC_000015.9:g.[78930510=];[78930510=]</v>
      </c>
    </row>
    <row r="187" spans="1:13" x14ac:dyDescent="0.25">
      <c r="A187" s="26"/>
      <c r="C187" s="3" t="str">
        <f>CONCATENATE("                    ",CHAR(40),"variantCall ",CHAR(40),CHAR(34),M184,CHAR(34),CHAR(41)," or variantCall ",CHAR(40),CHAR(34),M185,CHAR(34),CHAR(41),CHAR(41))</f>
        <v xml:space="preserve">                    (variantCall ("NC_000015.9:g.[78930510A&gt;G];[78930510=]") or variantCall ("NC_000015.9:g.[78930510A&gt;G];[78930510A&gt;G]"))</v>
      </c>
      <c r="J187" s="3" t="str">
        <f t="shared" si="9"/>
        <v>Het%</v>
      </c>
      <c r="K187" s="3">
        <f t="shared" si="8"/>
        <v>29</v>
      </c>
      <c r="L187" s="3">
        <f t="shared" si="8"/>
        <v>48.5</v>
      </c>
      <c r="M187" s="3">
        <f t="shared" si="8"/>
        <v>44.3</v>
      </c>
    </row>
    <row r="188" spans="1:13" x14ac:dyDescent="0.25">
      <c r="A188" s="26"/>
      <c r="C188" s="3" t="str">
        <f>CONCATENATE("                  } &gt; ")</f>
        <v xml:space="preserve">                  } &gt; </v>
      </c>
      <c r="J188" s="3" t="str">
        <f t="shared" si="9"/>
        <v>Homo%</v>
      </c>
      <c r="K188" s="3">
        <f t="shared" si="8"/>
        <v>10.4</v>
      </c>
      <c r="L188" s="3">
        <f t="shared" si="8"/>
        <v>29.2</v>
      </c>
      <c r="M188" s="3">
        <f t="shared" si="8"/>
        <v>38.200000000000003</v>
      </c>
    </row>
    <row r="189" spans="1:13" x14ac:dyDescent="0.25">
      <c r="A189" s="14"/>
      <c r="J189" s="3" t="str">
        <f t="shared" si="9"/>
        <v>Wildtype%</v>
      </c>
      <c r="K189" s="3">
        <f t="shared" si="8"/>
        <v>60.6</v>
      </c>
      <c r="L189" s="3">
        <f t="shared" si="8"/>
        <v>22.3</v>
      </c>
      <c r="M189" s="3">
        <f t="shared" si="8"/>
        <v>17.5</v>
      </c>
    </row>
    <row r="190" spans="1:13" x14ac:dyDescent="0.25">
      <c r="A190" s="14"/>
      <c r="C190" s="3" t="s">
        <v>26</v>
      </c>
    </row>
    <row r="191" spans="1:13" x14ac:dyDescent="0.25">
      <c r="A191" s="14"/>
    </row>
    <row r="192" spans="1:13" x14ac:dyDescent="0.25">
      <c r="A192" s="14"/>
      <c r="C192" s="3" t="str">
        <f>CONCATENATE("    ",B183)</f>
        <v xml:space="preserve">    People with this variant have copies of the [C78631645T](https://www.ncbi.nlm.nih.gov/projects/SNP/snp_ref.cgi?rs=17487223), [G78635922T](http://journals.sagepub.com/doi/10.4137/III.S25147), and [A78638168G](http://journals.sagepub.com/doi/10.4137/III.S25147) variants. This substitution of a single nucleotide is known as a missense mutation.</v>
      </c>
    </row>
    <row r="193" spans="1:13" x14ac:dyDescent="0.25">
      <c r="A193" s="14"/>
    </row>
    <row r="194" spans="1:13" x14ac:dyDescent="0.25">
      <c r="A194" s="26"/>
      <c r="C194" s="3" t="s">
        <v>29</v>
      </c>
    </row>
    <row r="195" spans="1:13" x14ac:dyDescent="0.25">
      <c r="A195" s="26"/>
    </row>
    <row r="196" spans="1:13" x14ac:dyDescent="0.25">
      <c r="A196" s="26"/>
      <c r="C196" s="3" t="str">
        <f>CONCATENATE(B184)</f>
        <v/>
      </c>
    </row>
    <row r="197" spans="1:13" x14ac:dyDescent="0.25">
      <c r="A197" s="26"/>
    </row>
    <row r="198" spans="1:13" x14ac:dyDescent="0.25">
      <c r="A198" s="26"/>
      <c r="C198" s="3" t="s">
        <v>30</v>
      </c>
    </row>
    <row r="199" spans="1:13" x14ac:dyDescent="0.25">
      <c r="A199" s="26"/>
    </row>
    <row r="200" spans="1:13" x14ac:dyDescent="0.25">
      <c r="A200" s="26"/>
      <c r="C200" s="3" t="str">
        <f>CONCATENATE( "    &lt;piechart percentage=",B185," /&gt;")</f>
        <v xml:space="preserve">    &lt;piechart percentage= /&gt;</v>
      </c>
    </row>
    <row r="201" spans="1:13" x14ac:dyDescent="0.25">
      <c r="A201" s="26"/>
      <c r="C201" s="3" t="str">
        <f>"  &lt;/Analysis&gt;"</f>
        <v xml:space="preserve">  &lt;/Analysis&gt;</v>
      </c>
      <c r="K201" s="3" t="str">
        <f t="shared" ref="K201:M203" si="10">K179</f>
        <v>rs17487223</v>
      </c>
      <c r="L201" s="3" t="str">
        <f t="shared" si="10"/>
        <v>rs12441088</v>
      </c>
      <c r="M201" s="3" t="str">
        <f t="shared" si="10"/>
        <v>rs1316971</v>
      </c>
    </row>
    <row r="202" spans="1:13" s="21" customFormat="1" x14ac:dyDescent="0.25">
      <c r="A202" s="28" t="s">
        <v>70</v>
      </c>
      <c r="B202" s="20" t="str">
        <f>CONCATENATE(B70," and ",B114," and ",B136)</f>
        <v>C78631645T (T;T) and G78635922T (T;T) and A78638168G (A;G)</v>
      </c>
      <c r="C202" s="21" t="str">
        <f>CONCATENATE("&lt;# ",B202," #&gt;")</f>
        <v>&lt;# C78631645T (T;T) and G78635922T (T;T) and A78638168G (A;G) #&gt;</v>
      </c>
      <c r="K202" s="21" t="str">
        <f t="shared" si="10"/>
        <v>C78631645T</v>
      </c>
      <c r="L202" s="21" t="str">
        <f t="shared" si="10"/>
        <v>G78635922T</v>
      </c>
      <c r="M202" s="21" t="str">
        <f t="shared" si="10"/>
        <v>A78638168G</v>
      </c>
    </row>
    <row r="203" spans="1:13" x14ac:dyDescent="0.25">
      <c r="A203" s="14" t="s">
        <v>21</v>
      </c>
      <c r="B203" s="15" t="str">
        <f>K74</f>
        <v>NC_000015.9:g.[78923987C&gt;T];[78923987=]</v>
      </c>
      <c r="K203" s="3" t="str">
        <f t="shared" si="10"/>
        <v>NC_000015.9:g.</v>
      </c>
      <c r="L203" s="3" t="str">
        <f t="shared" si="10"/>
        <v>NC_000015.9:g.</v>
      </c>
      <c r="M203" s="3" t="str">
        <f t="shared" si="10"/>
        <v>NC_000015.9:g.</v>
      </c>
    </row>
    <row r="204" spans="1:13" x14ac:dyDescent="0.25">
      <c r="A204" s="14" t="s">
        <v>72</v>
      </c>
      <c r="C204" s="3" t="str">
        <f>CONCATENATE("  &lt;Analysis name=",CHAR(34),B202,CHAR(34))</f>
        <v xml:space="preserve">  &lt;Analysis name="C78631645T (T;T) and G78635922T (T;T) and A78638168G (A;G)"</v>
      </c>
      <c r="J204" s="3" t="str">
        <f t="shared" ref="J204:M211" si="11">J182</f>
        <v>Variant</v>
      </c>
      <c r="K204" s="3" t="str">
        <f t="shared" si="11"/>
        <v>[78923987C&gt;T]</v>
      </c>
      <c r="L204" s="3" t="str">
        <f t="shared" si="11"/>
        <v>[78928264G&gt;T]</v>
      </c>
      <c r="M204" s="3" t="str">
        <f t="shared" si="11"/>
        <v>[78930510A&gt;G]</v>
      </c>
    </row>
    <row r="205" spans="1:13" x14ac:dyDescent="0.25">
      <c r="A205" s="26" t="s">
        <v>75</v>
      </c>
      <c r="B205" s="15" t="str">
        <f>CONCATENATE("People with this variant have copies of the ",B22,", ",B31, ", and ",B40," variants. This substitution of a single nucleotide is known as a missense mutation.")</f>
        <v>People with this variant have copies of the [C78631645T](https://www.ncbi.nlm.nih.gov/projects/SNP/snp_ref.cgi?rs=17487223), [G78635922T](http://journals.sagepub.com/doi/10.4137/III.S25147), and [A78638168G](http://journals.sagepub.com/doi/10.4137/III.S25147) variants. This substitution of a single nucleotide is known as a missense mutation.</v>
      </c>
      <c r="C205" s="3" t="str">
        <f>CONCATENATE("            case={  variantCall ",CHAR(40),CHAR(34),K207,CHAR(34),CHAR(41))</f>
        <v xml:space="preserve">            case={  variantCall ("NC_000015.9:g.[78923987C&gt;T];[78923987C&gt;T]")</v>
      </c>
      <c r="J205" s="3" t="str">
        <f t="shared" si="11"/>
        <v>Wildtype</v>
      </c>
      <c r="K205" s="3" t="str">
        <f t="shared" si="11"/>
        <v>[78923987=]</v>
      </c>
      <c r="L205" s="3" t="str">
        <f t="shared" si="11"/>
        <v>[78928264=]</v>
      </c>
      <c r="M205" s="3" t="str">
        <f t="shared" si="11"/>
        <v>[78930510=]</v>
      </c>
    </row>
    <row r="206" spans="1:13" x14ac:dyDescent="0.25">
      <c r="A206" s="26" t="s">
        <v>28</v>
      </c>
      <c r="B206" s="36"/>
      <c r="C206" s="3" t="s">
        <v>71</v>
      </c>
      <c r="J206" s="3" t="str">
        <f t="shared" si="11"/>
        <v>Het</v>
      </c>
      <c r="K206" s="3" t="str">
        <f t="shared" si="11"/>
        <v>NC_000015.9:g.[78923987C&gt;T];[78923987=]</v>
      </c>
      <c r="L206" s="3" t="str">
        <f t="shared" si="11"/>
        <v>NC_000015.9:g.[78928264G&gt;T];[78928264=]</v>
      </c>
      <c r="M206" s="3" t="str">
        <f t="shared" si="11"/>
        <v>NC_000015.9:g.[78930510A&gt;G];[78930510=]</v>
      </c>
    </row>
    <row r="207" spans="1:13" x14ac:dyDescent="0.25">
      <c r="A207" s="26" t="s">
        <v>73</v>
      </c>
      <c r="C207" s="3" t="str">
        <f>CONCATENATE("                    variantCall ",CHAR(40),CHAR(34),L207,CHAR(34),CHAR(41))</f>
        <v xml:space="preserve">                    variantCall ("NC_000015.9:g.[78928264G&gt;T];[78928264G&gt;T]")</v>
      </c>
      <c r="J207" s="3" t="str">
        <f t="shared" si="11"/>
        <v>Homo</v>
      </c>
      <c r="K207" s="3" t="str">
        <f t="shared" si="11"/>
        <v>NC_000015.9:g.[78923987C&gt;T];[78923987C&gt;T]</v>
      </c>
      <c r="L207" s="3" t="str">
        <f t="shared" si="11"/>
        <v>NC_000015.9:g.[78928264G&gt;T];[78928264G&gt;T]</v>
      </c>
      <c r="M207" s="3" t="str">
        <f t="shared" si="11"/>
        <v>NC_000015.9:g.[78930510A&gt;G];[78930510A&gt;G]</v>
      </c>
    </row>
    <row r="208" spans="1:13" x14ac:dyDescent="0.25">
      <c r="A208" s="26"/>
      <c r="C208" s="3" t="s">
        <v>71</v>
      </c>
      <c r="J208" s="3" t="str">
        <f t="shared" si="11"/>
        <v>Wildtype</v>
      </c>
      <c r="K208" s="3" t="str">
        <f t="shared" si="11"/>
        <v>NC_000015.9:g.[78923987=];[78923987=]</v>
      </c>
      <c r="L208" s="3" t="str">
        <f t="shared" si="11"/>
        <v>NC_000015.9:g.[78928264=];[78928264=]</v>
      </c>
      <c r="M208" s="3" t="str">
        <f t="shared" si="11"/>
        <v>NC_000015.9:g.[78930510=];[78930510=]</v>
      </c>
    </row>
    <row r="209" spans="1:13" x14ac:dyDescent="0.25">
      <c r="A209" s="26"/>
      <c r="C209" s="3" t="str">
        <f>CONCATENATE("                    variantCall ",CHAR(40),CHAR(34),M206,CHAR(34),CHAR(41))</f>
        <v xml:space="preserve">                    variantCall ("NC_000015.9:g.[78930510A&gt;G];[78930510=]")</v>
      </c>
      <c r="J209" s="3" t="str">
        <f t="shared" si="11"/>
        <v>Het%</v>
      </c>
      <c r="K209" s="3">
        <f t="shared" si="11"/>
        <v>29</v>
      </c>
      <c r="L209" s="3">
        <f t="shared" si="11"/>
        <v>48.5</v>
      </c>
      <c r="M209" s="3">
        <f t="shared" si="11"/>
        <v>44.3</v>
      </c>
    </row>
    <row r="210" spans="1:13" x14ac:dyDescent="0.25">
      <c r="A210" s="26"/>
      <c r="C210" s="3" t="str">
        <f>CONCATENATE("                  } &gt; ")</f>
        <v xml:space="preserve">                  } &gt; </v>
      </c>
      <c r="J210" s="3" t="str">
        <f t="shared" si="11"/>
        <v>Homo%</v>
      </c>
      <c r="K210" s="3">
        <f t="shared" si="11"/>
        <v>10.4</v>
      </c>
      <c r="L210" s="3">
        <f t="shared" si="11"/>
        <v>29.2</v>
      </c>
      <c r="M210" s="3">
        <f t="shared" si="11"/>
        <v>38.200000000000003</v>
      </c>
    </row>
    <row r="211" spans="1:13" x14ac:dyDescent="0.25">
      <c r="A211" s="14"/>
      <c r="J211" s="3" t="str">
        <f t="shared" si="11"/>
        <v>Wildtype%</v>
      </c>
      <c r="K211" s="3">
        <f t="shared" si="11"/>
        <v>60.6</v>
      </c>
      <c r="L211" s="3">
        <f t="shared" si="11"/>
        <v>22.3</v>
      </c>
      <c r="M211" s="3">
        <f t="shared" si="11"/>
        <v>17.5</v>
      </c>
    </row>
    <row r="212" spans="1:13" x14ac:dyDescent="0.25">
      <c r="A212" s="14"/>
      <c r="C212" s="3" t="s">
        <v>26</v>
      </c>
    </row>
    <row r="213" spans="1:13" x14ac:dyDescent="0.25">
      <c r="A213" s="14"/>
    </row>
    <row r="214" spans="1:13" x14ac:dyDescent="0.25">
      <c r="A214" s="14"/>
      <c r="C214" s="3" t="str">
        <f>CONCATENATE("    ",B205)</f>
        <v xml:space="preserve">    People with this variant have copies of the [C78631645T](https://www.ncbi.nlm.nih.gov/projects/SNP/snp_ref.cgi?rs=17487223), [G78635922T](http://journals.sagepub.com/doi/10.4137/III.S25147), and [A78638168G](http://journals.sagepub.com/doi/10.4137/III.S25147) variants. This substitution of a single nucleotide is known as a missense mutation.</v>
      </c>
    </row>
    <row r="215" spans="1:13" x14ac:dyDescent="0.25">
      <c r="A215" s="14"/>
    </row>
    <row r="216" spans="1:13" x14ac:dyDescent="0.25">
      <c r="A216" s="26"/>
      <c r="C216" s="3" t="s">
        <v>29</v>
      </c>
    </row>
    <row r="217" spans="1:13" x14ac:dyDescent="0.25">
      <c r="A217" s="26"/>
    </row>
    <row r="218" spans="1:13" x14ac:dyDescent="0.25">
      <c r="A218" s="26"/>
      <c r="C218" s="3" t="str">
        <f>CONCATENATE(B206)</f>
        <v/>
      </c>
    </row>
    <row r="219" spans="1:13" x14ac:dyDescent="0.25">
      <c r="A219" s="26"/>
    </row>
    <row r="220" spans="1:13" x14ac:dyDescent="0.25">
      <c r="A220" s="26"/>
      <c r="C220" s="3" t="s">
        <v>30</v>
      </c>
    </row>
    <row r="221" spans="1:13" x14ac:dyDescent="0.25">
      <c r="A221" s="26"/>
    </row>
    <row r="222" spans="1:13" x14ac:dyDescent="0.25">
      <c r="A222" s="26"/>
      <c r="C222" s="3" t="str">
        <f>CONCATENATE( "    &lt;piechart percentage=",B207," /&gt;")</f>
        <v xml:space="preserve">    &lt;piechart percentage= /&gt;</v>
      </c>
    </row>
    <row r="223" spans="1:13" x14ac:dyDescent="0.25">
      <c r="A223" s="26"/>
      <c r="C223" s="3" t="str">
        <f>"  &lt;/Analysis&gt;"</f>
        <v xml:space="preserve">  &lt;/Analysis&gt;</v>
      </c>
      <c r="K223" s="3" t="str">
        <f t="shared" ref="K223:M225" si="12">K201</f>
        <v>rs17487223</v>
      </c>
      <c r="L223" s="3" t="str">
        <f t="shared" si="12"/>
        <v>rs12441088</v>
      </c>
      <c r="M223" s="3" t="str">
        <f t="shared" si="12"/>
        <v>rs1316971</v>
      </c>
    </row>
    <row r="224" spans="1:13" s="21" customFormat="1" x14ac:dyDescent="0.25">
      <c r="A224" s="28" t="s">
        <v>70</v>
      </c>
      <c r="B224" s="20" t="str">
        <f>CONCATENATE(B48," and ",B114)</f>
        <v>C78631645T (C;T) and G78635922T (T;T)</v>
      </c>
      <c r="C224" s="21" t="str">
        <f>CONCATENATE("&lt;# ",B224," #&gt;")</f>
        <v>&lt;# C78631645T (C;T) and G78635922T (T;T) #&gt;</v>
      </c>
      <c r="K224" s="21" t="str">
        <f t="shared" si="12"/>
        <v>C78631645T</v>
      </c>
      <c r="L224" s="21" t="str">
        <f t="shared" si="12"/>
        <v>G78635922T</v>
      </c>
      <c r="M224" s="21" t="str">
        <f t="shared" si="12"/>
        <v>A78638168G</v>
      </c>
    </row>
    <row r="225" spans="1:13" x14ac:dyDescent="0.25">
      <c r="A225" s="14" t="s">
        <v>21</v>
      </c>
      <c r="B225" s="15" t="str">
        <f>K96</f>
        <v>NC_000015.9:g.[78923987C&gt;T];[78923987=]</v>
      </c>
      <c r="K225" s="3" t="str">
        <f t="shared" si="12"/>
        <v>NC_000015.9:g.</v>
      </c>
      <c r="L225" s="3" t="str">
        <f t="shared" si="12"/>
        <v>NC_000015.9:g.</v>
      </c>
      <c r="M225" s="3" t="str">
        <f t="shared" si="12"/>
        <v>NC_000015.9:g.</v>
      </c>
    </row>
    <row r="226" spans="1:13" x14ac:dyDescent="0.25">
      <c r="A226" s="14" t="s">
        <v>72</v>
      </c>
      <c r="C226" s="3" t="str">
        <f>CONCATENATE("  &lt;Analysis name=",CHAR(34),B224,CHAR(34))</f>
        <v xml:space="preserve">  &lt;Analysis name="C78631645T (C;T) and G78635922T (T;T)"</v>
      </c>
      <c r="J226" s="3" t="str">
        <f t="shared" ref="J226:M233" si="13">J204</f>
        <v>Variant</v>
      </c>
      <c r="K226" s="3" t="str">
        <f t="shared" si="13"/>
        <v>[78923987C&gt;T]</v>
      </c>
      <c r="L226" s="3" t="str">
        <f t="shared" si="13"/>
        <v>[78928264G&gt;T]</v>
      </c>
      <c r="M226" s="3" t="str">
        <f t="shared" si="13"/>
        <v>[78930510A&gt;G]</v>
      </c>
    </row>
    <row r="227" spans="1:13" x14ac:dyDescent="0.25">
      <c r="A227" s="26" t="s">
        <v>75</v>
      </c>
      <c r="B227" s="15" t="str">
        <f>CONCATENATE("People with this variant have copies of the ",B22, ", and ",B31," variants. This substitution of a single nucleotide is known as a missense mutation.")</f>
        <v>People with this variant have copies of the [C78631645T](https://www.ncbi.nlm.nih.gov/projects/SNP/snp_ref.cgi?rs=17487223), and [G78635922T](http://journals.sagepub.com/doi/10.4137/III.S25147) variants. This substitution of a single nucleotide is known as a missense mutation.</v>
      </c>
      <c r="C227" s="3" t="str">
        <f>CONCATENATE("            case={  variantCall ",CHAR(40),CHAR(34),K228,CHAR(34),CHAR(41))</f>
        <v xml:space="preserve">            case={  variantCall ("NC_000015.9:g.[78923987C&gt;T];[78923987=]")</v>
      </c>
      <c r="J227" s="3" t="str">
        <f t="shared" si="13"/>
        <v>Wildtype</v>
      </c>
      <c r="K227" s="3" t="str">
        <f t="shared" si="13"/>
        <v>[78923987=]</v>
      </c>
      <c r="L227" s="3" t="str">
        <f t="shared" si="13"/>
        <v>[78928264=]</v>
      </c>
      <c r="M227" s="3" t="str">
        <f t="shared" si="13"/>
        <v>[78930510=]</v>
      </c>
    </row>
    <row r="228" spans="1:13" x14ac:dyDescent="0.25">
      <c r="A228" s="26" t="s">
        <v>28</v>
      </c>
      <c r="C228" s="3" t="s">
        <v>71</v>
      </c>
      <c r="J228" s="3" t="str">
        <f t="shared" si="13"/>
        <v>Het</v>
      </c>
      <c r="K228" s="3" t="str">
        <f t="shared" si="13"/>
        <v>NC_000015.9:g.[78923987C&gt;T];[78923987=]</v>
      </c>
      <c r="L228" s="3" t="str">
        <f t="shared" si="13"/>
        <v>NC_000015.9:g.[78928264G&gt;T];[78928264=]</v>
      </c>
      <c r="M228" s="3" t="str">
        <f t="shared" si="13"/>
        <v>NC_000015.9:g.[78930510A&gt;G];[78930510=]</v>
      </c>
    </row>
    <row r="229" spans="1:13" x14ac:dyDescent="0.25">
      <c r="A229" s="26" t="s">
        <v>73</v>
      </c>
      <c r="C229" s="3" t="str">
        <f>CONCATENATE("                    variantCall ",CHAR(40),CHAR(34),L229,CHAR(34),CHAR(41))</f>
        <v xml:space="preserve">                    variantCall ("NC_000015.9:g.[78928264G&gt;T];[78928264G&gt;T]")</v>
      </c>
      <c r="J229" s="3" t="str">
        <f t="shared" si="13"/>
        <v>Homo</v>
      </c>
      <c r="K229" s="3" t="str">
        <f t="shared" si="13"/>
        <v>NC_000015.9:g.[78923987C&gt;T];[78923987C&gt;T]</v>
      </c>
      <c r="L229" s="3" t="str">
        <f t="shared" si="13"/>
        <v>NC_000015.9:g.[78928264G&gt;T];[78928264G&gt;T]</v>
      </c>
      <c r="M229" s="3" t="str">
        <f t="shared" si="13"/>
        <v>NC_000015.9:g.[78930510A&gt;G];[78930510A&gt;G]</v>
      </c>
    </row>
    <row r="230" spans="1:13" x14ac:dyDescent="0.25">
      <c r="A230" s="26"/>
      <c r="C230" s="3" t="s">
        <v>71</v>
      </c>
      <c r="J230" s="3" t="str">
        <f t="shared" si="13"/>
        <v>Wildtype</v>
      </c>
      <c r="K230" s="3" t="str">
        <f t="shared" si="13"/>
        <v>NC_000015.9:g.[78923987=];[78923987=]</v>
      </c>
      <c r="L230" s="3" t="str">
        <f t="shared" si="13"/>
        <v>NC_000015.9:g.[78928264=];[78928264=]</v>
      </c>
      <c r="M230" s="3" t="str">
        <f t="shared" si="13"/>
        <v>NC_000015.9:g.[78930510=];[78930510=]</v>
      </c>
    </row>
    <row r="231" spans="1:13" x14ac:dyDescent="0.25">
      <c r="A231" s="26"/>
      <c r="C231" s="3" t="str">
        <f>CONCATENATE("                    ",CHAR(40),"variantCall ",CHAR(40),CHAR(34),M229,CHAR(34),CHAR(41)," or variantCall ",CHAR(40),CHAR(34),M230,CHAR(34),CHAR(41),CHAR(41))</f>
        <v xml:space="preserve">                    (variantCall ("NC_000015.9:g.[78930510A&gt;G];[78930510A&gt;G]") or variantCall ("NC_000015.9:g.[78930510=];[78930510=]"))</v>
      </c>
      <c r="J231" s="3" t="str">
        <f t="shared" si="13"/>
        <v>Het%</v>
      </c>
      <c r="K231" s="3">
        <f t="shared" si="13"/>
        <v>29</v>
      </c>
      <c r="L231" s="3">
        <f t="shared" si="13"/>
        <v>48.5</v>
      </c>
      <c r="M231" s="3">
        <f t="shared" si="13"/>
        <v>44.3</v>
      </c>
    </row>
    <row r="232" spans="1:13" x14ac:dyDescent="0.25">
      <c r="A232" s="26"/>
      <c r="C232" s="3" t="str">
        <f>CONCATENATE("                  } &gt; ")</f>
        <v xml:space="preserve">                  } &gt; </v>
      </c>
      <c r="J232" s="3" t="str">
        <f t="shared" si="13"/>
        <v>Homo%</v>
      </c>
      <c r="K232" s="3">
        <f t="shared" si="13"/>
        <v>10.4</v>
      </c>
      <c r="L232" s="3">
        <f t="shared" si="13"/>
        <v>29.2</v>
      </c>
      <c r="M232" s="3">
        <f t="shared" si="13"/>
        <v>38.200000000000003</v>
      </c>
    </row>
    <row r="233" spans="1:13" x14ac:dyDescent="0.25">
      <c r="A233" s="14"/>
      <c r="J233" s="3" t="str">
        <f t="shared" si="13"/>
        <v>Wildtype%</v>
      </c>
      <c r="K233" s="3">
        <f t="shared" si="13"/>
        <v>60.6</v>
      </c>
      <c r="L233" s="3">
        <f t="shared" si="13"/>
        <v>22.3</v>
      </c>
      <c r="M233" s="3">
        <f t="shared" si="13"/>
        <v>17.5</v>
      </c>
    </row>
    <row r="234" spans="1:13" x14ac:dyDescent="0.25">
      <c r="A234" s="14"/>
      <c r="C234" s="3" t="s">
        <v>26</v>
      </c>
    </row>
    <row r="235" spans="1:13" x14ac:dyDescent="0.25">
      <c r="A235" s="14"/>
    </row>
    <row r="236" spans="1:13" x14ac:dyDescent="0.25">
      <c r="A236" s="14"/>
      <c r="C236" s="3" t="str">
        <f>CONCATENATE("    ",B227)</f>
        <v xml:space="preserve">    People with this variant have copies of the [C78631645T](https://www.ncbi.nlm.nih.gov/projects/SNP/snp_ref.cgi?rs=17487223), and [G78635922T](http://journals.sagepub.com/doi/10.4137/III.S25147) variants. This substitution of a single nucleotide is known as a missense mutation.</v>
      </c>
    </row>
    <row r="237" spans="1:13" x14ac:dyDescent="0.25">
      <c r="A237" s="14"/>
    </row>
    <row r="238" spans="1:13" x14ac:dyDescent="0.25">
      <c r="A238" s="26"/>
      <c r="C238" s="3" t="s">
        <v>29</v>
      </c>
    </row>
    <row r="239" spans="1:13" x14ac:dyDescent="0.25">
      <c r="A239" s="26"/>
    </row>
    <row r="240" spans="1:13" x14ac:dyDescent="0.25">
      <c r="A240" s="26"/>
      <c r="C240" s="3" t="str">
        <f>CONCATENATE(B228)</f>
        <v/>
      </c>
    </row>
    <row r="241" spans="1:13" x14ac:dyDescent="0.25">
      <c r="A241" s="26"/>
    </row>
    <row r="242" spans="1:13" x14ac:dyDescent="0.25">
      <c r="A242" s="26"/>
      <c r="C242" s="3" t="s">
        <v>30</v>
      </c>
    </row>
    <row r="243" spans="1:13" x14ac:dyDescent="0.25">
      <c r="A243" s="26"/>
    </row>
    <row r="244" spans="1:13" x14ac:dyDescent="0.25">
      <c r="A244" s="26"/>
      <c r="C244" s="3" t="str">
        <f>CONCATENATE( "    &lt;piechart percentage=",B229," /&gt;")</f>
        <v xml:space="preserve">    &lt;piechart percentage= /&gt;</v>
      </c>
    </row>
    <row r="245" spans="1:13" x14ac:dyDescent="0.25">
      <c r="A245" s="26"/>
      <c r="C245" s="3" t="str">
        <f>"  &lt;/Analysis&gt;"</f>
        <v xml:space="preserve">  &lt;/Analysis&gt;</v>
      </c>
      <c r="K245" s="3" t="str">
        <f t="shared" ref="K245:M255" si="14">K223</f>
        <v>rs17487223</v>
      </c>
      <c r="L245" s="3" t="str">
        <f t="shared" si="14"/>
        <v>rs12441088</v>
      </c>
      <c r="M245" s="3" t="str">
        <f t="shared" si="14"/>
        <v>rs1316971</v>
      </c>
    </row>
    <row r="246" spans="1:13" s="21" customFormat="1" x14ac:dyDescent="0.25">
      <c r="A246" s="28" t="s">
        <v>70</v>
      </c>
      <c r="B246" s="20" t="str">
        <f>CONCATENATE(B48," and ",B136)</f>
        <v>C78631645T (C;T) and A78638168G (A;G)</v>
      </c>
      <c r="C246" s="21" t="str">
        <f>CONCATENATE("&lt;# ",B246," #&gt;")</f>
        <v>&lt;# C78631645T (C;T) and A78638168G (A;G) #&gt;</v>
      </c>
      <c r="K246" s="21" t="str">
        <f t="shared" si="14"/>
        <v>C78631645T</v>
      </c>
      <c r="L246" s="21" t="str">
        <f t="shared" si="14"/>
        <v>G78635922T</v>
      </c>
      <c r="M246" s="21" t="str">
        <f t="shared" si="14"/>
        <v>A78638168G</v>
      </c>
    </row>
    <row r="247" spans="1:13" x14ac:dyDescent="0.25">
      <c r="A247" s="14" t="s">
        <v>21</v>
      </c>
      <c r="B247" s="15" t="str">
        <f>K140</f>
        <v>NC_000015.9:g.[78923987C&gt;T];[78923987=]</v>
      </c>
      <c r="K247" s="3" t="str">
        <f t="shared" si="14"/>
        <v>NC_000015.9:g.</v>
      </c>
      <c r="L247" s="3" t="str">
        <f t="shared" si="14"/>
        <v>NC_000015.9:g.</v>
      </c>
      <c r="M247" s="3" t="str">
        <f t="shared" si="14"/>
        <v>NC_000015.9:g.</v>
      </c>
    </row>
    <row r="248" spans="1:13" x14ac:dyDescent="0.25">
      <c r="A248" s="14" t="s">
        <v>72</v>
      </c>
      <c r="C248" s="3" t="str">
        <f>CONCATENATE("  &lt;Analysis name=",CHAR(34),B246,CHAR(34))</f>
        <v xml:space="preserve">  &lt;Analysis name="C78631645T (C;T) and A78638168G (A;G)"</v>
      </c>
      <c r="J248" s="3" t="str">
        <f t="shared" ref="J248:J255" si="15">J226</f>
        <v>Variant</v>
      </c>
      <c r="K248" s="3" t="str">
        <f t="shared" si="14"/>
        <v>[78923987C&gt;T]</v>
      </c>
      <c r="L248" s="3" t="str">
        <f t="shared" si="14"/>
        <v>[78928264G&gt;T]</v>
      </c>
      <c r="M248" s="3" t="str">
        <f t="shared" si="14"/>
        <v>[78930510A&gt;G]</v>
      </c>
    </row>
    <row r="249" spans="1:13" x14ac:dyDescent="0.25">
      <c r="A249" s="26" t="s">
        <v>75</v>
      </c>
      <c r="B249" s="15" t="str">
        <f>CONCATENATE("People with this variant have copies of the ",B22," and ",B40," variants. This substitution of a single nucleotide is known as a missense mutation.")</f>
        <v>People with this variant have copies of the [C78631645T](https://www.ncbi.nlm.nih.gov/projects/SNP/snp_ref.cgi?rs=17487223) and [A78638168G](http://journals.sagepub.com/doi/10.4137/III.S25147) variants. This substitution of a single nucleotide is known as a missense mutation.</v>
      </c>
      <c r="C249" s="3" t="str">
        <f>CONCATENATE("            case={  variantCall ",CHAR(40),CHAR(34),K250,CHAR(34),CHAR(41))</f>
        <v xml:space="preserve">            case={  variantCall ("NC_000015.9:g.[78923987C&gt;T];[78923987=]")</v>
      </c>
      <c r="J249" s="3" t="str">
        <f t="shared" si="15"/>
        <v>Wildtype</v>
      </c>
      <c r="K249" s="3" t="str">
        <f t="shared" si="14"/>
        <v>[78923987=]</v>
      </c>
      <c r="L249" s="3" t="str">
        <f t="shared" si="14"/>
        <v>[78928264=]</v>
      </c>
      <c r="M249" s="3" t="str">
        <f t="shared" si="14"/>
        <v>[78930510=]</v>
      </c>
    </row>
    <row r="250" spans="1:13" x14ac:dyDescent="0.25">
      <c r="A250" s="26" t="s">
        <v>28</v>
      </c>
      <c r="B250" s="36"/>
      <c r="C250" s="3" t="s">
        <v>71</v>
      </c>
      <c r="J250" s="3" t="str">
        <f t="shared" si="15"/>
        <v>Het</v>
      </c>
      <c r="K250" s="3" t="str">
        <f t="shared" si="14"/>
        <v>NC_000015.9:g.[78923987C&gt;T];[78923987=]</v>
      </c>
      <c r="L250" s="3" t="str">
        <f t="shared" si="14"/>
        <v>NC_000015.9:g.[78928264G&gt;T];[78928264=]</v>
      </c>
      <c r="M250" s="3" t="str">
        <f t="shared" si="14"/>
        <v>NC_000015.9:g.[78930510A&gt;G];[78930510=]</v>
      </c>
    </row>
    <row r="251" spans="1:13" x14ac:dyDescent="0.25">
      <c r="A251" s="26" t="s">
        <v>73</v>
      </c>
      <c r="C251" s="3" t="str">
        <f>CONCATENATE("                    ",CHAR(40),"variantCall ",CHAR(40),CHAR(34),L250,CHAR(34),CHAR(41)," or variantCall ",CHAR(40),CHAR(34),L252,CHAR(34),CHAR(41),CHAR(41))</f>
        <v xml:space="preserve">                    (variantCall ("NC_000015.9:g.[78928264G&gt;T];[78928264=]") or variantCall ("NC_000015.9:g.[78928264=];[78928264=]"))</v>
      </c>
      <c r="J251" s="3" t="str">
        <f t="shared" si="15"/>
        <v>Homo</v>
      </c>
      <c r="K251" s="3" t="str">
        <f t="shared" si="14"/>
        <v>NC_000015.9:g.[78923987C&gt;T];[78923987C&gt;T]</v>
      </c>
      <c r="L251" s="3" t="str">
        <f t="shared" si="14"/>
        <v>NC_000015.9:g.[78928264G&gt;T];[78928264G&gt;T]</v>
      </c>
      <c r="M251" s="3" t="str">
        <f t="shared" si="14"/>
        <v>NC_000015.9:g.[78930510A&gt;G];[78930510A&gt;G]</v>
      </c>
    </row>
    <row r="252" spans="1:13" x14ac:dyDescent="0.25">
      <c r="A252" s="26"/>
      <c r="C252" s="3" t="s">
        <v>71</v>
      </c>
      <c r="J252" s="3" t="str">
        <f t="shared" si="15"/>
        <v>Wildtype</v>
      </c>
      <c r="K252" s="3" t="str">
        <f t="shared" si="14"/>
        <v>NC_000015.9:g.[78923987=];[78923987=]</v>
      </c>
      <c r="L252" s="3" t="str">
        <f t="shared" si="14"/>
        <v>NC_000015.9:g.[78928264=];[78928264=]</v>
      </c>
      <c r="M252" s="3" t="str">
        <f t="shared" si="14"/>
        <v>NC_000015.9:g.[78930510=];[78930510=]</v>
      </c>
    </row>
    <row r="253" spans="1:13" x14ac:dyDescent="0.25">
      <c r="A253" s="26"/>
      <c r="C253" s="3" t="str">
        <f>CONCATENATE("                    variantCall ",CHAR(40),CHAR(34),M250,CHAR(34),CHAR(41))</f>
        <v xml:space="preserve">                    variantCall ("NC_000015.9:g.[78930510A&gt;G];[78930510=]")</v>
      </c>
      <c r="J253" s="3" t="str">
        <f t="shared" si="15"/>
        <v>Het%</v>
      </c>
      <c r="K253" s="3">
        <f t="shared" si="14"/>
        <v>29</v>
      </c>
      <c r="L253" s="3">
        <f t="shared" si="14"/>
        <v>48.5</v>
      </c>
      <c r="M253" s="3">
        <f t="shared" si="14"/>
        <v>44.3</v>
      </c>
    </row>
    <row r="254" spans="1:13" x14ac:dyDescent="0.25">
      <c r="A254" s="26"/>
      <c r="C254" s="3" t="str">
        <f>CONCATENATE("                  } &gt; ")</f>
        <v xml:space="preserve">                  } &gt; </v>
      </c>
      <c r="J254" s="3" t="str">
        <f t="shared" si="15"/>
        <v>Homo%</v>
      </c>
      <c r="K254" s="3">
        <f t="shared" si="14"/>
        <v>10.4</v>
      </c>
      <c r="L254" s="3">
        <f t="shared" si="14"/>
        <v>29.2</v>
      </c>
      <c r="M254" s="3">
        <f t="shared" si="14"/>
        <v>38.200000000000003</v>
      </c>
    </row>
    <row r="255" spans="1:13" x14ac:dyDescent="0.25">
      <c r="A255" s="14"/>
      <c r="J255" s="3" t="str">
        <f t="shared" si="15"/>
        <v>Wildtype%</v>
      </c>
      <c r="K255" s="3">
        <f t="shared" si="14"/>
        <v>60.6</v>
      </c>
      <c r="L255" s="3">
        <f t="shared" si="14"/>
        <v>22.3</v>
      </c>
      <c r="M255" s="3">
        <f t="shared" si="14"/>
        <v>17.5</v>
      </c>
    </row>
    <row r="256" spans="1:13" x14ac:dyDescent="0.25">
      <c r="A256" s="14"/>
      <c r="C256" s="3" t="s">
        <v>26</v>
      </c>
    </row>
    <row r="257" spans="1:13" x14ac:dyDescent="0.25">
      <c r="A257" s="14"/>
    </row>
    <row r="258" spans="1:13" x14ac:dyDescent="0.25">
      <c r="A258" s="14"/>
      <c r="C258" s="3" t="str">
        <f>CONCATENATE("    ",B249)</f>
        <v xml:space="preserve">    People with this variant have copies of the [C78631645T](https://www.ncbi.nlm.nih.gov/projects/SNP/snp_ref.cgi?rs=17487223) and [A78638168G](http://journals.sagepub.com/doi/10.4137/III.S25147) variants. This substitution of a single nucleotide is known as a missense mutation.</v>
      </c>
    </row>
    <row r="259" spans="1:13" x14ac:dyDescent="0.25">
      <c r="A259" s="14"/>
    </row>
    <row r="260" spans="1:13" x14ac:dyDescent="0.25">
      <c r="A260" s="26"/>
      <c r="C260" s="3" t="s">
        <v>29</v>
      </c>
    </row>
    <row r="261" spans="1:13" x14ac:dyDescent="0.25">
      <c r="A261" s="26"/>
    </row>
    <row r="262" spans="1:13" x14ac:dyDescent="0.25">
      <c r="A262" s="26"/>
      <c r="C262" s="3" t="str">
        <f>CONCATENATE(B250)</f>
        <v/>
      </c>
    </row>
    <row r="263" spans="1:13" x14ac:dyDescent="0.25">
      <c r="A263" s="26"/>
    </row>
    <row r="264" spans="1:13" x14ac:dyDescent="0.25">
      <c r="A264" s="26"/>
      <c r="C264" s="3" t="s">
        <v>30</v>
      </c>
    </row>
    <row r="265" spans="1:13" x14ac:dyDescent="0.25">
      <c r="A265" s="26"/>
    </row>
    <row r="266" spans="1:13" x14ac:dyDescent="0.25">
      <c r="A266" s="26"/>
      <c r="C266" s="3" t="str">
        <f>CONCATENATE( "    &lt;piechart percentage=",B251," /&gt;")</f>
        <v xml:space="preserve">    &lt;piechart percentage= /&gt;</v>
      </c>
    </row>
    <row r="267" spans="1:13" x14ac:dyDescent="0.25">
      <c r="A267" s="26"/>
      <c r="C267" s="3" t="str">
        <f>"  &lt;/Analysis&gt;"</f>
        <v xml:space="preserve">  &lt;/Analysis&gt;</v>
      </c>
      <c r="K267" s="3" t="str">
        <f t="shared" ref="K267:M269" si="16">K245</f>
        <v>rs17487223</v>
      </c>
      <c r="L267" s="3" t="str">
        <f t="shared" si="16"/>
        <v>rs12441088</v>
      </c>
      <c r="M267" s="3" t="str">
        <f t="shared" si="16"/>
        <v>rs1316971</v>
      </c>
    </row>
    <row r="268" spans="1:13" s="21" customFormat="1" x14ac:dyDescent="0.25">
      <c r="A268" s="28" t="s">
        <v>70</v>
      </c>
      <c r="B268" s="20" t="str">
        <f>CONCATENATE(B70," and ",B114)</f>
        <v>C78631645T (T;T) and G78635922T (T;T)</v>
      </c>
      <c r="C268" s="21" t="str">
        <f>CONCATENATE("&lt;# ",B268," #&gt;")</f>
        <v>&lt;# C78631645T (T;T) and G78635922T (T;T) #&gt;</v>
      </c>
      <c r="K268" s="21" t="str">
        <f t="shared" si="16"/>
        <v>C78631645T</v>
      </c>
      <c r="L268" s="21" t="str">
        <f t="shared" si="16"/>
        <v>G78635922T</v>
      </c>
      <c r="M268" s="21" t="str">
        <f t="shared" si="16"/>
        <v>A78638168G</v>
      </c>
    </row>
    <row r="269" spans="1:13" x14ac:dyDescent="0.25">
      <c r="A269" s="14" t="s">
        <v>21</v>
      </c>
      <c r="B269" s="15" t="str">
        <f>K184</f>
        <v>NC_000015.9:g.[78923987C&gt;T];[78923987=]</v>
      </c>
      <c r="K269" s="3" t="str">
        <f t="shared" si="16"/>
        <v>NC_000015.9:g.</v>
      </c>
      <c r="L269" s="3" t="str">
        <f t="shared" si="16"/>
        <v>NC_000015.9:g.</v>
      </c>
      <c r="M269" s="3" t="str">
        <f t="shared" si="16"/>
        <v>NC_000015.9:g.</v>
      </c>
    </row>
    <row r="270" spans="1:13" x14ac:dyDescent="0.25">
      <c r="A270" s="14" t="s">
        <v>72</v>
      </c>
      <c r="C270" s="3" t="str">
        <f>CONCATENATE("  &lt;Analysis name=",CHAR(34),B268,CHAR(34))</f>
        <v xml:space="preserve">  &lt;Analysis name="C78631645T (T;T) and G78635922T (T;T)"</v>
      </c>
      <c r="J270" s="3" t="str">
        <f t="shared" ref="J270:M277" si="17">J248</f>
        <v>Variant</v>
      </c>
      <c r="K270" s="3" t="str">
        <f t="shared" si="17"/>
        <v>[78923987C&gt;T]</v>
      </c>
      <c r="L270" s="3" t="str">
        <f t="shared" si="17"/>
        <v>[78928264G&gt;T]</v>
      </c>
      <c r="M270" s="3" t="str">
        <f t="shared" si="17"/>
        <v>[78930510A&gt;G]</v>
      </c>
    </row>
    <row r="271" spans="1:13" x14ac:dyDescent="0.25">
      <c r="A271" s="26" t="s">
        <v>75</v>
      </c>
      <c r="B271" s="15" t="str">
        <f>CONCATENATE("People with this variant have copies of the ",B22," variant and one copy of the ",B31," variant. This substitution of a single nucleotide is known as a missense mutation.")</f>
        <v>People with this variant have copies of the [C78631645T](https://www.ncbi.nlm.nih.gov/projects/SNP/snp_ref.cgi?rs=17487223) variant and one copy of the [G78635922T](http://journals.sagepub.com/doi/10.4137/III.S25147) variant. This substitution of a single nucleotide is known as a missense mutation.</v>
      </c>
      <c r="C271" s="3" t="str">
        <f>CONCATENATE("            case={  variantCall ",CHAR(40),CHAR(34),K272,CHAR(34),CHAR(41))</f>
        <v xml:space="preserve">            case={  variantCall ("NC_000015.9:g.[78923987C&gt;T];[78923987=]")</v>
      </c>
      <c r="J271" s="3" t="str">
        <f t="shared" si="17"/>
        <v>Wildtype</v>
      </c>
      <c r="K271" s="3" t="str">
        <f t="shared" si="17"/>
        <v>[78923987=]</v>
      </c>
      <c r="L271" s="3" t="str">
        <f t="shared" si="17"/>
        <v>[78928264=]</v>
      </c>
      <c r="M271" s="3" t="str">
        <f t="shared" si="17"/>
        <v>[78930510=]</v>
      </c>
    </row>
    <row r="272" spans="1:13" x14ac:dyDescent="0.25">
      <c r="A272" s="26" t="s">
        <v>28</v>
      </c>
      <c r="C272" s="3" t="s">
        <v>71</v>
      </c>
      <c r="J272" s="3" t="str">
        <f t="shared" si="17"/>
        <v>Het</v>
      </c>
      <c r="K272" s="3" t="str">
        <f t="shared" si="17"/>
        <v>NC_000015.9:g.[78923987C&gt;T];[78923987=]</v>
      </c>
      <c r="L272" s="3" t="str">
        <f t="shared" si="17"/>
        <v>NC_000015.9:g.[78928264G&gt;T];[78928264=]</v>
      </c>
      <c r="M272" s="3" t="str">
        <f t="shared" si="17"/>
        <v>NC_000015.9:g.[78930510A&gt;G];[78930510=]</v>
      </c>
    </row>
    <row r="273" spans="1:13" x14ac:dyDescent="0.25">
      <c r="A273" s="26" t="s">
        <v>73</v>
      </c>
      <c r="C273" s="3" t="str">
        <f>CONCATENATE("                    variantCall ",CHAR(40),CHAR(34),L273,CHAR(34),CHAR(41))</f>
        <v xml:space="preserve">                    variantCall ("NC_000015.9:g.[78928264G&gt;T];[78928264G&gt;T]")</v>
      </c>
      <c r="J273" s="3" t="str">
        <f t="shared" si="17"/>
        <v>Homo</v>
      </c>
      <c r="K273" s="3" t="str">
        <f t="shared" si="17"/>
        <v>NC_000015.9:g.[78923987C&gt;T];[78923987C&gt;T]</v>
      </c>
      <c r="L273" s="3" t="str">
        <f t="shared" si="17"/>
        <v>NC_000015.9:g.[78928264G&gt;T];[78928264G&gt;T]</v>
      </c>
      <c r="M273" s="3" t="str">
        <f t="shared" si="17"/>
        <v>NC_000015.9:g.[78930510A&gt;G];[78930510A&gt;G]</v>
      </c>
    </row>
    <row r="274" spans="1:13" x14ac:dyDescent="0.25">
      <c r="A274" s="26"/>
      <c r="C274" s="3" t="s">
        <v>71</v>
      </c>
      <c r="J274" s="3" t="str">
        <f t="shared" si="17"/>
        <v>Wildtype</v>
      </c>
      <c r="K274" s="3" t="str">
        <f t="shared" si="17"/>
        <v>NC_000015.9:g.[78923987=];[78923987=]</v>
      </c>
      <c r="L274" s="3" t="str">
        <f t="shared" si="17"/>
        <v>NC_000015.9:g.[78928264=];[78928264=]</v>
      </c>
      <c r="M274" s="3" t="str">
        <f t="shared" si="17"/>
        <v>NC_000015.9:g.[78930510=];[78930510=]</v>
      </c>
    </row>
    <row r="275" spans="1:13" x14ac:dyDescent="0.25">
      <c r="A275" s="26"/>
      <c r="C275" s="3" t="str">
        <f>CONCATENATE("                    ",CHAR(40),"variantCall ",CHAR(40),CHAR(34),M273,CHAR(34),CHAR(41)," or variantCall ",CHAR(40),CHAR(34),M274,CHAR(34),CHAR(41),CHAR(41))</f>
        <v xml:space="preserve">                    (variantCall ("NC_000015.9:g.[78930510A&gt;G];[78930510A&gt;G]") or variantCall ("NC_000015.9:g.[78930510=];[78930510=]"))</v>
      </c>
      <c r="J275" s="3" t="str">
        <f t="shared" si="17"/>
        <v>Het%</v>
      </c>
      <c r="K275" s="3">
        <f t="shared" si="17"/>
        <v>29</v>
      </c>
      <c r="L275" s="3">
        <f t="shared" si="17"/>
        <v>48.5</v>
      </c>
      <c r="M275" s="3">
        <f t="shared" si="17"/>
        <v>44.3</v>
      </c>
    </row>
    <row r="276" spans="1:13" x14ac:dyDescent="0.25">
      <c r="A276" s="26"/>
      <c r="C276" s="3" t="str">
        <f>CONCATENATE("                  } &gt; ")</f>
        <v xml:space="preserve">                  } &gt; </v>
      </c>
      <c r="J276" s="3" t="str">
        <f t="shared" si="17"/>
        <v>Homo%</v>
      </c>
      <c r="K276" s="3">
        <f t="shared" si="17"/>
        <v>10.4</v>
      </c>
      <c r="L276" s="3">
        <f t="shared" si="17"/>
        <v>29.2</v>
      </c>
      <c r="M276" s="3">
        <f t="shared" si="17"/>
        <v>38.200000000000003</v>
      </c>
    </row>
    <row r="277" spans="1:13" x14ac:dyDescent="0.25">
      <c r="A277" s="14"/>
      <c r="J277" s="3" t="str">
        <f t="shared" si="17"/>
        <v>Wildtype%</v>
      </c>
      <c r="K277" s="3">
        <f t="shared" si="17"/>
        <v>60.6</v>
      </c>
      <c r="L277" s="3">
        <f t="shared" si="17"/>
        <v>22.3</v>
      </c>
      <c r="M277" s="3">
        <f t="shared" si="17"/>
        <v>17.5</v>
      </c>
    </row>
    <row r="278" spans="1:13" x14ac:dyDescent="0.25">
      <c r="A278" s="14"/>
      <c r="C278" s="3" t="s">
        <v>26</v>
      </c>
    </row>
    <row r="279" spans="1:13" x14ac:dyDescent="0.25">
      <c r="A279" s="14"/>
    </row>
    <row r="280" spans="1:13" x14ac:dyDescent="0.25">
      <c r="A280" s="14"/>
      <c r="C280" s="3" t="str">
        <f>CONCATENATE("    ",B271)</f>
        <v xml:space="preserve">    People with this variant have copies of the [C78631645T](https://www.ncbi.nlm.nih.gov/projects/SNP/snp_ref.cgi?rs=17487223) variant and one copy of the [G78635922T](http://journals.sagepub.com/doi/10.4137/III.S25147) variant. This substitution of a single nucleotide is known as a missense mutation.</v>
      </c>
    </row>
    <row r="281" spans="1:13" x14ac:dyDescent="0.25">
      <c r="A281" s="14"/>
    </row>
    <row r="282" spans="1:13" x14ac:dyDescent="0.25">
      <c r="A282" s="26"/>
      <c r="C282" s="3" t="s">
        <v>29</v>
      </c>
    </row>
    <row r="283" spans="1:13" x14ac:dyDescent="0.25">
      <c r="A283" s="26"/>
    </row>
    <row r="284" spans="1:13" x14ac:dyDescent="0.25">
      <c r="A284" s="26"/>
      <c r="C284" s="3" t="str">
        <f>CONCATENATE(B272)</f>
        <v/>
      </c>
    </row>
    <row r="285" spans="1:13" x14ac:dyDescent="0.25">
      <c r="A285" s="26"/>
    </row>
    <row r="286" spans="1:13" x14ac:dyDescent="0.25">
      <c r="A286" s="26"/>
      <c r="C286" s="3" t="s">
        <v>30</v>
      </c>
    </row>
    <row r="287" spans="1:13" x14ac:dyDescent="0.25">
      <c r="A287" s="26"/>
    </row>
    <row r="288" spans="1:13" x14ac:dyDescent="0.25">
      <c r="A288" s="26"/>
      <c r="C288" s="3" t="str">
        <f>CONCATENATE( "    &lt;piechart percentage=",B273," /&gt;")</f>
        <v xml:space="preserve">    &lt;piechart percentage= /&gt;</v>
      </c>
    </row>
    <row r="289" spans="1:13" x14ac:dyDescent="0.25">
      <c r="A289" s="26"/>
      <c r="C289" s="3" t="str">
        <f>"  &lt;/Analysis&gt;"</f>
        <v xml:space="preserve">  &lt;/Analysis&gt;</v>
      </c>
      <c r="K289" s="3" t="str">
        <f t="shared" ref="K289:M291" si="18">K267</f>
        <v>rs17487223</v>
      </c>
      <c r="L289" s="3" t="str">
        <f t="shared" si="18"/>
        <v>rs12441088</v>
      </c>
      <c r="M289" s="3" t="str">
        <f t="shared" si="18"/>
        <v>rs1316971</v>
      </c>
    </row>
    <row r="290" spans="1:13" s="21" customFormat="1" x14ac:dyDescent="0.25">
      <c r="A290" s="28" t="s">
        <v>70</v>
      </c>
      <c r="B290" s="20" t="str">
        <f>CONCATENATE(B70," and ",B136)</f>
        <v>C78631645T (T;T) and A78638168G (A;G)</v>
      </c>
      <c r="C290" s="21" t="str">
        <f>CONCATENATE("&lt;# ",B290," #&gt;")</f>
        <v>&lt;# C78631645T (T;T) and A78638168G (A;G) #&gt;</v>
      </c>
      <c r="K290" s="21" t="str">
        <f t="shared" si="18"/>
        <v>C78631645T</v>
      </c>
      <c r="L290" s="21" t="str">
        <f t="shared" si="18"/>
        <v>G78635922T</v>
      </c>
      <c r="M290" s="21" t="str">
        <f t="shared" si="18"/>
        <v>A78638168G</v>
      </c>
    </row>
    <row r="291" spans="1:13" x14ac:dyDescent="0.25">
      <c r="A291" s="14" t="s">
        <v>21</v>
      </c>
      <c r="B291" s="15" t="str">
        <f>K206</f>
        <v>NC_000015.9:g.[78923987C&gt;T];[78923987=]</v>
      </c>
      <c r="K291" s="3" t="str">
        <f t="shared" si="18"/>
        <v>NC_000015.9:g.</v>
      </c>
      <c r="L291" s="3" t="str">
        <f t="shared" si="18"/>
        <v>NC_000015.9:g.</v>
      </c>
      <c r="M291" s="3" t="str">
        <f t="shared" si="18"/>
        <v>NC_000015.9:g.</v>
      </c>
    </row>
    <row r="292" spans="1:13" x14ac:dyDescent="0.25">
      <c r="A292" s="14" t="s">
        <v>72</v>
      </c>
      <c r="C292" s="3" t="str">
        <f>CONCATENATE("  &lt;Analysis name=",CHAR(34),B290,CHAR(34))</f>
        <v xml:space="preserve">  &lt;Analysis name="C78631645T (T;T) and A78638168G (A;G)"</v>
      </c>
      <c r="J292" s="3" t="str">
        <f t="shared" ref="J292:M299" si="19">J270</f>
        <v>Variant</v>
      </c>
      <c r="K292" s="3" t="str">
        <f t="shared" si="19"/>
        <v>[78923987C&gt;T]</v>
      </c>
      <c r="L292" s="3" t="str">
        <f t="shared" si="19"/>
        <v>[78928264G&gt;T]</v>
      </c>
      <c r="M292" s="3" t="str">
        <f t="shared" si="19"/>
        <v>[78930510A&gt;G]</v>
      </c>
    </row>
    <row r="293" spans="1:13" x14ac:dyDescent="0.25">
      <c r="A293" s="26" t="s">
        <v>75</v>
      </c>
      <c r="B293" s="15" t="str">
        <f>CONCATENATE("People with this variant have copies of the ",B22," variant and one copy of the ",B40," variant. This substitution of a single nucleotide is known as a missense mutation.")</f>
        <v>People with this variant have copies of the [C78631645T](https://www.ncbi.nlm.nih.gov/projects/SNP/snp_ref.cgi?rs=17487223) variant and one copy of the [A78638168G](http://journals.sagepub.com/doi/10.4137/III.S25147) variant. This substitution of a single nucleotide is known as a missense mutation.</v>
      </c>
      <c r="C293" s="3" t="str">
        <f>CONCATENATE("            case={  variantCall ",CHAR(40),CHAR(34),K294,CHAR(34),CHAR(41))</f>
        <v xml:space="preserve">            case={  variantCall ("NC_000015.9:g.[78923987C&gt;T];[78923987=]")</v>
      </c>
      <c r="J293" s="3" t="str">
        <f t="shared" si="19"/>
        <v>Wildtype</v>
      </c>
      <c r="K293" s="3" t="str">
        <f t="shared" si="19"/>
        <v>[78923987=]</v>
      </c>
      <c r="L293" s="3" t="str">
        <f t="shared" si="19"/>
        <v>[78928264=]</v>
      </c>
      <c r="M293" s="3" t="str">
        <f t="shared" si="19"/>
        <v>[78930510=]</v>
      </c>
    </row>
    <row r="294" spans="1:13" x14ac:dyDescent="0.25">
      <c r="A294" s="26" t="s">
        <v>28</v>
      </c>
      <c r="B294" s="36"/>
      <c r="C294" s="3" t="s">
        <v>71</v>
      </c>
      <c r="J294" s="3" t="str">
        <f t="shared" si="19"/>
        <v>Het</v>
      </c>
      <c r="K294" s="3" t="str">
        <f t="shared" si="19"/>
        <v>NC_000015.9:g.[78923987C&gt;T];[78923987=]</v>
      </c>
      <c r="L294" s="3" t="str">
        <f t="shared" si="19"/>
        <v>NC_000015.9:g.[78928264G&gt;T];[78928264=]</v>
      </c>
      <c r="M294" s="3" t="str">
        <f t="shared" si="19"/>
        <v>NC_000015.9:g.[78930510A&gt;G];[78930510=]</v>
      </c>
    </row>
    <row r="295" spans="1:13" x14ac:dyDescent="0.25">
      <c r="A295" s="26" t="s">
        <v>73</v>
      </c>
      <c r="C295" s="3" t="str">
        <f>CONCATENATE("                    ",CHAR(40),"variantCall ",CHAR(40),CHAR(34),L294,CHAR(34),CHAR(41)," or variantCall ",CHAR(40),CHAR(34),L296,CHAR(34),CHAR(41),CHAR(41))</f>
        <v xml:space="preserve">                    (variantCall ("NC_000015.9:g.[78928264G&gt;T];[78928264=]") or variantCall ("NC_000015.9:g.[78928264=];[78928264=]"))</v>
      </c>
      <c r="J295" s="3" t="str">
        <f t="shared" si="19"/>
        <v>Homo</v>
      </c>
      <c r="K295" s="3" t="str">
        <f t="shared" si="19"/>
        <v>NC_000015.9:g.[78923987C&gt;T];[78923987C&gt;T]</v>
      </c>
      <c r="L295" s="3" t="str">
        <f t="shared" si="19"/>
        <v>NC_000015.9:g.[78928264G&gt;T];[78928264G&gt;T]</v>
      </c>
      <c r="M295" s="3" t="str">
        <f t="shared" si="19"/>
        <v>NC_000015.9:g.[78930510A&gt;G];[78930510A&gt;G]</v>
      </c>
    </row>
    <row r="296" spans="1:13" x14ac:dyDescent="0.25">
      <c r="A296" s="26"/>
      <c r="C296" s="3" t="s">
        <v>71</v>
      </c>
      <c r="J296" s="3" t="str">
        <f t="shared" si="19"/>
        <v>Wildtype</v>
      </c>
      <c r="K296" s="3" t="str">
        <f t="shared" si="19"/>
        <v>NC_000015.9:g.[78923987=];[78923987=]</v>
      </c>
      <c r="L296" s="3" t="str">
        <f t="shared" si="19"/>
        <v>NC_000015.9:g.[78928264=];[78928264=]</v>
      </c>
      <c r="M296" s="3" t="str">
        <f t="shared" si="19"/>
        <v>NC_000015.9:g.[78930510=];[78930510=]</v>
      </c>
    </row>
    <row r="297" spans="1:13" x14ac:dyDescent="0.25">
      <c r="A297" s="26"/>
      <c r="C297" s="3" t="str">
        <f>CONCATENATE("                    variantCall ",CHAR(40),CHAR(34),M294,CHAR(34),CHAR(41))</f>
        <v xml:space="preserve">                    variantCall ("NC_000015.9:g.[78930510A&gt;G];[78930510=]")</v>
      </c>
      <c r="J297" s="3" t="str">
        <f t="shared" si="19"/>
        <v>Het%</v>
      </c>
      <c r="K297" s="3">
        <f t="shared" si="19"/>
        <v>29</v>
      </c>
      <c r="L297" s="3">
        <f t="shared" si="19"/>
        <v>48.5</v>
      </c>
      <c r="M297" s="3">
        <f t="shared" si="19"/>
        <v>44.3</v>
      </c>
    </row>
    <row r="298" spans="1:13" x14ac:dyDescent="0.25">
      <c r="A298" s="26"/>
      <c r="C298" s="3" t="str">
        <f>CONCATENATE("                  } &gt; ")</f>
        <v xml:space="preserve">                  } &gt; </v>
      </c>
      <c r="J298" s="3" t="str">
        <f t="shared" si="19"/>
        <v>Homo%</v>
      </c>
      <c r="K298" s="3">
        <f t="shared" si="19"/>
        <v>10.4</v>
      </c>
      <c r="L298" s="3">
        <f t="shared" si="19"/>
        <v>29.2</v>
      </c>
      <c r="M298" s="3">
        <f t="shared" si="19"/>
        <v>38.200000000000003</v>
      </c>
    </row>
    <row r="299" spans="1:13" x14ac:dyDescent="0.25">
      <c r="A299" s="14"/>
      <c r="J299" s="3" t="str">
        <f t="shared" si="19"/>
        <v>Wildtype%</v>
      </c>
      <c r="K299" s="3">
        <f t="shared" si="19"/>
        <v>60.6</v>
      </c>
      <c r="L299" s="3">
        <f t="shared" si="19"/>
        <v>22.3</v>
      </c>
      <c r="M299" s="3">
        <f t="shared" si="19"/>
        <v>17.5</v>
      </c>
    </row>
    <row r="300" spans="1:13" x14ac:dyDescent="0.25">
      <c r="A300" s="14"/>
      <c r="C300" s="3" t="s">
        <v>26</v>
      </c>
    </row>
    <row r="301" spans="1:13" x14ac:dyDescent="0.25">
      <c r="A301" s="14"/>
    </row>
    <row r="302" spans="1:13" x14ac:dyDescent="0.25">
      <c r="A302" s="14"/>
      <c r="C302" s="3" t="str">
        <f>CONCATENATE("    ",B293)</f>
        <v xml:space="preserve">    People with this variant have copies of the [C78631645T](https://www.ncbi.nlm.nih.gov/projects/SNP/snp_ref.cgi?rs=17487223) variant and one copy of the [A78638168G](http://journals.sagepub.com/doi/10.4137/III.S25147) variant. This substitution of a single nucleotide is known as a missense mutation.</v>
      </c>
    </row>
    <row r="303" spans="1:13" x14ac:dyDescent="0.25">
      <c r="A303" s="14"/>
    </row>
    <row r="304" spans="1:13" x14ac:dyDescent="0.25">
      <c r="A304" s="26"/>
      <c r="C304" s="3" t="s">
        <v>29</v>
      </c>
    </row>
    <row r="305" spans="1:13" x14ac:dyDescent="0.25">
      <c r="A305" s="26"/>
    </row>
    <row r="306" spans="1:13" x14ac:dyDescent="0.25">
      <c r="A306" s="26"/>
      <c r="C306" s="3" t="str">
        <f>CONCATENATE(B294)</f>
        <v/>
      </c>
    </row>
    <row r="307" spans="1:13" x14ac:dyDescent="0.25">
      <c r="A307" s="26"/>
    </row>
    <row r="308" spans="1:13" x14ac:dyDescent="0.25">
      <c r="A308" s="26"/>
      <c r="C308" s="3" t="s">
        <v>30</v>
      </c>
    </row>
    <row r="309" spans="1:13" x14ac:dyDescent="0.25">
      <c r="A309" s="26"/>
    </row>
    <row r="310" spans="1:13" x14ac:dyDescent="0.25">
      <c r="A310" s="26"/>
      <c r="C310" s="3" t="str">
        <f>CONCATENATE( "    &lt;piechart percentage=",B295," /&gt;")</f>
        <v xml:space="preserve">    &lt;piechart percentage= /&gt;</v>
      </c>
    </row>
    <row r="311" spans="1:13" x14ac:dyDescent="0.25">
      <c r="A311" s="26"/>
      <c r="C311" s="3" t="str">
        <f>"  &lt;/Analysis&gt;"</f>
        <v xml:space="preserve">  &lt;/Analysis&gt;</v>
      </c>
      <c r="K311" s="3" t="str">
        <f t="shared" ref="K311:M313" si="20">K289</f>
        <v>rs17487223</v>
      </c>
      <c r="L311" s="3" t="str">
        <f t="shared" si="20"/>
        <v>rs12441088</v>
      </c>
      <c r="M311" s="3" t="str">
        <f t="shared" si="20"/>
        <v>rs1316971</v>
      </c>
    </row>
    <row r="312" spans="1:13" s="21" customFormat="1" x14ac:dyDescent="0.25">
      <c r="A312" s="28" t="s">
        <v>70</v>
      </c>
      <c r="B312" s="20" t="str">
        <f>CONCATENATE(B114," and ",B136)</f>
        <v>G78635922T (T;T) and A78638168G (A;G)</v>
      </c>
      <c r="C312" s="21" t="str">
        <f>CONCATENATE("&lt;# ",B312," #&gt;")</f>
        <v>&lt;# G78635922T (T;T) and A78638168G (A;G) #&gt;</v>
      </c>
      <c r="K312" s="21" t="str">
        <f t="shared" si="20"/>
        <v>C78631645T</v>
      </c>
      <c r="L312" s="21" t="str">
        <f t="shared" si="20"/>
        <v>G78635922T</v>
      </c>
      <c r="M312" s="21" t="str">
        <f t="shared" si="20"/>
        <v>A78638168G</v>
      </c>
    </row>
    <row r="313" spans="1:13" x14ac:dyDescent="0.25">
      <c r="A313" s="14" t="s">
        <v>21</v>
      </c>
      <c r="B313" s="15" t="str">
        <f>K228</f>
        <v>NC_000015.9:g.[78923987C&gt;T];[78923987=]</v>
      </c>
      <c r="K313" s="3" t="str">
        <f t="shared" si="20"/>
        <v>NC_000015.9:g.</v>
      </c>
      <c r="L313" s="3" t="str">
        <f t="shared" si="20"/>
        <v>NC_000015.9:g.</v>
      </c>
      <c r="M313" s="3" t="str">
        <f t="shared" si="20"/>
        <v>NC_000015.9:g.</v>
      </c>
    </row>
    <row r="314" spans="1:13" x14ac:dyDescent="0.25">
      <c r="A314" s="14" t="s">
        <v>72</v>
      </c>
      <c r="C314" s="3" t="str">
        <f>CONCATENATE("  &lt;Analysis name=",CHAR(34),B312,CHAR(34))</f>
        <v xml:space="preserve">  &lt;Analysis name="G78635922T (T;T) and A78638168G (A;G)"</v>
      </c>
      <c r="J314" s="3" t="str">
        <f t="shared" ref="J314:M321" si="21">J292</f>
        <v>Variant</v>
      </c>
      <c r="K314" s="3" t="str">
        <f t="shared" si="21"/>
        <v>[78923987C&gt;T]</v>
      </c>
      <c r="L314" s="3" t="str">
        <f t="shared" si="21"/>
        <v>[78928264G&gt;T]</v>
      </c>
      <c r="M314" s="3" t="str">
        <f t="shared" si="21"/>
        <v>[78930510A&gt;G]</v>
      </c>
    </row>
    <row r="315" spans="1:13" x14ac:dyDescent="0.25">
      <c r="A315" s="26" t="s">
        <v>75</v>
      </c>
      <c r="B315" s="15" t="str">
        <f>CONCATENATE("People with this variant have copies of the ",B31," and ",B40," variants. This substitution of a single nucleotide is known as a missense mutation.")</f>
        <v>People with this variant have copies of the [G78635922T](http://journals.sagepub.com/doi/10.4137/III.S25147) and [A78638168G](http://journals.sagepub.com/doi/10.4137/III.S25147) variants. This substitution of a single nucleotide is known as a missense mutation.</v>
      </c>
      <c r="C315" s="3" t="str">
        <f>CONCATENATE("            case={  variantCall ",CHAR(40),CHAR(34),K318,CHAR(34),CHAR(41))</f>
        <v xml:space="preserve">            case={  variantCall ("NC_000015.9:g.[78923987=];[78923987=]")</v>
      </c>
      <c r="J315" s="3" t="str">
        <f t="shared" si="21"/>
        <v>Wildtype</v>
      </c>
      <c r="K315" s="3" t="str">
        <f t="shared" si="21"/>
        <v>[78923987=]</v>
      </c>
      <c r="L315" s="3" t="str">
        <f t="shared" si="21"/>
        <v>[78928264=]</v>
      </c>
      <c r="M315" s="3" t="str">
        <f t="shared" si="21"/>
        <v>[78930510=]</v>
      </c>
    </row>
    <row r="316" spans="1:13" x14ac:dyDescent="0.25">
      <c r="A316" s="26" t="s">
        <v>28</v>
      </c>
      <c r="B316" s="36"/>
      <c r="C316" s="3" t="s">
        <v>71</v>
      </c>
      <c r="J316" s="3" t="str">
        <f t="shared" si="21"/>
        <v>Het</v>
      </c>
      <c r="K316" s="3" t="str">
        <f t="shared" si="21"/>
        <v>NC_000015.9:g.[78923987C&gt;T];[78923987=]</v>
      </c>
      <c r="L316" s="3" t="str">
        <f t="shared" si="21"/>
        <v>NC_000015.9:g.[78928264G&gt;T];[78928264=]</v>
      </c>
      <c r="M316" s="3" t="str">
        <f t="shared" si="21"/>
        <v>NC_000015.9:g.[78930510A&gt;G];[78930510=]</v>
      </c>
    </row>
    <row r="317" spans="1:13" x14ac:dyDescent="0.25">
      <c r="A317" s="26" t="s">
        <v>73</v>
      </c>
      <c r="C317" s="3" t="str">
        <f>CONCATENATE("                    variantCall ",CHAR(40),CHAR(34),L317,CHAR(34),CHAR(41))</f>
        <v xml:space="preserve">                    variantCall ("NC_000015.9:g.[78928264G&gt;T];[78928264G&gt;T]")</v>
      </c>
      <c r="J317" s="3" t="str">
        <f t="shared" si="21"/>
        <v>Homo</v>
      </c>
      <c r="K317" s="3" t="str">
        <f t="shared" si="21"/>
        <v>NC_000015.9:g.[78923987C&gt;T];[78923987C&gt;T]</v>
      </c>
      <c r="L317" s="3" t="str">
        <f t="shared" si="21"/>
        <v>NC_000015.9:g.[78928264G&gt;T];[78928264G&gt;T]</v>
      </c>
      <c r="M317" s="3" t="str">
        <f t="shared" si="21"/>
        <v>NC_000015.9:g.[78930510A&gt;G];[78930510A&gt;G]</v>
      </c>
    </row>
    <row r="318" spans="1:13" x14ac:dyDescent="0.25">
      <c r="A318" s="26"/>
      <c r="C318" s="3" t="s">
        <v>71</v>
      </c>
      <c r="J318" s="3" t="str">
        <f t="shared" si="21"/>
        <v>Wildtype</v>
      </c>
      <c r="K318" s="3" t="str">
        <f t="shared" si="21"/>
        <v>NC_000015.9:g.[78923987=];[78923987=]</v>
      </c>
      <c r="L318" s="3" t="str">
        <f t="shared" si="21"/>
        <v>NC_000015.9:g.[78928264=];[78928264=]</v>
      </c>
      <c r="M318" s="3" t="str">
        <f t="shared" si="21"/>
        <v>NC_000015.9:g.[78930510=];[78930510=]</v>
      </c>
    </row>
    <row r="319" spans="1:13" x14ac:dyDescent="0.25">
      <c r="A319" s="26"/>
      <c r="C319" s="3" t="str">
        <f>CONCATENATE("                    variantCall ",CHAR(40),CHAR(34),M316,CHAR(34),CHAR(41))</f>
        <v xml:space="preserve">                    variantCall ("NC_000015.9:g.[78930510A&gt;G];[78930510=]")</v>
      </c>
      <c r="J319" s="3" t="str">
        <f t="shared" si="21"/>
        <v>Het%</v>
      </c>
      <c r="K319" s="3">
        <f t="shared" si="21"/>
        <v>29</v>
      </c>
      <c r="L319" s="3">
        <f t="shared" si="21"/>
        <v>48.5</v>
      </c>
      <c r="M319" s="3">
        <f t="shared" si="21"/>
        <v>44.3</v>
      </c>
    </row>
    <row r="320" spans="1:13" x14ac:dyDescent="0.25">
      <c r="A320" s="26"/>
      <c r="C320" s="3" t="str">
        <f>CONCATENATE("                  } &gt; ")</f>
        <v xml:space="preserve">                  } &gt; </v>
      </c>
      <c r="J320" s="3" t="str">
        <f t="shared" si="21"/>
        <v>Homo%</v>
      </c>
      <c r="K320" s="3">
        <f t="shared" si="21"/>
        <v>10.4</v>
      </c>
      <c r="L320" s="3">
        <f t="shared" si="21"/>
        <v>29.2</v>
      </c>
      <c r="M320" s="3">
        <f t="shared" si="21"/>
        <v>38.200000000000003</v>
      </c>
    </row>
    <row r="321" spans="1:13" x14ac:dyDescent="0.25">
      <c r="A321" s="14"/>
      <c r="J321" s="3" t="str">
        <f t="shared" si="21"/>
        <v>Wildtype%</v>
      </c>
      <c r="K321" s="3">
        <f t="shared" si="21"/>
        <v>60.6</v>
      </c>
      <c r="L321" s="3">
        <f t="shared" si="21"/>
        <v>22.3</v>
      </c>
      <c r="M321" s="3">
        <f t="shared" si="21"/>
        <v>17.5</v>
      </c>
    </row>
    <row r="322" spans="1:13" x14ac:dyDescent="0.25">
      <c r="A322" s="14"/>
      <c r="C322" s="3" t="s">
        <v>26</v>
      </c>
    </row>
    <row r="323" spans="1:13" x14ac:dyDescent="0.25">
      <c r="A323" s="14"/>
    </row>
    <row r="324" spans="1:13" x14ac:dyDescent="0.25">
      <c r="A324" s="14"/>
      <c r="C324" s="3" t="str">
        <f>CONCATENATE("    ",B315)</f>
        <v xml:space="preserve">    People with this variant have copies of the [G78635922T](http://journals.sagepub.com/doi/10.4137/III.S25147) and [A78638168G](http://journals.sagepub.com/doi/10.4137/III.S25147) variants. This substitution of a single nucleotide is known as a missense mutation.</v>
      </c>
    </row>
    <row r="325" spans="1:13" x14ac:dyDescent="0.25">
      <c r="A325" s="14"/>
    </row>
    <row r="326" spans="1:13" x14ac:dyDescent="0.25">
      <c r="A326" s="26"/>
      <c r="C326" s="3" t="s">
        <v>29</v>
      </c>
    </row>
    <row r="327" spans="1:13" x14ac:dyDescent="0.25">
      <c r="A327" s="26"/>
    </row>
    <row r="328" spans="1:13" x14ac:dyDescent="0.25">
      <c r="A328" s="26"/>
      <c r="C328" s="3" t="str">
        <f>CONCATENATE(B316)</f>
        <v/>
      </c>
    </row>
    <row r="329" spans="1:13" x14ac:dyDescent="0.25">
      <c r="A329" s="26"/>
    </row>
    <row r="330" spans="1:13" x14ac:dyDescent="0.25">
      <c r="A330" s="26"/>
      <c r="C330" s="3" t="s">
        <v>30</v>
      </c>
    </row>
    <row r="331" spans="1:13" x14ac:dyDescent="0.25">
      <c r="A331" s="26"/>
    </row>
    <row r="332" spans="1:13" x14ac:dyDescent="0.25">
      <c r="A332" s="26"/>
      <c r="C332" s="3" t="str">
        <f>CONCATENATE( "    &lt;piechart percentage=",B317," /&gt;")</f>
        <v xml:space="preserve">    &lt;piechart percentage= /&gt;</v>
      </c>
    </row>
    <row r="333" spans="1:13" x14ac:dyDescent="0.25">
      <c r="A333" s="26"/>
      <c r="C333" s="3" t="str">
        <f>"  &lt;/Analysis&gt;"</f>
        <v xml:space="preserve">  &lt;/Analysis&gt;</v>
      </c>
      <c r="K333" s="3" t="str">
        <f t="shared" ref="K333:M335" si="22">K179</f>
        <v>rs17487223</v>
      </c>
      <c r="L333" s="3" t="str">
        <f t="shared" si="22"/>
        <v>rs12441088</v>
      </c>
      <c r="M333" s="3" t="str">
        <f t="shared" si="22"/>
        <v>rs1316971</v>
      </c>
    </row>
    <row r="334" spans="1:13" s="21" customFormat="1" x14ac:dyDescent="0.25">
      <c r="A334" s="28" t="s">
        <v>70</v>
      </c>
      <c r="B334" s="20" t="s">
        <v>85</v>
      </c>
      <c r="C334" s="21" t="str">
        <f>CONCATENATE("&lt;# ",B334," #&gt;")</f>
        <v>&lt;# Wild type #&gt;</v>
      </c>
      <c r="K334" s="21" t="str">
        <f t="shared" si="22"/>
        <v>C78631645T</v>
      </c>
      <c r="L334" s="21" t="str">
        <f t="shared" si="22"/>
        <v>G78635922T</v>
      </c>
      <c r="M334" s="21" t="str">
        <f t="shared" si="22"/>
        <v>A78638168G</v>
      </c>
    </row>
    <row r="335" spans="1:13" x14ac:dyDescent="0.25">
      <c r="A335" s="14" t="s">
        <v>21</v>
      </c>
      <c r="B335" s="15" t="str">
        <f>K54</f>
        <v>NC_000015.9:g.[78923987=];[78923987=]</v>
      </c>
      <c r="K335" s="3" t="str">
        <f t="shared" si="22"/>
        <v>NC_000015.9:g.</v>
      </c>
      <c r="L335" s="3" t="str">
        <f t="shared" si="22"/>
        <v>NC_000015.9:g.</v>
      </c>
      <c r="M335" s="3" t="str">
        <f t="shared" si="22"/>
        <v>NC_000015.9:g.</v>
      </c>
    </row>
    <row r="336" spans="1:13" x14ac:dyDescent="0.25">
      <c r="A336" s="14" t="s">
        <v>72</v>
      </c>
      <c r="B336" s="15" t="str">
        <f>L54</f>
        <v>NC_000015.9:g.[78928264=];[78928264=]</v>
      </c>
      <c r="C336" s="3" t="str">
        <f>CONCATENATE("  &lt;Analysis name=",CHAR(34),B334,CHAR(34))</f>
        <v xml:space="preserve">  &lt;Analysis name="Wild type"</v>
      </c>
      <c r="J336" s="3" t="str">
        <f t="shared" ref="J336:M343" si="23">J182</f>
        <v>Variant</v>
      </c>
      <c r="K336" s="3" t="str">
        <f t="shared" si="23"/>
        <v>[78923987C&gt;T]</v>
      </c>
      <c r="L336" s="3" t="str">
        <f t="shared" si="23"/>
        <v>[78928264G&gt;T]</v>
      </c>
      <c r="M336" s="3" t="str">
        <f t="shared" si="23"/>
        <v>[78930510A&gt;G]</v>
      </c>
    </row>
    <row r="337" spans="1:13" x14ac:dyDescent="0.25">
      <c r="A337" s="26" t="s">
        <v>75</v>
      </c>
      <c r="B337" s="15" t="str">
        <f>CONCATENATE("Your ",B12," gene has no variants. A normal gene is referred to as a ",CHAR(34),"wild-type",CHAR(34)," gene.")</f>
        <v>Your CHRNB4 gene has no variants. A normal gene is referred to as a "wild-type" gene.</v>
      </c>
      <c r="C337" s="3" t="str">
        <f>CONCATENATE("            case={  variantCall ",CHAR(40),CHAR(34),B335,CHAR(34),CHAR(41))</f>
        <v xml:space="preserve">            case={  variantCall ("NC_000015.9:g.[78923987=];[78923987=]")</v>
      </c>
      <c r="J337" s="3" t="str">
        <f t="shared" si="23"/>
        <v>Wildtype</v>
      </c>
      <c r="K337" s="3" t="str">
        <f t="shared" si="23"/>
        <v>[78923987=]</v>
      </c>
      <c r="L337" s="3" t="str">
        <f t="shared" si="23"/>
        <v>[78928264=]</v>
      </c>
      <c r="M337" s="3" t="str">
        <f t="shared" si="23"/>
        <v>[78930510=]</v>
      </c>
    </row>
    <row r="338" spans="1:13" x14ac:dyDescent="0.25">
      <c r="A338" s="26" t="s">
        <v>28</v>
      </c>
      <c r="C338" s="3" t="s">
        <v>71</v>
      </c>
      <c r="J338" s="3" t="str">
        <f t="shared" si="23"/>
        <v>Het</v>
      </c>
      <c r="K338" s="3" t="str">
        <f t="shared" si="23"/>
        <v>NC_000015.9:g.[78923987C&gt;T];[78923987=]</v>
      </c>
      <c r="L338" s="3" t="str">
        <f t="shared" si="23"/>
        <v>NC_000015.9:g.[78928264G&gt;T];[78928264=]</v>
      </c>
      <c r="M338" s="3" t="str">
        <f t="shared" si="23"/>
        <v>NC_000015.9:g.[78930510A&gt;G];[78930510=]</v>
      </c>
    </row>
    <row r="339" spans="1:13" x14ac:dyDescent="0.25">
      <c r="A339" s="26" t="s">
        <v>73</v>
      </c>
      <c r="C339" s="3" t="str">
        <f>CONCATENATE("                    ","variantCall ",CHAR(40),CHAR(34),L340,CHAR(34),CHAR(41))</f>
        <v xml:space="preserve">                    variantCall ("NC_000015.9:g.[78928264=];[78928264=]")</v>
      </c>
      <c r="J339" s="3" t="str">
        <f t="shared" si="23"/>
        <v>Homo</v>
      </c>
      <c r="K339" s="3" t="str">
        <f t="shared" si="23"/>
        <v>NC_000015.9:g.[78923987C&gt;T];[78923987C&gt;T]</v>
      </c>
      <c r="L339" s="3" t="str">
        <f t="shared" si="23"/>
        <v>NC_000015.9:g.[78928264G&gt;T];[78928264G&gt;T]</v>
      </c>
      <c r="M339" s="3" t="str">
        <f t="shared" si="23"/>
        <v>NC_000015.9:g.[78930510A&gt;G];[78930510A&gt;G]</v>
      </c>
    </row>
    <row r="340" spans="1:13" x14ac:dyDescent="0.25">
      <c r="A340" s="26"/>
      <c r="C340" s="3" t="s">
        <v>71</v>
      </c>
      <c r="J340" s="3" t="str">
        <f t="shared" si="23"/>
        <v>Wildtype</v>
      </c>
      <c r="K340" s="3" t="str">
        <f t="shared" si="23"/>
        <v>NC_000015.9:g.[78923987=];[78923987=]</v>
      </c>
      <c r="L340" s="3" t="str">
        <f t="shared" si="23"/>
        <v>NC_000015.9:g.[78928264=];[78928264=]</v>
      </c>
      <c r="M340" s="3" t="str">
        <f t="shared" si="23"/>
        <v>NC_000015.9:g.[78930510=];[78930510=]</v>
      </c>
    </row>
    <row r="341" spans="1:13" x14ac:dyDescent="0.25">
      <c r="A341" s="26"/>
      <c r="C341" s="3" t="str">
        <f>CONCATENATE("                    ","variantCall ",CHAR(40),CHAR(34),M340,CHAR(34),CHAR(41))</f>
        <v xml:space="preserve">                    variantCall ("NC_000015.9:g.[78930510=];[78930510=]")</v>
      </c>
      <c r="J341" s="3" t="str">
        <f t="shared" si="23"/>
        <v>Het%</v>
      </c>
      <c r="K341" s="3">
        <f t="shared" si="23"/>
        <v>29</v>
      </c>
      <c r="L341" s="3">
        <f t="shared" si="23"/>
        <v>48.5</v>
      </c>
      <c r="M341" s="3">
        <f t="shared" si="23"/>
        <v>44.3</v>
      </c>
    </row>
    <row r="342" spans="1:13" x14ac:dyDescent="0.25">
      <c r="A342" s="26"/>
      <c r="C342" s="3" t="str">
        <f>CONCATENATE("                  } &gt; ")</f>
        <v xml:space="preserve">                  } &gt; </v>
      </c>
      <c r="J342" s="3" t="str">
        <f t="shared" si="23"/>
        <v>Homo%</v>
      </c>
      <c r="K342" s="3">
        <f t="shared" si="23"/>
        <v>10.4</v>
      </c>
      <c r="L342" s="3">
        <f t="shared" si="23"/>
        <v>29.2</v>
      </c>
      <c r="M342" s="3">
        <f t="shared" si="23"/>
        <v>38.200000000000003</v>
      </c>
    </row>
    <row r="343" spans="1:13" x14ac:dyDescent="0.25">
      <c r="A343" s="14"/>
      <c r="J343" s="3" t="str">
        <f t="shared" si="23"/>
        <v>Wildtype%</v>
      </c>
      <c r="K343" s="3">
        <f t="shared" si="23"/>
        <v>60.6</v>
      </c>
      <c r="L343" s="3">
        <f t="shared" si="23"/>
        <v>22.3</v>
      </c>
      <c r="M343" s="3">
        <f t="shared" si="23"/>
        <v>17.5</v>
      </c>
    </row>
    <row r="344" spans="1:13" x14ac:dyDescent="0.25">
      <c r="A344" s="14"/>
      <c r="C344" s="3" t="s">
        <v>26</v>
      </c>
    </row>
    <row r="345" spans="1:13" x14ac:dyDescent="0.25">
      <c r="A345" s="14"/>
    </row>
    <row r="346" spans="1:13" x14ac:dyDescent="0.25">
      <c r="A346" s="26"/>
      <c r="C346" s="3" t="str">
        <f>CONCATENATE("    ",B337)</f>
        <v xml:space="preserve">    Your CHRNB4 gene has no variants. A normal gene is referred to as a "wild-type" gene.</v>
      </c>
    </row>
    <row r="347" spans="1:13" x14ac:dyDescent="0.25">
      <c r="A347" s="26"/>
    </row>
    <row r="348" spans="1:13" x14ac:dyDescent="0.25">
      <c r="A348" s="26"/>
      <c r="C348" s="3" t="s">
        <v>30</v>
      </c>
    </row>
    <row r="349" spans="1:13" x14ac:dyDescent="0.25">
      <c r="A349" s="26"/>
    </row>
    <row r="350" spans="1:13" x14ac:dyDescent="0.25">
      <c r="A350" s="26"/>
      <c r="C350" s="3" t="str">
        <f>CONCATENATE( "    &lt;piechart percentage=",B339," /&gt;")</f>
        <v xml:space="preserve">    &lt;piechart percentage= /&gt;</v>
      </c>
    </row>
    <row r="351" spans="1:13" x14ac:dyDescent="0.25">
      <c r="A351" s="26"/>
      <c r="C351" s="3" t="str">
        <f>"  &lt;/Analysis&gt;"</f>
        <v xml:space="preserve">  &lt;/Analysis&gt;</v>
      </c>
    </row>
    <row r="352" spans="1:13" s="21" customFormat="1" x14ac:dyDescent="0.25">
      <c r="A352" s="28" t="s">
        <v>70</v>
      </c>
      <c r="B352" s="20" t="s">
        <v>86</v>
      </c>
      <c r="C352" s="21" t="str">
        <f>CONCATENATE("&lt;# ",B352," #&gt;")</f>
        <v>&lt;# Unknown #&gt;</v>
      </c>
    </row>
    <row r="353" spans="1:3" x14ac:dyDescent="0.25">
      <c r="A353" s="14" t="s">
        <v>21</v>
      </c>
      <c r="B353" s="15" t="str">
        <f>K72</f>
        <v>[78923987C&gt;T]</v>
      </c>
    </row>
    <row r="354" spans="1:3" x14ac:dyDescent="0.25">
      <c r="A354" s="14" t="s">
        <v>72</v>
      </c>
      <c r="C354" s="3" t="str">
        <f>CONCATENATE("  &lt;Analysis name=",CHAR(34),B352,CHAR(34), " case=true&gt;")</f>
        <v xml:space="preserve">  &lt;Analysis name="Unknown" case=true&gt;</v>
      </c>
    </row>
    <row r="355" spans="1:3" x14ac:dyDescent="0.25">
      <c r="A355" s="26" t="s">
        <v>75</v>
      </c>
      <c r="B355" s="15" t="s">
        <v>31</v>
      </c>
    </row>
    <row r="356" spans="1:3" x14ac:dyDescent="0.25">
      <c r="A356" s="26" t="s">
        <v>73</v>
      </c>
      <c r="B356" s="15">
        <v>0</v>
      </c>
      <c r="C356" s="3" t="s">
        <v>26</v>
      </c>
    </row>
    <row r="357" spans="1:3" x14ac:dyDescent="0.25">
      <c r="A357" s="26"/>
    </row>
    <row r="358" spans="1:3" x14ac:dyDescent="0.25">
      <c r="A358" s="14"/>
      <c r="C358" s="3" t="str">
        <f>CONCATENATE("    ",B355)</f>
        <v xml:space="preserve">    The effect is unknown.</v>
      </c>
    </row>
    <row r="359" spans="1:3" x14ac:dyDescent="0.25">
      <c r="A359" s="14"/>
    </row>
    <row r="360" spans="1:3" x14ac:dyDescent="0.25">
      <c r="A360" s="14"/>
      <c r="C360" s="3" t="s">
        <v>30</v>
      </c>
    </row>
    <row r="361" spans="1:3" x14ac:dyDescent="0.25">
      <c r="A361" s="26"/>
    </row>
    <row r="362" spans="1:3" x14ac:dyDescent="0.25">
      <c r="A362" s="26"/>
      <c r="C362" s="3" t="str">
        <f>CONCATENATE( "    &lt;piechart percentage=",B356," /&gt;")</f>
        <v xml:space="preserve">    &lt;piechart percentage=0 /&gt;</v>
      </c>
    </row>
    <row r="363" spans="1:3" x14ac:dyDescent="0.25">
      <c r="A363" s="26"/>
      <c r="C363" s="3" t="str">
        <f>"  &lt;/Analysis&gt;"</f>
        <v xml:space="preserve">  &lt;/Analysis&gt;</v>
      </c>
    </row>
    <row r="364" spans="1:3" x14ac:dyDescent="0.25">
      <c r="A364" s="14"/>
      <c r="C364" s="31" t="s">
        <v>78</v>
      </c>
    </row>
    <row r="365" spans="1:3" s="21" customFormat="1" x14ac:dyDescent="0.25">
      <c r="A365" s="19"/>
      <c r="B365" s="20"/>
      <c r="C365" s="35"/>
    </row>
    <row r="366" spans="1:3" x14ac:dyDescent="0.25">
      <c r="A366" s="14" t="s">
        <v>79</v>
      </c>
      <c r="B366" s="47" t="s">
        <v>234</v>
      </c>
      <c r="C366" s="10" t="str">
        <f>CONCATENATE("&lt;# ",A366," ",B366," #&gt;")</f>
        <v>&lt;# Tissues male tissue, endocrine tissues #&gt;</v>
      </c>
    </row>
    <row r="367" spans="1:3" x14ac:dyDescent="0.25">
      <c r="A367" s="14"/>
    </row>
    <row r="368" spans="1:3" x14ac:dyDescent="0.25">
      <c r="A368" s="14"/>
      <c r="B368" s="40" t="s">
        <v>235</v>
      </c>
      <c r="C368" s="31" t="str">
        <f>CONCATENATE("&lt;TopicBar ",B368," /&gt;")</f>
        <v>&lt;TopicBar mesh_D005837 mesh_D004703 /&gt;</v>
      </c>
    </row>
    <row r="369" spans="1:3" x14ac:dyDescent="0.25">
      <c r="A369" s="14"/>
    </row>
    <row r="370" spans="1:3" x14ac:dyDescent="0.25">
      <c r="A370" s="14" t="s">
        <v>32</v>
      </c>
      <c r="B370" s="47" t="s">
        <v>232</v>
      </c>
      <c r="C370" s="10" t="str">
        <f>CONCATENATE("&lt;# ",A370," ",B370," #&gt;")</f>
        <v>&lt;# Symptoms inflammation #&gt;</v>
      </c>
    </row>
    <row r="371" spans="1:3" x14ac:dyDescent="0.25">
      <c r="A371" s="14"/>
    </row>
    <row r="372" spans="1:3" x14ac:dyDescent="0.25">
      <c r="A372" s="14"/>
      <c r="B372" s="40" t="s">
        <v>233</v>
      </c>
      <c r="C372" s="31" t="str">
        <f>CONCATENATE("&lt;TopicBar ",B372," /&gt;")</f>
        <v>&lt;TopicBar mesh_D007249 /&gt;</v>
      </c>
    </row>
    <row r="373" spans="1:3" x14ac:dyDescent="0.25">
      <c r="A373" s="14"/>
      <c r="C373" s="31"/>
    </row>
    <row r="374" spans="1:3" x14ac:dyDescent="0.25">
      <c r="A374" s="14" t="s">
        <v>48</v>
      </c>
      <c r="B374" s="40" t="s">
        <v>236</v>
      </c>
      <c r="C374" s="10" t="str">
        <f>CONCATENATE("&lt;# ",A374," ",B374," #&gt;")</f>
        <v>&lt;# Diseases cancer; ME/CFS; nicotine dependency;  Disease susceptibility - increased susceptibility to viral, bacterial, and parasitic infections #&gt;</v>
      </c>
    </row>
    <row r="375" spans="1:3" x14ac:dyDescent="0.25">
      <c r="A375" s="14"/>
    </row>
    <row r="376" spans="1:3" x14ac:dyDescent="0.25">
      <c r="A376" s="14"/>
      <c r="B376" s="40" t="s">
        <v>237</v>
      </c>
      <c r="C376" s="31" t="str">
        <f>CONCATENATE("&lt;TopicBar ",B376," /&gt;")</f>
        <v>&lt;TopicBar mesh_D009369 mesh_D014029 mesh_D015673 mesh_D014029  mesh_D004198 /&gt;</v>
      </c>
    </row>
    <row r="377" spans="1:3" x14ac:dyDescent="0.25">
      <c r="A377" s="14"/>
    </row>
    <row r="378" spans="1:3" s="21" customFormat="1" x14ac:dyDescent="0.25">
      <c r="A378" s="28"/>
      <c r="B378" s="20"/>
    </row>
    <row r="379" spans="1:3" x14ac:dyDescent="0.25">
      <c r="B379" s="30"/>
    </row>
    <row r="381" spans="1:3" x14ac:dyDescent="0.25">
      <c r="B381" s="30"/>
    </row>
    <row r="383" spans="1:3" x14ac:dyDescent="0.25">
      <c r="B383" s="30"/>
    </row>
    <row r="385" spans="2:2" x14ac:dyDescent="0.25">
      <c r="B385" s="30"/>
    </row>
    <row r="387" spans="2:2" x14ac:dyDescent="0.25">
      <c r="B387" s="3"/>
    </row>
    <row r="389" spans="2:2" x14ac:dyDescent="0.25">
      <c r="B389" s="3"/>
    </row>
    <row r="1061" spans="3:3" x14ac:dyDescent="0.25">
      <c r="C1061" s="3" t="str">
        <f>CONCATENATE("    This variant is a change at a specific point in the ",B1052," gene from ",B1061," to ",B1062," resulting in incorrect ",B1055,"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7" spans="3:3" x14ac:dyDescent="0.25">
      <c r="C1067" s="3" t="str">
        <f>CONCATENATE("    This variant is a change at a specific point in the ",B1052," gene from ",B1067," to ",B1068," resulting in incorrect ",B1055,"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7" spans="3:3" x14ac:dyDescent="0.25">
      <c r="C1197" s="3" t="str">
        <f>CONCATENATE("    This variant is a change at a specific point in the ",B1188," gene from ",B1197," to ",B1198," resulting in incorrect ",B1191,"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03" spans="3:3" x14ac:dyDescent="0.25">
      <c r="C1203" s="3" t="str">
        <f>CONCATENATE("    This variant is a change at a specific point in the ",B1188," gene from ",B1203," to ",B1204," resulting in incorrect ",B1191,"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5" spans="3:3" x14ac:dyDescent="0.25">
      <c r="C1605" s="3" t="str">
        <f>CONCATENATE("    This variant is a change at a specific point in the ",B1596," gene from ",B1605," to ",B1606," resulting in incorrect ",B1599,"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11" spans="3:3" x14ac:dyDescent="0.25">
      <c r="C1611" s="3" t="str">
        <f>CONCATENATE("    This variant is a change at a specific point in the ",B1596," gene from ",B1611," to ",B1612," resulting in incorrect ",B1599,"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1" spans="3:3" x14ac:dyDescent="0.25">
      <c r="C1741" s="3" t="str">
        <f>CONCATENATE("    This variant is a change at a specific point in the ",B1732," gene from ",B1741," to ",B1742," resulting in incorrect ",B1735,"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7" spans="3:3" x14ac:dyDescent="0.25">
      <c r="C1747" s="3" t="str">
        <f>CONCATENATE("    This variant is a change at a specific point in the ",B1732," gene from ",B1747," to ",B1748," resulting in incorrect ",B1735,"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7" spans="3:3" x14ac:dyDescent="0.25">
      <c r="C1877" s="3" t="str">
        <f>CONCATENATE("    This variant is a change at a specific point in the ",B1868," gene from ",B1877," to ",B1878," resulting in incorrect ",B1871,"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83" spans="3:3" x14ac:dyDescent="0.25">
      <c r="C1883" s="3" t="str">
        <f>CONCATENATE("    This variant is a change at a specific point in the ",B1868," gene from ",B1883," to ",B1884," resulting in incorrect ",B1871,"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3" spans="3:3" x14ac:dyDescent="0.25">
      <c r="C2013" s="3" t="str">
        <f>CONCATENATE("    This variant is a change at a specific point in the ",B2004," gene from ",B2013," to ",B2014," resulting in incorrect ",B2007,"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9" spans="3:3" x14ac:dyDescent="0.25">
      <c r="C2019" s="3" t="str">
        <f>CONCATENATE("    This variant is a change at a specific point in the ",B2004," gene from ",B2019," to ",B2020," resulting in incorrect ",B2007,"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9" spans="3:3" x14ac:dyDescent="0.25">
      <c r="C2149" s="3" t="str">
        <f>CONCATENATE("    This variant is a change at a specific point in the ",B2140," gene from ",B2149," to ",B2150," resulting in incorrect ",B2143,"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5" spans="3:3" x14ac:dyDescent="0.25">
      <c r="C2155" s="3" t="str">
        <f>CONCATENATE("    This variant is a change at a specific point in the ",B2140," gene from ",B2155," to ",B2156," resulting in incorrect ",B2143,"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5" spans="3:3" x14ac:dyDescent="0.25">
      <c r="C2285" s="3" t="str">
        <f>CONCATENATE("    This variant is a change at a specific point in the ",B2276," gene from ",B2285," to ",B2286," resulting in incorrect ",B2279,"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91" spans="3:3" x14ac:dyDescent="0.25">
      <c r="C2291" s="3" t="str">
        <f>CONCATENATE("    This variant is a change at a specific point in the ",B2276," gene from ",B2291," to ",B2292," resulting in incorrect ",B2279,"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1" spans="3:3" x14ac:dyDescent="0.25">
      <c r="C2421" s="3" t="str">
        <f>CONCATENATE("    This variant is a change at a specific point in the ",B2412," gene from ",B2421," to ",B2422," resulting in incorrect ",B2415,"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7" spans="3:3" x14ac:dyDescent="0.25">
      <c r="C2427" s="3" t="str">
        <f>CONCATENATE("    This variant is a change at a specific point in the ",B2412," gene from ",B2427," to ",B2428," resulting in incorrect ",B2415,"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7" spans="3:3" x14ac:dyDescent="0.25">
      <c r="C2557" s="3" t="str">
        <f>CONCATENATE("    This variant is a change at a specific point in the ",B2548," gene from ",B2557," to ",B2558," resulting in incorrect ",B2551,"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63" spans="3:3" x14ac:dyDescent="0.25">
      <c r="C2563" s="3" t="str">
        <f>CONCATENATE("    This variant is a change at a specific point in the ",B2548," gene from ",B2563," to ",B2564," resulting in incorrect ",B2551,"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46221-C528-49AC-AC2C-DF77F282E73D}">
  <dimension ref="A1:AJ2585"/>
  <sheetViews>
    <sheetView topLeftCell="A334" workbookViewId="0">
      <selection activeCell="B338" sqref="B338"/>
    </sheetView>
  </sheetViews>
  <sheetFormatPr defaultRowHeight="15.75" x14ac:dyDescent="0.25"/>
  <cols>
    <col min="1" max="1" width="16.28515625" style="3" customWidth="1"/>
    <col min="2" max="2" width="58.28515625" style="15" customWidth="1"/>
    <col min="3" max="6" width="9.140625" style="3"/>
    <col min="7" max="7" width="10.28515625" style="3" bestFit="1" customWidth="1"/>
    <col min="8" max="8" width="13" style="3" customWidth="1"/>
    <col min="9" max="9" width="13.4257812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22.28515625" style="3" customWidth="1"/>
    <col min="18" max="18" width="15.5703125" style="3" customWidth="1"/>
    <col min="19" max="21" width="15.42578125" style="3" bestFit="1" customWidth="1"/>
    <col min="22" max="22" width="4.7109375" style="3" customWidth="1"/>
    <col min="23" max="23" width="15" style="3" customWidth="1"/>
    <col min="24" max="24" width="14.85546875" style="3" hidden="1"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8" t="s">
        <v>0</v>
      </c>
      <c r="B1" s="9" t="s">
        <v>1</v>
      </c>
      <c r="C1" s="8" t="s">
        <v>2</v>
      </c>
      <c r="H1" s="10"/>
      <c r="I1" s="11"/>
      <c r="J1" s="10"/>
      <c r="K1" s="10"/>
      <c r="L1" s="10"/>
      <c r="P1" s="8"/>
      <c r="Q1" s="9"/>
      <c r="R1" s="8"/>
      <c r="W1" s="10"/>
      <c r="X1" s="11"/>
      <c r="Y1" s="10"/>
      <c r="Z1" s="10"/>
      <c r="AA1" s="10"/>
      <c r="AF1" s="13"/>
      <c r="AG1" s="13"/>
      <c r="AJ1" s="13"/>
    </row>
    <row r="2" spans="1:36" x14ac:dyDescent="0.25">
      <c r="A2" s="14" t="s">
        <v>35</v>
      </c>
      <c r="B2" t="s">
        <v>261</v>
      </c>
      <c r="C2" s="3" t="str">
        <f>CONCATENATE("&lt;",A2," ",B2," /&gt;")</f>
        <v>&lt;Gene_Name COMT /&gt;</v>
      </c>
      <c r="D2" s="15"/>
      <c r="H2" s="10"/>
      <c r="I2" s="11"/>
      <c r="J2" s="10"/>
      <c r="K2" s="10"/>
      <c r="L2" s="10"/>
      <c r="P2" s="14"/>
      <c r="Q2"/>
      <c r="S2" s="15"/>
      <c r="W2" s="10"/>
      <c r="X2" s="11"/>
      <c r="Y2" s="10"/>
      <c r="Z2" s="10"/>
      <c r="AA2" s="10"/>
      <c r="AF2" s="13"/>
      <c r="AG2" s="13"/>
      <c r="AJ2" s="13"/>
    </row>
    <row r="3" spans="1:36" x14ac:dyDescent="0.25">
      <c r="A3" s="8"/>
      <c r="B3" s="9"/>
      <c r="C3" s="8"/>
      <c r="D3" s="15"/>
      <c r="H3" s="10"/>
      <c r="I3" s="11"/>
      <c r="J3" s="10"/>
      <c r="K3" s="10"/>
      <c r="L3" s="10"/>
      <c r="P3" s="8"/>
      <c r="Q3" s="9"/>
      <c r="R3" s="8"/>
      <c r="S3" s="15"/>
      <c r="W3" s="10"/>
      <c r="X3" s="11"/>
      <c r="Y3" s="10"/>
      <c r="Z3" s="10"/>
      <c r="AA3" s="10"/>
      <c r="AF3" s="13"/>
      <c r="AG3" s="13"/>
      <c r="AJ3" s="13"/>
    </row>
    <row r="4" spans="1:36" x14ac:dyDescent="0.25">
      <c r="A4" s="14" t="s">
        <v>37</v>
      </c>
      <c r="B4" s="15" t="s">
        <v>260</v>
      </c>
      <c r="C4" s="3" t="str">
        <f>CONCATENATE("&lt;",A4," ",B4," /&gt;")</f>
        <v>&lt;GeneName_full catechol-O-methyltransferase /&gt;</v>
      </c>
      <c r="D4" s="15"/>
      <c r="H4" s="10"/>
      <c r="I4" s="11"/>
      <c r="J4" s="10"/>
      <c r="K4" s="10"/>
      <c r="L4" s="10"/>
      <c r="P4" s="14"/>
      <c r="Q4" s="15"/>
      <c r="S4" s="15"/>
      <c r="W4" s="10"/>
      <c r="X4" s="11"/>
      <c r="Y4" s="10"/>
      <c r="Z4" s="10"/>
      <c r="AA4" s="10"/>
      <c r="AF4" s="13"/>
      <c r="AG4" s="13"/>
      <c r="AJ4" s="13"/>
    </row>
    <row r="5" spans="1:36" x14ac:dyDescent="0.25">
      <c r="A5" s="14"/>
      <c r="B5" s="9"/>
      <c r="C5" s="8"/>
      <c r="D5" s="15"/>
      <c r="H5" s="10"/>
      <c r="I5" s="11"/>
      <c r="J5" s="10"/>
      <c r="K5" s="10"/>
      <c r="L5" s="10"/>
      <c r="P5" s="14"/>
      <c r="Q5" s="9"/>
      <c r="R5" s="8"/>
      <c r="S5" s="15"/>
      <c r="W5" s="10"/>
      <c r="X5" s="11"/>
      <c r="Y5" s="10"/>
      <c r="Z5" s="10"/>
      <c r="AA5" s="10"/>
      <c r="AF5" s="13"/>
      <c r="AG5" s="13"/>
      <c r="AJ5" s="13"/>
    </row>
    <row r="6" spans="1:36" x14ac:dyDescent="0.25">
      <c r="A6" s="14"/>
      <c r="B6" s="3"/>
      <c r="C6" s="3" t="str">
        <f>CONCATENATE("# What does the ",B2," gene do?")</f>
        <v># What does the COMT gene do?</v>
      </c>
      <c r="H6" s="10"/>
      <c r="I6" s="11"/>
      <c r="J6" s="10"/>
      <c r="K6" s="10"/>
      <c r="L6" s="10"/>
      <c r="P6" s="14"/>
      <c r="W6" s="10"/>
      <c r="X6" s="11"/>
      <c r="Y6" s="10"/>
      <c r="Z6" s="10"/>
      <c r="AA6" s="10"/>
      <c r="AF6" s="13"/>
      <c r="AJ6" s="13"/>
    </row>
    <row r="7" spans="1:36" x14ac:dyDescent="0.25">
      <c r="A7" s="14"/>
      <c r="I7" s="17"/>
      <c r="P7" s="14"/>
      <c r="Q7" s="15"/>
      <c r="X7" s="17"/>
      <c r="AF7" s="13"/>
      <c r="AJ7" s="13"/>
    </row>
    <row r="8" spans="1:36" x14ac:dyDescent="0.25">
      <c r="A8" s="14" t="s">
        <v>5</v>
      </c>
      <c r="B8" s="37" t="s">
        <v>264</v>
      </c>
      <c r="C8" s="3" t="str">
        <f>CONCATENATE(B8," This gene is located on chromosome ",B9,".")</f>
        <v>The COMT gene creates an enzyme that helps break down and balance levels of dopamine and [norepinephrine](https://www.britannica.com/science/norepinephrine) in nerve cells. It also helps balance levels of [estrogen](https://www.ncbi.nlm.nih.gov/pubmed/18324659?dopt=Abstract) in the liver, kidneys, and blood. Variants may cause [anxiety](https://www.ncbi.nlm.nih.gov/pubmed/16232322?dopt=Abstract), [depression](https://www.ncbi.nlm.nih.gov/pubmed/19520435?dopt=Abstract), muscle pain and fatigue, oxidative stress,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 This gene is located on chromosome 22.</v>
      </c>
      <c r="I8" s="17"/>
      <c r="P8" s="14"/>
      <c r="Q8" s="37"/>
      <c r="X8" s="17"/>
    </row>
    <row r="9" spans="1:36" x14ac:dyDescent="0.25">
      <c r="A9" s="14" t="s">
        <v>6</v>
      </c>
      <c r="B9" s="2">
        <v>22</v>
      </c>
      <c r="I9" s="17"/>
      <c r="P9" s="14"/>
      <c r="Q9" s="2"/>
      <c r="X9" s="17"/>
    </row>
    <row r="10" spans="1:36" x14ac:dyDescent="0.25">
      <c r="A10" s="14" t="s">
        <v>7</v>
      </c>
      <c r="B10" s="2" t="s">
        <v>8</v>
      </c>
      <c r="P10" s="14"/>
      <c r="Q10" s="2"/>
    </row>
    <row r="11" spans="1:36" s="21" customFormat="1" ht="16.5" thickBot="1" x14ac:dyDescent="0.3">
      <c r="A11" s="19"/>
      <c r="B11" s="20"/>
      <c r="P11" s="19"/>
      <c r="Q11" s="20"/>
    </row>
    <row r="12" spans="1:36" ht="16.5" thickBot="1" x14ac:dyDescent="0.3">
      <c r="A12" s="14" t="s">
        <v>3</v>
      </c>
      <c r="B12" t="s">
        <v>261</v>
      </c>
      <c r="C12" s="3" t="str">
        <f>CONCATENATE("&lt;GeneMap name= ",CHAR(34),B12,CHAR(34)," interval=",CHAR(34),B13,"=",CHAR(34),"&gt;")</f>
        <v>&lt;GeneMap name= "COMT" interval="NC_000022.10:g.19929263_19957498="&gt;</v>
      </c>
      <c r="J12" s="23"/>
      <c r="K12" s="23"/>
      <c r="L12" s="23"/>
      <c r="M12" s="23"/>
      <c r="N12" s="23"/>
      <c r="O12" s="24"/>
      <c r="P12" s="14"/>
      <c r="Q12"/>
      <c r="Y12" s="23"/>
      <c r="Z12" s="23"/>
      <c r="AA12" s="23"/>
      <c r="AB12" s="23"/>
      <c r="AC12" s="23"/>
      <c r="AD12" s="24"/>
    </row>
    <row r="13" spans="1:36" x14ac:dyDescent="0.25">
      <c r="A13" s="14" t="s">
        <v>9</v>
      </c>
      <c r="B13" t="s">
        <v>262</v>
      </c>
      <c r="J13" s="15"/>
      <c r="K13" s="15"/>
      <c r="L13" s="15"/>
      <c r="M13" s="15"/>
      <c r="N13" s="15"/>
      <c r="O13" s="15"/>
      <c r="P13" s="14"/>
      <c r="Q13"/>
      <c r="Y13" s="15"/>
      <c r="Z13" s="15"/>
      <c r="AA13" s="15"/>
      <c r="AB13" s="15"/>
      <c r="AC13" s="15"/>
      <c r="AD13" s="15"/>
    </row>
    <row r="14" spans="1:36" x14ac:dyDescent="0.25">
      <c r="A14" s="14" t="s">
        <v>11</v>
      </c>
      <c r="B14" t="s">
        <v>263</v>
      </c>
      <c r="C14" s="3" t="str">
        <f>CONCATENATE("# What are some common variants of ",B12,"?")</f>
        <v># What are some common variants of COMT?</v>
      </c>
      <c r="J14" s="15"/>
      <c r="K14" s="15"/>
      <c r="L14" s="15"/>
      <c r="M14" s="15"/>
      <c r="N14" s="15"/>
      <c r="O14" s="15"/>
      <c r="P14" s="14"/>
      <c r="Q14"/>
      <c r="Y14" s="15"/>
      <c r="Z14" s="15"/>
      <c r="AA14" s="15"/>
      <c r="AB14" s="15"/>
      <c r="AC14" s="15"/>
      <c r="AD14" s="15"/>
    </row>
    <row r="15" spans="1:36" x14ac:dyDescent="0.25">
      <c r="A15" s="14"/>
      <c r="B15" s="2"/>
      <c r="C15" s="3" t="s">
        <v>13</v>
      </c>
      <c r="J15" s="15"/>
      <c r="K15" s="15"/>
      <c r="L15" s="15"/>
      <c r="M15" s="15"/>
      <c r="N15" s="15"/>
      <c r="O15" s="15"/>
      <c r="P15" s="14"/>
      <c r="Q15" s="2"/>
      <c r="R15" s="3" t="s">
        <v>13</v>
      </c>
      <c r="Y15" s="15"/>
      <c r="Z15" s="15"/>
      <c r="AA15" s="15"/>
      <c r="AB15" s="15"/>
      <c r="AC15" s="15"/>
      <c r="AD15" s="15"/>
    </row>
    <row r="16" spans="1:36" x14ac:dyDescent="0.25">
      <c r="B16" s="2"/>
      <c r="C16" s="3" t="str">
        <f>CONCATENATE("A variant is a change at a specific point in the gene from the expected nucleotide sequence to another, resulting in incorrect ", B10," function. There are ",B14," common variants in ",B12,": ",B22,", ",B31,", ",B40,", ",Q22,", and ",Q31,".")</f>
        <v>A variant is a change at a specific point in the gene from the expected nucleotide sequence to another, resulting in incorrect enzyme function. There are five common variants in COMT: [G158A](https://www.ncbi.nlm.nih.gov/pubmed/21059181), [C62T](https://www.ncbi.nlm.nih.gov/pubmed/26891941), [T19943884C](https://www.ncbi.nlm.nih.gov/pubmed/19540336), [T19960814C](https://www.ncbi.nlm.nih.gov/pubmed/19772600), and [T19950010G](https://www.ncbi.nlm.nih.gov/pubmed/19540336).</v>
      </c>
      <c r="J16" s="15"/>
      <c r="K16" s="15"/>
      <c r="L16" s="15"/>
      <c r="M16" s="15"/>
      <c r="N16" s="15"/>
      <c r="O16" s="15"/>
      <c r="Q16" s="2"/>
      <c r="Y16" s="15"/>
      <c r="Z16" s="15"/>
      <c r="AA16" s="15"/>
      <c r="AB16" s="15"/>
      <c r="AC16" s="15"/>
      <c r="AD16" s="15"/>
    </row>
    <row r="17" spans="1:30" x14ac:dyDescent="0.25">
      <c r="B17" s="2"/>
      <c r="J17" s="15"/>
      <c r="K17" s="15"/>
      <c r="L17" s="15"/>
      <c r="M17" s="15"/>
      <c r="N17" s="15"/>
      <c r="O17" s="15"/>
      <c r="Q17" s="2"/>
      <c r="Y17" s="15"/>
      <c r="Z17" s="15"/>
      <c r="AA17" s="15"/>
      <c r="AB17" s="15"/>
      <c r="AC17" s="15"/>
      <c r="AD17" s="15"/>
    </row>
    <row r="18" spans="1:30" x14ac:dyDescent="0.25">
      <c r="A18" s="14" t="s">
        <v>14</v>
      </c>
      <c r="B18" s="6" t="s">
        <v>286</v>
      </c>
      <c r="C18" s="3" t="str">
        <f>CONCATENATE("&lt;# ",B19," #&gt;")</f>
        <v>&lt;# G158A #&gt;</v>
      </c>
      <c r="J18" s="15"/>
      <c r="K18" s="15"/>
      <c r="L18" s="15"/>
      <c r="M18" s="15"/>
      <c r="N18" s="15"/>
      <c r="O18" s="15"/>
      <c r="P18" s="14" t="s">
        <v>14</v>
      </c>
      <c r="Q18" s="6" t="s">
        <v>276</v>
      </c>
      <c r="R18" s="3" t="str">
        <f>CONCATENATE("&lt;# ",Q19," #&gt;")</f>
        <v>&lt;# T19960814C #&gt;</v>
      </c>
      <c r="Y18" s="15"/>
      <c r="Z18" s="15"/>
      <c r="AA18" s="15"/>
      <c r="AB18" s="15"/>
      <c r="AC18" s="15"/>
      <c r="AD18" s="15"/>
    </row>
    <row r="19" spans="1:30" x14ac:dyDescent="0.25">
      <c r="A19" s="26" t="s">
        <v>15</v>
      </c>
      <c r="B19" s="6" t="s">
        <v>265</v>
      </c>
      <c r="J19" s="6"/>
      <c r="K19" s="15"/>
      <c r="L19" s="15"/>
      <c r="M19" s="15"/>
      <c r="N19" s="15"/>
      <c r="O19" s="15"/>
      <c r="P19" s="26" t="s">
        <v>15</v>
      </c>
      <c r="Q19" s="7" t="s">
        <v>271</v>
      </c>
      <c r="Y19" s="6"/>
      <c r="Z19" s="15"/>
      <c r="AA19" s="15"/>
      <c r="AB19" s="15"/>
      <c r="AC19" s="15"/>
      <c r="AD19" s="15"/>
    </row>
    <row r="20" spans="1:30" x14ac:dyDescent="0.25">
      <c r="A20" s="26" t="s">
        <v>17</v>
      </c>
      <c r="B20" s="2" t="s">
        <v>44</v>
      </c>
      <c r="C20" s="3" t="str">
        <f>CONCATENATE("  &lt;Variant hgvs=",CHAR(34),B18,CHAR(34)," name=",CHAR(34),B19,CHAR(34),"&gt; ")</f>
        <v xml:space="preserve">  &lt;Variant hgvs="NC_000022.10:g.19951271G&gt;A" name="G158A"&gt; </v>
      </c>
      <c r="J20" s="2"/>
      <c r="K20" s="15"/>
      <c r="L20" s="15"/>
      <c r="M20" s="15"/>
      <c r="N20" s="15"/>
      <c r="O20" s="15"/>
      <c r="P20" s="26" t="s">
        <v>17</v>
      </c>
      <c r="Q20" s="2" t="s">
        <v>20</v>
      </c>
      <c r="R20" s="3" t="str">
        <f>CONCATENATE("  &lt;Variant hgvs=",CHAR(34),Q18,CHAR(34)," name=",CHAR(34),Q19,CHAR(34),"&gt; ")</f>
        <v xml:space="preserve">  &lt;Variant hgvs="NC_000022.10:g.19948337T&gt;C" name="T19960814C"&gt; </v>
      </c>
      <c r="Y20" s="2"/>
      <c r="Z20" s="15"/>
      <c r="AA20" s="15"/>
      <c r="AB20" s="15"/>
      <c r="AC20" s="15"/>
      <c r="AD20" s="15"/>
    </row>
    <row r="21" spans="1:30" x14ac:dyDescent="0.25">
      <c r="A21" s="26" t="s">
        <v>19</v>
      </c>
      <c r="B21" s="2" t="s">
        <v>24</v>
      </c>
      <c r="H21" s="15"/>
      <c r="I21" s="15"/>
      <c r="J21" s="2"/>
      <c r="K21" s="15"/>
      <c r="L21" s="15"/>
      <c r="M21" s="15"/>
      <c r="N21" s="15"/>
      <c r="O21" s="15"/>
      <c r="P21" s="26" t="s">
        <v>19</v>
      </c>
      <c r="Q21" s="2" t="str">
        <f>"cytosine (C)"</f>
        <v>cytosine (C)</v>
      </c>
      <c r="W21" s="15"/>
      <c r="X21" s="15"/>
      <c r="Y21" s="2"/>
      <c r="Z21" s="15"/>
      <c r="AA21" s="15"/>
      <c r="AB21" s="15"/>
      <c r="AC21" s="15"/>
      <c r="AD21" s="15"/>
    </row>
    <row r="22" spans="1:30" x14ac:dyDescent="0.25">
      <c r="A22" s="26" t="s">
        <v>21</v>
      </c>
      <c r="B22" s="7" t="s">
        <v>266</v>
      </c>
      <c r="C22" s="3" t="str">
        <f>CONCATENATE("    Instead of ",B20,", there is an ",B21," nucleotide.")</f>
        <v xml:space="preserve">    Instead of guanine (G), there is an adenine (A) nucleotide.</v>
      </c>
      <c r="H22" s="15"/>
      <c r="I22" s="15"/>
      <c r="J22" s="7"/>
      <c r="K22" s="15"/>
      <c r="L22" s="15"/>
      <c r="M22" s="15"/>
      <c r="N22" s="15"/>
      <c r="O22" s="15"/>
      <c r="P22" s="26" t="s">
        <v>21</v>
      </c>
      <c r="Q22" s="7" t="s">
        <v>272</v>
      </c>
      <c r="R22" s="3" t="str">
        <f>CONCATENATE("    Instead of ",Q20,", there is a ",Q21," nucleotide.")</f>
        <v xml:space="preserve">    Instead of thymine (T), there is a cytosine (C) nucleotide.</v>
      </c>
      <c r="W22" s="15"/>
      <c r="X22" s="15"/>
      <c r="Y22" s="7"/>
      <c r="Z22" s="15"/>
      <c r="AA22" s="15"/>
      <c r="AB22" s="15"/>
      <c r="AC22" s="15"/>
      <c r="AD22" s="15"/>
    </row>
    <row r="23" spans="1:30" x14ac:dyDescent="0.25">
      <c r="A23" s="3" t="s">
        <v>65</v>
      </c>
      <c r="B23" s="3" t="s">
        <v>277</v>
      </c>
      <c r="H23" s="2"/>
      <c r="I23" s="2"/>
      <c r="J23" s="15"/>
      <c r="K23" s="15"/>
      <c r="L23" s="15"/>
      <c r="M23" s="15"/>
      <c r="N23" s="15"/>
      <c r="O23" s="15"/>
      <c r="P23" s="3" t="s">
        <v>65</v>
      </c>
      <c r="Q23" s="3" t="s">
        <v>277</v>
      </c>
      <c r="W23" s="2"/>
      <c r="X23" s="2"/>
      <c r="Y23" s="15"/>
      <c r="Z23" s="15"/>
      <c r="AA23" s="15"/>
      <c r="AB23" s="15"/>
      <c r="AC23" s="15"/>
      <c r="AD23" s="15"/>
    </row>
    <row r="24" spans="1:30" x14ac:dyDescent="0.25">
      <c r="A24" s="3" t="s">
        <v>51</v>
      </c>
      <c r="B24" s="7" t="s">
        <v>287</v>
      </c>
      <c r="C24" s="3" t="str">
        <f>"  &lt;/Variant&gt;"</f>
        <v xml:space="preserve">  &lt;/Variant&gt;</v>
      </c>
      <c r="H24" s="2"/>
      <c r="I24" s="2"/>
      <c r="J24" s="15"/>
      <c r="K24" s="15"/>
      <c r="L24" s="15"/>
      <c r="M24" s="15"/>
      <c r="N24" s="15"/>
      <c r="O24" s="15"/>
      <c r="P24" s="3" t="s">
        <v>51</v>
      </c>
      <c r="Q24" s="7" t="s">
        <v>278</v>
      </c>
      <c r="R24" s="3" t="str">
        <f>"  &lt;/Variant&gt;"</f>
        <v xml:space="preserve">  &lt;/Variant&gt;</v>
      </c>
      <c r="W24" s="2"/>
      <c r="X24" s="2"/>
      <c r="Y24" s="15"/>
      <c r="Z24" s="15"/>
      <c r="AA24" s="15"/>
      <c r="AB24" s="15"/>
      <c r="AC24" s="15"/>
      <c r="AD24" s="15"/>
    </row>
    <row r="25" spans="1:30" x14ac:dyDescent="0.25">
      <c r="A25" s="26" t="s">
        <v>52</v>
      </c>
      <c r="B25" s="7" t="s">
        <v>288</v>
      </c>
      <c r="J25" s="6"/>
      <c r="P25" s="26" t="s">
        <v>52</v>
      </c>
      <c r="Q25" s="7" t="s">
        <v>279</v>
      </c>
      <c r="Y25" s="6"/>
    </row>
    <row r="26" spans="1:30" x14ac:dyDescent="0.25">
      <c r="A26" s="26"/>
      <c r="B26" s="7"/>
      <c r="J26" s="6"/>
      <c r="P26" s="26"/>
      <c r="Q26" s="7"/>
      <c r="Y26" s="6"/>
    </row>
    <row r="27" spans="1:30" x14ac:dyDescent="0.25">
      <c r="A27" s="14" t="s">
        <v>14</v>
      </c>
      <c r="B27" s="6" t="s">
        <v>277</v>
      </c>
      <c r="C27" s="3" t="str">
        <f>CONCATENATE("&lt;# ",B28," #&gt;")</f>
        <v>&lt;# C62T #&gt;</v>
      </c>
      <c r="J27" s="6"/>
      <c r="P27" s="14" t="s">
        <v>14</v>
      </c>
      <c r="Q27" s="6" t="s">
        <v>280</v>
      </c>
      <c r="R27" s="3" t="str">
        <f>CONCATENATE("&lt;# ",Q28," #&gt;")</f>
        <v>&lt;# T19950010G #&gt;</v>
      </c>
      <c r="Y27" s="6"/>
    </row>
    <row r="28" spans="1:30" x14ac:dyDescent="0.25">
      <c r="A28" s="26" t="s">
        <v>15</v>
      </c>
      <c r="B28" s="7" t="s">
        <v>267</v>
      </c>
      <c r="J28" s="2"/>
      <c r="P28" s="26" t="s">
        <v>15</v>
      </c>
      <c r="Q28" s="2" t="s">
        <v>273</v>
      </c>
      <c r="Y28" s="2"/>
    </row>
    <row r="29" spans="1:30" x14ac:dyDescent="0.25">
      <c r="A29" s="26" t="s">
        <v>17</v>
      </c>
      <c r="B29" s="2" t="str">
        <f>"cytosine (C)"</f>
        <v>cytosine (C)</v>
      </c>
      <c r="C29" s="3" t="str">
        <f>CONCATENATE("  &lt;Variant hgvs=",CHAR(34),B27,CHAR(34)," name=",CHAR(34),B28,CHAR(34),"&gt; ")</f>
        <v xml:space="preserve">  &lt;Variant hgvs="NC_000022.10:g." name="C62T"&gt; </v>
      </c>
      <c r="J29" s="2"/>
      <c r="P29" s="26" t="s">
        <v>17</v>
      </c>
      <c r="Q29" s="2" t="s">
        <v>20</v>
      </c>
      <c r="R29" s="3" t="str">
        <f>CONCATENATE("  &lt;Variant hgvs=",CHAR(34),Q27,CHAR(34)," name=",CHAR(34),Q28,CHAR(34),"&gt; ")</f>
        <v xml:space="preserve">  &lt;Variant hgvs="NC_000022.10:g.19937533T&gt;G" name="T19950010G"&gt; </v>
      </c>
      <c r="Y29" s="2"/>
    </row>
    <row r="30" spans="1:30" x14ac:dyDescent="0.25">
      <c r="A30" s="26" t="s">
        <v>19</v>
      </c>
      <c r="B30" s="2" t="s">
        <v>20</v>
      </c>
      <c r="J30" s="7"/>
      <c r="P30" s="26" t="s">
        <v>19</v>
      </c>
      <c r="Q30" s="2" t="s">
        <v>44</v>
      </c>
      <c r="Y30" s="7"/>
    </row>
    <row r="31" spans="1:30" x14ac:dyDescent="0.25">
      <c r="A31" s="26" t="s">
        <v>21</v>
      </c>
      <c r="B31" s="7" t="s">
        <v>268</v>
      </c>
      <c r="C31" s="3" t="str">
        <f>CONCATENATE("    Instead of ",B29,", there is a ",B30," nucleotide.")</f>
        <v xml:space="preserve">    Instead of cytosine (C), there is a thymine (T) nucleotide.</v>
      </c>
      <c r="P31" s="26" t="s">
        <v>21</v>
      </c>
      <c r="Q31" s="2" t="s">
        <v>274</v>
      </c>
      <c r="R31" s="3" t="str">
        <f>CONCATENATE("    Instead of ",Q29,", there is a ",Q30," nucleotide.")</f>
        <v xml:space="preserve">    Instead of thymine (T), there is a guanine (G) nucleotide.</v>
      </c>
    </row>
    <row r="32" spans="1:30" x14ac:dyDescent="0.25">
      <c r="A32" s="3" t="s">
        <v>65</v>
      </c>
      <c r="B32" s="3" t="s">
        <v>277</v>
      </c>
      <c r="J32" s="7"/>
      <c r="P32" s="3" t="s">
        <v>65</v>
      </c>
      <c r="Q32" s="3" t="s">
        <v>277</v>
      </c>
      <c r="Y32" s="7"/>
    </row>
    <row r="33" spans="1:28" x14ac:dyDescent="0.25">
      <c r="A33" s="3" t="s">
        <v>51</v>
      </c>
      <c r="B33" s="3" t="s">
        <v>284</v>
      </c>
      <c r="C33" s="3" t="str">
        <f>"  &lt;/Variant&gt;"</f>
        <v xml:space="preserve">  &lt;/Variant&gt;</v>
      </c>
      <c r="J33" s="7"/>
      <c r="P33" s="3" t="s">
        <v>51</v>
      </c>
      <c r="Q33" s="3" t="s">
        <v>281</v>
      </c>
      <c r="R33" s="3" t="str">
        <f>"  &lt;/Variant&gt;"</f>
        <v xml:space="preserve">  &lt;/Variant&gt;</v>
      </c>
      <c r="Y33" s="7"/>
    </row>
    <row r="34" spans="1:28" x14ac:dyDescent="0.25">
      <c r="A34" s="26" t="s">
        <v>52</v>
      </c>
      <c r="B34" s="7" t="s">
        <v>285</v>
      </c>
      <c r="P34" s="26" t="s">
        <v>52</v>
      </c>
      <c r="Q34" s="7" t="s">
        <v>298</v>
      </c>
    </row>
    <row r="35" spans="1:28" x14ac:dyDescent="0.25">
      <c r="B35" s="3"/>
    </row>
    <row r="36" spans="1:28" x14ac:dyDescent="0.25">
      <c r="A36" s="14" t="s">
        <v>14</v>
      </c>
      <c r="B36" s="6" t="s">
        <v>275</v>
      </c>
      <c r="C36" s="3" t="str">
        <f>CONCATENATE("&lt;# ",B37," #&gt;")</f>
        <v>&lt;# T19943884C #&gt;</v>
      </c>
      <c r="J36" s="6"/>
      <c r="P36" s="14"/>
      <c r="Q36" s="6"/>
      <c r="Y36" s="6"/>
    </row>
    <row r="37" spans="1:28" x14ac:dyDescent="0.25">
      <c r="A37" s="26" t="s">
        <v>15</v>
      </c>
      <c r="B37" s="6" t="s">
        <v>269</v>
      </c>
      <c r="J37" s="2"/>
      <c r="P37" s="26"/>
      <c r="Q37"/>
      <c r="Y37" s="2"/>
    </row>
    <row r="38" spans="1:28" x14ac:dyDescent="0.25">
      <c r="A38" s="26" t="s">
        <v>17</v>
      </c>
      <c r="B38" s="2" t="s">
        <v>20</v>
      </c>
      <c r="C38" s="3" t="str">
        <f>CONCATENATE("  &lt;Variant hgvs=",CHAR(34),B36,CHAR(34)," name=",CHAR(34),B37,CHAR(34),"&gt; ")</f>
        <v xml:space="preserve">  &lt;Variant hgvs="NC_000022.10:g.19931407T&gt;C" name="T19943884C"&gt; </v>
      </c>
      <c r="J38" s="2"/>
      <c r="P38" s="26"/>
      <c r="Q38"/>
      <c r="Y38" s="2"/>
    </row>
    <row r="39" spans="1:28" x14ac:dyDescent="0.25">
      <c r="A39" s="26" t="s">
        <v>19</v>
      </c>
      <c r="B39" s="2" t="str">
        <f>"cytosine (C)"</f>
        <v>cytosine (C)</v>
      </c>
      <c r="J39" s="7"/>
      <c r="P39" s="26"/>
      <c r="Q39"/>
      <c r="Y39" s="7"/>
    </row>
    <row r="40" spans="1:28" x14ac:dyDescent="0.25">
      <c r="A40" s="26" t="s">
        <v>21</v>
      </c>
      <c r="B40" s="6" t="s">
        <v>270</v>
      </c>
      <c r="C40" s="3" t="str">
        <f>CONCATENATE("    Instead of ",B38,", there is a ",B39," nucleotide.")</f>
        <v xml:space="preserve">    Instead of thymine (T), there is a cytosine (C) nucleotide.</v>
      </c>
      <c r="P40" s="26"/>
      <c r="Q40"/>
    </row>
    <row r="41" spans="1:28" x14ac:dyDescent="0.25">
      <c r="A41" s="3" t="s">
        <v>65</v>
      </c>
      <c r="B41" s="3" t="s">
        <v>277</v>
      </c>
      <c r="J41" s="7"/>
      <c r="Y41" s="7"/>
    </row>
    <row r="42" spans="1:28" x14ac:dyDescent="0.25">
      <c r="A42" s="3" t="s">
        <v>51</v>
      </c>
      <c r="B42" s="3" t="s">
        <v>282</v>
      </c>
      <c r="C42" s="3" t="str">
        <f>"  &lt;/Variant&gt;"</f>
        <v xml:space="preserve">  &lt;/Variant&gt;</v>
      </c>
      <c r="J42" s="7"/>
      <c r="Y42" s="7"/>
    </row>
    <row r="43" spans="1:28" x14ac:dyDescent="0.25">
      <c r="A43" s="26" t="s">
        <v>52</v>
      </c>
      <c r="B43" s="7" t="s">
        <v>283</v>
      </c>
      <c r="P43" s="26"/>
      <c r="Q43" s="7"/>
    </row>
    <row r="44" spans="1:28" x14ac:dyDescent="0.25">
      <c r="B44" s="3"/>
    </row>
    <row r="45" spans="1:28" s="21" customFormat="1" x14ac:dyDescent="0.25">
      <c r="A45" s="28"/>
      <c r="B45" s="20"/>
      <c r="P45" s="28"/>
      <c r="Q45" s="20"/>
    </row>
    <row r="46" spans="1:28" s="10" customFormat="1" x14ac:dyDescent="0.25">
      <c r="A46" s="32"/>
      <c r="B46" s="15"/>
      <c r="C46" s="34" t="s">
        <v>62</v>
      </c>
      <c r="L46" s="38"/>
      <c r="P46" s="32"/>
      <c r="Q46" s="33"/>
      <c r="R46" s="34" t="s">
        <v>62</v>
      </c>
      <c r="AA46" s="38"/>
    </row>
    <row r="47" spans="1:28" s="10" customFormat="1" x14ac:dyDescent="0.25">
      <c r="A47" s="32"/>
      <c r="B47" s="15"/>
      <c r="K47" s="10" t="s">
        <v>108</v>
      </c>
      <c r="L47" s="38" t="s">
        <v>110</v>
      </c>
      <c r="M47" s="11" t="s">
        <v>109</v>
      </c>
      <c r="P47" s="32"/>
      <c r="Q47" s="33"/>
      <c r="AA47" s="38"/>
      <c r="AB47" s="11"/>
    </row>
    <row r="48" spans="1:28" s="21" customFormat="1" x14ac:dyDescent="0.25">
      <c r="A48" s="28" t="s">
        <v>70</v>
      </c>
      <c r="B48" s="20" t="str">
        <f>CONCATENATE(B19," (G;G)")</f>
        <v>G158A (G;G)</v>
      </c>
      <c r="C48" s="21" t="str">
        <f>CONCATENATE("&lt;# ",B48," #&gt;")</f>
        <v>&lt;# G158A (G;G) #&gt;</v>
      </c>
      <c r="K48" s="21" t="str">
        <f>B19</f>
        <v>G158A</v>
      </c>
      <c r="L48" s="21" t="str">
        <f>B28</f>
        <v>C62T</v>
      </c>
      <c r="M48" s="21" t="str">
        <f>B37</f>
        <v>T19943884C</v>
      </c>
      <c r="P48" s="28" t="s">
        <v>70</v>
      </c>
      <c r="Q48" s="20" t="str">
        <f>CONCATENATE(Q19," (T;C)")</f>
        <v>T19960814C (T;C)</v>
      </c>
      <c r="R48" s="21" t="str">
        <f>CONCATENATE("&lt;# ",Q48," #&gt;")</f>
        <v>&lt;# T19960814C (T;C) #&gt;</v>
      </c>
      <c r="Z48" s="21" t="str">
        <f>Q19</f>
        <v>T19960814C</v>
      </c>
      <c r="AA48" s="21" t="str">
        <f>Q28</f>
        <v>T19950010G</v>
      </c>
    </row>
    <row r="49" spans="1:28" s="10" customFormat="1" x14ac:dyDescent="0.25">
      <c r="A49" s="3" t="s">
        <v>21</v>
      </c>
      <c r="B49" s="29" t="str">
        <f>K52</f>
        <v>NC_000022.10:g.[19951271G&gt;A];[19951271=]</v>
      </c>
      <c r="J49" s="3"/>
      <c r="K49" s="22" t="str">
        <f>B23</f>
        <v>NC_000022.10:g.</v>
      </c>
      <c r="L49" s="22" t="str">
        <f>B32</f>
        <v>NC_000022.10:g.</v>
      </c>
      <c r="M49" s="10" t="str">
        <f>B41</f>
        <v>NC_000022.10:g.</v>
      </c>
      <c r="P49" s="3" t="s">
        <v>21</v>
      </c>
      <c r="Q49" s="29" t="str">
        <f>Z52</f>
        <v>NC_000022.10:g.[19948337T&gt;C];[19948337=]</v>
      </c>
      <c r="Y49" s="3"/>
      <c r="Z49" s="22" t="str">
        <f>Q23</f>
        <v>NC_000022.10:g.</v>
      </c>
      <c r="AA49" s="22" t="str">
        <f>Q32</f>
        <v>NC_000022.10:g.</v>
      </c>
    </row>
    <row r="50" spans="1:28" x14ac:dyDescent="0.25">
      <c r="B50" s="29"/>
      <c r="C50" s="3" t="str">
        <f>CONCATENATE("  &lt;Analysis name=",CHAR(34),B48,CHAR(34))</f>
        <v xml:space="preserve">  &lt;Analysis name="G158A (G;G)"</v>
      </c>
      <c r="J50" s="3" t="s">
        <v>21</v>
      </c>
      <c r="K50" s="15" t="str">
        <f>B24</f>
        <v>[19951271G&gt;A]</v>
      </c>
      <c r="L50" s="22" t="str">
        <f>B33</f>
        <v>[19950235C&gt;T]</v>
      </c>
      <c r="M50" s="10" t="str">
        <f t="shared" ref="M50:M51" si="0">B42</f>
        <v>[19931407T&gt;C]</v>
      </c>
      <c r="Q50" s="29"/>
      <c r="R50" s="3" t="str">
        <f>CONCATENATE("  &lt;Analysis name=",CHAR(34),Q48,CHAR(34))</f>
        <v xml:space="preserve">  &lt;Analysis name="T19960814C (T;C)"</v>
      </c>
      <c r="Y50" s="3" t="s">
        <v>21</v>
      </c>
      <c r="Z50" s="15" t="str">
        <f>Q24</f>
        <v>[19948337T&gt;C]</v>
      </c>
      <c r="AA50" s="22" t="str">
        <f>Q33</f>
        <v>[19937533T&gt;G]</v>
      </c>
      <c r="AB50" s="10"/>
    </row>
    <row r="51" spans="1:28" x14ac:dyDescent="0.25">
      <c r="A51" s="5" t="s">
        <v>27</v>
      </c>
      <c r="B51" s="15" t="str">
        <f>CONCATENATE("    Your ",B12," gene has no variants. A normal gene is referred to as a ",CHAR(34),"wild-type",CHAR(34)," gene.")</f>
        <v xml:space="preserve">    Your COMT gene has no variants. A normal gene is referred to as a "wild-type" gene.</v>
      </c>
      <c r="C51" s="3" t="str">
        <f>CONCATENATE("            case={  variantCall ",CHAR(40),CHAR(34),K52,CHAR(34),CHAR(41))</f>
        <v xml:space="preserve">            case={  variantCall ("NC_000022.10:g.[19951271G&gt;A];[19951271=]")</v>
      </c>
      <c r="J51" s="3" t="s">
        <v>52</v>
      </c>
      <c r="K51" s="15" t="str">
        <f>B25</f>
        <v>[19951271=]</v>
      </c>
      <c r="L51" s="22" t="str">
        <f>B34</f>
        <v>[19950235=]</v>
      </c>
      <c r="M51" s="10" t="str">
        <f t="shared" si="0"/>
        <v>[19931407=]</v>
      </c>
      <c r="P51" s="5" t="s">
        <v>27</v>
      </c>
      <c r="Q51" s="2" t="str">
        <f>CONCATENATE("People with this variant have one copy of the ",Q22," variant. This substitution of a single nucleotide is known as a missense mutation.")</f>
        <v>People with this variant have one copy of the [T19960814C](https://www.ncbi.nlm.nih.gov/pubmed/19772600) variant. This substitution of a single nucleotide is known as a missense mutation.</v>
      </c>
      <c r="R51" s="3" t="str">
        <f>CONCATENATE("            case={  variantCall ",CHAR(40),CHAR(34),Z52,CHAR(34),CHAR(41))</f>
        <v xml:space="preserve">            case={  variantCall ("NC_000022.10:g.[19948337T&gt;C];[19948337=]")</v>
      </c>
      <c r="Y51" s="3" t="s">
        <v>52</v>
      </c>
      <c r="Z51" s="15" t="str">
        <f>Q25</f>
        <v>[19948337=]</v>
      </c>
      <c r="AA51" s="22" t="str">
        <f>Q34</f>
        <v>[19937533=]</v>
      </c>
      <c r="AB51" s="10"/>
    </row>
    <row r="52" spans="1:28" x14ac:dyDescent="0.25">
      <c r="A52" s="1" t="s">
        <v>28</v>
      </c>
      <c r="B52" s="15" t="s">
        <v>292</v>
      </c>
      <c r="C52" s="3" t="s">
        <v>71</v>
      </c>
      <c r="J52" s="3" t="s">
        <v>63</v>
      </c>
      <c r="K52" s="15" t="str">
        <f>CONCATENATE(K49,K50,";",K51)</f>
        <v>NC_000022.10:g.[19951271G&gt;A];[19951271=]</v>
      </c>
      <c r="L52" s="15" t="str">
        <f>CONCATENATE(L49,L50,";",L51)</f>
        <v>NC_000022.10:g.[19950235C&gt;T];[19950235=]</v>
      </c>
      <c r="M52" s="15" t="str">
        <f>CONCATENATE(M49,M50,";",M51)</f>
        <v>NC_000022.10:g.[19931407T&gt;C];[19931407=]</v>
      </c>
      <c r="P52" s="1" t="s">
        <v>28</v>
      </c>
      <c r="Q52" s="2" t="s">
        <v>295</v>
      </c>
      <c r="R52" s="3" t="s">
        <v>71</v>
      </c>
      <c r="Y52" s="3" t="s">
        <v>63</v>
      </c>
      <c r="Z52" s="15" t="str">
        <f>CONCATENATE(Z49,Z50,";",Z51)</f>
        <v>NC_000022.10:g.[19948337T&gt;C];[19948337=]</v>
      </c>
      <c r="AA52" s="15" t="str">
        <f>CONCATENATE(AA49,AA50,";",AA51)</f>
        <v>NC_000022.10:g.[19937533T&gt;G];[19937533=]</v>
      </c>
      <c r="AB52" s="15"/>
    </row>
    <row r="53" spans="1:28" x14ac:dyDescent="0.25">
      <c r="A53" s="3" t="s">
        <v>73</v>
      </c>
      <c r="B53" s="29">
        <f>K55</f>
        <v>43</v>
      </c>
      <c r="C53" s="3" t="str">
        <f>CONCATENATE("                    ",CHAR(40),"variantCall ",CHAR(40),CHAR(34),L53,CHAR(34),CHAR(41)," or variantCall ",CHAR(40),CHAR(34),L54,CHAR(34),CHAR(41),CHAR(41))</f>
        <v xml:space="preserve">                    (variantCall ("NC_000022.10:g.[19950235C&gt;T];[19950235C&gt;T]") or variantCall ("NC_000022.10:g.[19950235=];[19950235=]"))</v>
      </c>
      <c r="J53" s="3" t="s">
        <v>64</v>
      </c>
      <c r="K53" s="15" t="str">
        <f>CONCATENATE(K49,K50,";",K50)</f>
        <v>NC_000022.10:g.[19951271G&gt;A];[19951271G&gt;A]</v>
      </c>
      <c r="L53" s="15" t="str">
        <f>CONCATENATE(L49,L50,";",L50)</f>
        <v>NC_000022.10:g.[19950235C&gt;T];[19950235C&gt;T]</v>
      </c>
      <c r="M53" s="15" t="str">
        <f>CONCATENATE(M49,M50,";",M50)</f>
        <v>NC_000022.10:g.[19931407T&gt;C];[19931407T&gt;C]</v>
      </c>
      <c r="P53" s="3" t="s">
        <v>73</v>
      </c>
      <c r="Q53" s="29">
        <f>Z55</f>
        <v>40.9</v>
      </c>
      <c r="R53" s="3" t="str">
        <f>CONCATENATE("                    ",CHAR(40),"variantCall ",CHAR(40),CHAR(34),AA53,CHAR(34),CHAR(41)," or variantCall ",CHAR(40),CHAR(34),AA54,CHAR(34),CHAR(41),CHAR(41))</f>
        <v xml:space="preserve">                    (variantCall ("NC_000022.10:g.[19937533T&gt;G];[19937533T&gt;G]") or variantCall ("NC_000022.10:g.[19937533=];[19937533=]"))</v>
      </c>
      <c r="Y53" s="3" t="s">
        <v>64</v>
      </c>
      <c r="Z53" s="15" t="str">
        <f>CONCATENATE(Z49,Z50,";",Z50)</f>
        <v>NC_000022.10:g.[19948337T&gt;C];[19948337T&gt;C]</v>
      </c>
      <c r="AA53" s="15" t="str">
        <f>CONCATENATE(AA49,AA50,";",AA50)</f>
        <v>NC_000022.10:g.[19937533T&gt;G];[19937533T&gt;G]</v>
      </c>
      <c r="AB53" s="15"/>
    </row>
    <row r="54" spans="1:28" x14ac:dyDescent="0.25">
      <c r="C54" s="3" t="s">
        <v>71</v>
      </c>
      <c r="J54" s="3" t="s">
        <v>52</v>
      </c>
      <c r="K54" s="2" t="str">
        <f>CONCATENATE(K49,K51,";",K51)</f>
        <v>NC_000022.10:g.[19951271=];[19951271=]</v>
      </c>
      <c r="L54" s="2" t="str">
        <f>CONCATENATE(L49,L51,";",L51)</f>
        <v>NC_000022.10:g.[19950235=];[19950235=]</v>
      </c>
      <c r="M54" s="2" t="str">
        <f>CONCATENATE(M49,M51,";",M51)</f>
        <v>NC_000022.10:g.[19931407=];[19931407=]</v>
      </c>
      <c r="Q54" s="15"/>
      <c r="R54" s="3" t="s">
        <v>71</v>
      </c>
      <c r="Y54" s="3" t="s">
        <v>52</v>
      </c>
      <c r="Z54" s="2" t="str">
        <f>CONCATENATE(Z49,Z51,";",Z51)</f>
        <v>NC_000022.10:g.[19948337=];[19948337=]</v>
      </c>
      <c r="AA54" s="2" t="str">
        <f>CONCATENATE(AA49,AA51,";",AA51)</f>
        <v>NC_000022.10:g.[19937533=];[19937533=]</v>
      </c>
      <c r="AB54" s="2"/>
    </row>
    <row r="55" spans="1:28" x14ac:dyDescent="0.25">
      <c r="C55" s="3" t="str">
        <f>CONCATENATE("                    ",CHAR(40),"variantCall ",CHAR(40),CHAR(34),M53,CHAR(34),CHAR(41)," or variantCall ",CHAR(40),CHAR(34),M54,CHAR(34),CHAR(41),CHAR(41))</f>
        <v xml:space="preserve">                    (variantCall ("NC_000022.10:g.[19931407T&gt;C];[19931407T&gt;C]") or variantCall ("NC_000022.10:g.[19931407=];[19931407=]"))</v>
      </c>
      <c r="J55" s="3" t="s">
        <v>67</v>
      </c>
      <c r="K55">
        <v>43</v>
      </c>
      <c r="L55" s="2">
        <v>1.8</v>
      </c>
      <c r="M55" s="2">
        <v>15.8</v>
      </c>
      <c r="Q55" s="15"/>
      <c r="R55" s="3" t="str">
        <f>CONCATENATE("                    ",CHAR(40),"variantCall ",CHAR(40),CHAR(34),AB53,CHAR(34),CHAR(41)," or variantCall ",CHAR(40),CHAR(34),AB54,CHAR(34),CHAR(41),CHAR(41))</f>
        <v xml:space="preserve">                    (variantCall ("") or variantCall (""))</v>
      </c>
      <c r="Y55" s="3" t="s">
        <v>67</v>
      </c>
      <c r="Z55" s="2">
        <v>40.9</v>
      </c>
      <c r="AA55" s="2">
        <v>37.5</v>
      </c>
      <c r="AB55" s="2"/>
    </row>
    <row r="56" spans="1:28" x14ac:dyDescent="0.25">
      <c r="A56" s="14"/>
      <c r="C56" s="3" t="str">
        <f>CONCATENATE("                  } &gt; ")</f>
        <v xml:space="preserve">                  } &gt; </v>
      </c>
      <c r="J56" s="3" t="s">
        <v>68</v>
      </c>
      <c r="K56">
        <v>19.899999999999999</v>
      </c>
      <c r="L56" s="2">
        <v>0.5</v>
      </c>
      <c r="M56" s="2">
        <v>4.7</v>
      </c>
      <c r="P56" s="14"/>
      <c r="Q56" s="15"/>
      <c r="R56" s="3" t="str">
        <f>CONCATENATE("                  } &gt; ")</f>
        <v xml:space="preserve">                  } &gt; </v>
      </c>
      <c r="Y56" s="3" t="s">
        <v>68</v>
      </c>
      <c r="Z56" s="2">
        <v>18.5</v>
      </c>
      <c r="AA56" s="2">
        <v>15.6</v>
      </c>
      <c r="AB56" s="2"/>
    </row>
    <row r="57" spans="1:28" x14ac:dyDescent="0.25">
      <c r="A57" s="26"/>
      <c r="J57" s="3" t="s">
        <v>69</v>
      </c>
      <c r="K57" s="2">
        <v>37.1</v>
      </c>
      <c r="L57" s="2">
        <v>97.8</v>
      </c>
      <c r="M57" s="2">
        <v>79.5</v>
      </c>
      <c r="P57" s="26"/>
      <c r="Q57" s="15"/>
      <c r="Y57" s="3" t="s">
        <v>69</v>
      </c>
      <c r="Z57" s="2">
        <v>40.6</v>
      </c>
      <c r="AA57" s="2">
        <v>46.9</v>
      </c>
      <c r="AB57" s="2"/>
    </row>
    <row r="58" spans="1:28" x14ac:dyDescent="0.25">
      <c r="A58" s="14"/>
      <c r="C58" s="3" t="s">
        <v>26</v>
      </c>
      <c r="K58"/>
      <c r="L58" s="2"/>
      <c r="M58" s="2"/>
      <c r="P58" s="14"/>
      <c r="Q58" s="15"/>
      <c r="R58" s="3" t="s">
        <v>26</v>
      </c>
      <c r="Z58"/>
      <c r="AA58" s="2"/>
      <c r="AB58" s="2"/>
    </row>
    <row r="59" spans="1:28" x14ac:dyDescent="0.25">
      <c r="A59" s="14"/>
      <c r="K59" s="15"/>
      <c r="L59" s="15"/>
      <c r="M59" s="15"/>
      <c r="P59" s="14"/>
      <c r="Q59" s="15"/>
      <c r="Z59" s="15"/>
      <c r="AA59" s="15"/>
      <c r="AB59" s="15"/>
    </row>
    <row r="60" spans="1:28" x14ac:dyDescent="0.25">
      <c r="A60" s="26"/>
      <c r="C60" s="3" t="str">
        <f>CONCATENATE("    ",B51)</f>
        <v xml:space="preserve">        Your COMT gene has no variants. A normal gene is referred to as a "wild-type" gene.</v>
      </c>
      <c r="K60" s="15"/>
      <c r="L60" s="15"/>
      <c r="M60" s="15"/>
      <c r="P60" s="26"/>
      <c r="Q60" s="15"/>
      <c r="R60" s="3" t="str">
        <f>CONCATENATE("    ",Q51)</f>
        <v xml:space="preserve">    People with this variant have one copy of the [T19960814C](https://www.ncbi.nlm.nih.gov/pubmed/19772600) variant. This substitution of a single nucleotide is known as a missense mutation.</v>
      </c>
      <c r="Z60" s="15"/>
      <c r="AA60" s="15"/>
      <c r="AB60" s="15"/>
    </row>
    <row r="61" spans="1:28" x14ac:dyDescent="0.25">
      <c r="A61" s="14"/>
      <c r="K61" s="2"/>
      <c r="L61" s="2"/>
      <c r="M61" s="2"/>
      <c r="P61" s="14"/>
      <c r="Q61" s="15"/>
      <c r="Z61" s="2"/>
      <c r="AA61" s="2"/>
      <c r="AB61" s="2"/>
    </row>
    <row r="62" spans="1:28" x14ac:dyDescent="0.25">
      <c r="A62" s="14"/>
      <c r="C62" s="3" t="s">
        <v>29</v>
      </c>
      <c r="P62" s="14"/>
      <c r="Q62" s="15"/>
      <c r="R62" s="3" t="s">
        <v>29</v>
      </c>
    </row>
    <row r="63" spans="1:28" x14ac:dyDescent="0.25">
      <c r="A63" s="14"/>
      <c r="P63" s="14"/>
      <c r="Q63" s="15"/>
    </row>
    <row r="64" spans="1:28" x14ac:dyDescent="0.25">
      <c r="A64" s="14"/>
      <c r="C64" s="3" t="str">
        <f>CONCATENATE(B52)</f>
        <v xml:space="preserve">    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[Alcohol-dependency](https://www.ncbi.nlm.nih.gov/pubmed/22208661?dopt=Abstract) 
    - [Greater risk of psychotic symptoms and schizophrenia when using cannabis](https://www.ncbi.nlm.nih.gov/pubmed/22208661?dopt=Abstract) 
    - [Poor response to the antidepressant paroxetine](https://www.ncbi.nlm.nih.gov/pubmed/18989660?dopt=Abstract) 
    # What should I do about this?
    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v>
      </c>
      <c r="P64" s="14"/>
      <c r="Q64" s="15"/>
      <c r="R64" s="3" t="str">
        <f>CONCATENATE(Q52)</f>
        <v xml:space="preserve">    This variant has a variety of effects:
    - Much more common in [ME/CFS](https://www.ncbi.nlm.nih.gov/pubmed/19772600) patients. 
    - Lower scores in [attention tests, memory tests, and executive function](https://www.ncbi.nlm.nih.gov/pubmed/27091610). 
    - Incorrect metabolism of [Tacrolimus](https://www.ncbi.nlm.nih.gov/pubmed/24465960), a widely used immunosuppressive drug. 
    - Increased [cold pain sensitivity](https://www.ncbi.nlm.nih.gov/pubmed/19559388) in women. 
    - Protective against [type 2 diabetes](https://www.ncbi.nlm.nih.gov/pubmed/25927430). 
    # What should I do about this?
    Be careful if taking [Tacrolimus](https://www.ncbi.nlm.nih.gov/pubmed/24465960). Avoid cold temperatures or temperature shock.</v>
      </c>
    </row>
    <row r="65" spans="1:28" x14ac:dyDescent="0.25">
      <c r="A65" s="26"/>
      <c r="P65" s="26"/>
      <c r="Q65" s="15"/>
    </row>
    <row r="66" spans="1:28" x14ac:dyDescent="0.25">
      <c r="A66" s="26"/>
      <c r="C66" s="3" t="s">
        <v>30</v>
      </c>
      <c r="P66" s="26"/>
      <c r="Q66" s="15"/>
      <c r="R66" s="3" t="s">
        <v>30</v>
      </c>
    </row>
    <row r="67" spans="1:28" x14ac:dyDescent="0.25">
      <c r="A67" s="26"/>
      <c r="P67" s="26"/>
      <c r="Q67" s="15"/>
    </row>
    <row r="68" spans="1:28" x14ac:dyDescent="0.25">
      <c r="A68" s="26"/>
      <c r="C68" s="3" t="str">
        <f>CONCATENATE( "    &lt;piechart percentage=",B53," /&gt;")</f>
        <v xml:space="preserve">    &lt;piechart percentage=43 /&gt;</v>
      </c>
      <c r="P68" s="26"/>
      <c r="Q68" s="15"/>
      <c r="R68" s="3" t="str">
        <f>CONCATENATE( "    &lt;piechart percentage=",Q53," /&gt;")</f>
        <v xml:space="preserve">    &lt;piechart percentage=40.9 /&gt;</v>
      </c>
    </row>
    <row r="69" spans="1:28" x14ac:dyDescent="0.25">
      <c r="A69" s="26"/>
      <c r="C69" s="3" t="str">
        <f>"  &lt;/Analysis&gt;"</f>
        <v xml:space="preserve">  &lt;/Analysis&gt;</v>
      </c>
      <c r="J69" s="3">
        <f t="shared" ref="J69:M69" si="1">J91</f>
        <v>0</v>
      </c>
      <c r="K69" s="3" t="str">
        <f t="shared" si="1"/>
        <v>rs6691840</v>
      </c>
      <c r="L69" s="3" t="str">
        <f t="shared" si="1"/>
        <v>rs3913434</v>
      </c>
      <c r="M69" s="3" t="str">
        <f t="shared" si="1"/>
        <v>rs270838</v>
      </c>
      <c r="P69" s="26"/>
      <c r="Q69" s="15"/>
      <c r="R69" s="3" t="str">
        <f>"  &lt;/Analysis&gt;"</f>
        <v xml:space="preserve">  &lt;/Analysis&gt;</v>
      </c>
      <c r="Z69" s="3">
        <f>Z25</f>
        <v>0</v>
      </c>
      <c r="AA69" s="3">
        <f>AA25</f>
        <v>0</v>
      </c>
      <c r="AB69" s="3">
        <f>AB25</f>
        <v>0</v>
      </c>
    </row>
    <row r="70" spans="1:28" s="21" customFormat="1" x14ac:dyDescent="0.25">
      <c r="A70" s="28" t="s">
        <v>70</v>
      </c>
      <c r="B70" s="20" t="str">
        <f>CONCATENATE(B19," (A;G)")</f>
        <v>G158A (A;G)</v>
      </c>
      <c r="C70" s="21" t="str">
        <f>CONCATENATE("&lt;# ",B70," #&gt;")</f>
        <v>&lt;# G158A (A;G) #&gt;</v>
      </c>
      <c r="K70" s="21" t="str">
        <f>B19</f>
        <v>G158A</v>
      </c>
      <c r="L70" s="21" t="str">
        <f>B28</f>
        <v>C62T</v>
      </c>
      <c r="M70" s="21" t="str">
        <f>B37</f>
        <v>T19943884C</v>
      </c>
      <c r="P70" s="28" t="s">
        <v>70</v>
      </c>
      <c r="Q70" s="20" t="str">
        <f>CONCATENATE(Q19," (C;C)")</f>
        <v>T19960814C (C;C)</v>
      </c>
      <c r="R70" s="21" t="str">
        <f>CONCATENATE("&lt;# ",Q70," #&gt;")</f>
        <v>&lt;# T19960814C (C;C) #&gt;</v>
      </c>
      <c r="Z70" s="21" t="str">
        <f>Q19</f>
        <v>T19960814C</v>
      </c>
      <c r="AA70" s="21" t="str">
        <f>Q28</f>
        <v>T19950010G</v>
      </c>
      <c r="AB70" s="21">
        <f>Q37</f>
        <v>0</v>
      </c>
    </row>
    <row r="71" spans="1:28" s="10" customFormat="1" x14ac:dyDescent="0.25">
      <c r="A71" s="3" t="s">
        <v>21</v>
      </c>
      <c r="B71" s="29" t="str">
        <f>K74</f>
        <v>NC_000022.10:g.[19951271G&gt;A];[19951271=]</v>
      </c>
      <c r="J71" s="3"/>
      <c r="K71" s="22" t="str">
        <f>B23</f>
        <v>NC_000022.10:g.</v>
      </c>
      <c r="L71" s="22" t="str">
        <f>B32</f>
        <v>NC_000022.10:g.</v>
      </c>
      <c r="M71" s="10" t="str">
        <f>B41</f>
        <v>NC_000022.10:g.</v>
      </c>
      <c r="P71" s="3" t="s">
        <v>21</v>
      </c>
      <c r="Q71" s="29" t="str">
        <f>Z53</f>
        <v>NC_000022.10:g.[19948337T&gt;C];[19948337T&gt;C]</v>
      </c>
      <c r="Y71" s="3"/>
      <c r="Z71" s="22" t="str">
        <f>Q23</f>
        <v>NC_000022.10:g.</v>
      </c>
      <c r="AA71" s="22" t="str">
        <f>Q32</f>
        <v>NC_000022.10:g.</v>
      </c>
      <c r="AB71" s="10">
        <f>Q41</f>
        <v>0</v>
      </c>
    </row>
    <row r="72" spans="1:28" x14ac:dyDescent="0.25">
      <c r="B72" s="29"/>
      <c r="C72" s="3" t="str">
        <f>CONCATENATE("  &lt;Analysis name=",CHAR(34),B70,CHAR(34))</f>
        <v xml:space="preserve">  &lt;Analysis name="G158A (A;G)"</v>
      </c>
      <c r="J72" s="3" t="s">
        <v>21</v>
      </c>
      <c r="K72" s="15" t="str">
        <f>B24</f>
        <v>[19951271G&gt;A]</v>
      </c>
      <c r="L72" s="22" t="str">
        <f>B33</f>
        <v>[19950235C&gt;T]</v>
      </c>
      <c r="M72" s="10" t="str">
        <f>B42</f>
        <v>[19931407T&gt;C]</v>
      </c>
      <c r="Q72" s="29"/>
      <c r="R72" s="3" t="str">
        <f>CONCATENATE("  &lt;Analysis name=",CHAR(34),Q70,CHAR(34))</f>
        <v xml:space="preserve">  &lt;Analysis name="T19960814C (C;C)"</v>
      </c>
      <c r="Y72" s="3" t="s">
        <v>21</v>
      </c>
      <c r="Z72" s="15" t="str">
        <f>Q24</f>
        <v>[19948337T&gt;C]</v>
      </c>
      <c r="AA72" s="22" t="str">
        <f>Q33</f>
        <v>[19937533T&gt;G]</v>
      </c>
      <c r="AB72" s="10">
        <f>Q42</f>
        <v>0</v>
      </c>
    </row>
    <row r="73" spans="1:28" x14ac:dyDescent="0.25">
      <c r="A73" s="5" t="s">
        <v>27</v>
      </c>
      <c r="B73" s="2" t="str">
        <f>CONCATENATE("People with this variant have one copy of the ",B22," variant. This substitution of a single nucleotide is known as a missense mutation.")</f>
        <v>People with this variant have one copy of the [G158A](https://www.ncbi.nlm.nih.gov/pubmed/21059181) variant. This substitution of a single nucleotide is known as a missense mutation.</v>
      </c>
      <c r="C73" s="3" t="str">
        <f>CONCATENATE("            case={  variantCall ",CHAR(40),CHAR(34),K74,CHAR(34),CHAR(41))</f>
        <v xml:space="preserve">            case={  variantCall ("NC_000022.10:g.[19951271G&gt;A];[19951271=]")</v>
      </c>
      <c r="J73" s="3" t="s">
        <v>52</v>
      </c>
      <c r="K73" s="15" t="str">
        <f>B25</f>
        <v>[19951271=]</v>
      </c>
      <c r="L73" s="22" t="str">
        <f>B34</f>
        <v>[19950235=]</v>
      </c>
      <c r="M73" s="10" t="str">
        <f>B43</f>
        <v>[19931407=]</v>
      </c>
      <c r="P73" s="5" t="s">
        <v>27</v>
      </c>
      <c r="Q73" s="2" t="str">
        <f>CONCATENATE("People with this variant have two copies of the ",Q22," variant. This substitution of a single nucleotide is known as a missense mutation.")</f>
        <v>People with this variant have two copies of the [T19960814C](https://www.ncbi.nlm.nih.gov/pubmed/19772600) variant. This substitution of a single nucleotide is known as a missense mutation.</v>
      </c>
      <c r="R73" s="3" t="str">
        <f>CONCATENATE("            case={  variantCall ",CHAR(40),CHAR(34),Q71,CHAR(34),CHAR(41))</f>
        <v xml:space="preserve">            case={  variantCall ("NC_000022.10:g.[19948337T&gt;C];[19948337T&gt;C]")</v>
      </c>
      <c r="Y73" s="3" t="s">
        <v>52</v>
      </c>
      <c r="Z73" s="15" t="str">
        <f>Q25</f>
        <v>[19948337=]</v>
      </c>
      <c r="AA73" s="22" t="str">
        <f>Q34</f>
        <v>[19937533=]</v>
      </c>
      <c r="AB73" s="10">
        <f>Q43</f>
        <v>0</v>
      </c>
    </row>
    <row r="74" spans="1:28" x14ac:dyDescent="0.25">
      <c r="A74" s="1" t="s">
        <v>28</v>
      </c>
      <c r="B74" s="2" t="s">
        <v>289</v>
      </c>
      <c r="C74" s="3" t="s">
        <v>71</v>
      </c>
      <c r="J74" s="3" t="s">
        <v>63</v>
      </c>
      <c r="K74" s="15" t="str">
        <f>CONCATENATE(K71,K72,";",K73)</f>
        <v>NC_000022.10:g.[19951271G&gt;A];[19951271=]</v>
      </c>
      <c r="L74" s="15" t="str">
        <f>CONCATENATE(L71,L72,";",L73)</f>
        <v>NC_000022.10:g.[19950235C&gt;T];[19950235=]</v>
      </c>
      <c r="M74" s="15" t="str">
        <f>CONCATENATE(M71,M72,";",M73)</f>
        <v>NC_000022.10:g.[19931407T&gt;C];[19931407=]</v>
      </c>
      <c r="P74" s="1" t="s">
        <v>28</v>
      </c>
      <c r="Q74" s="2" t="s">
        <v>295</v>
      </c>
      <c r="R74" s="3" t="s">
        <v>71</v>
      </c>
      <c r="Y74" s="3" t="s">
        <v>63</v>
      </c>
      <c r="Z74" s="15" t="str">
        <f>CONCATENATE(Z71,Z72,";",Z73)</f>
        <v>NC_000022.10:g.[19948337T&gt;C];[19948337=]</v>
      </c>
      <c r="AA74" s="15" t="str">
        <f>CONCATENATE(AA71,AA72,";",AA73)</f>
        <v>NC_000022.10:g.[19937533T&gt;G];[19937533=]</v>
      </c>
      <c r="AB74" s="15" t="str">
        <f>CONCATENATE(AB71,AB72,";",AB73)</f>
        <v>00;0</v>
      </c>
    </row>
    <row r="75" spans="1:28" x14ac:dyDescent="0.25">
      <c r="A75" s="3" t="s">
        <v>73</v>
      </c>
      <c r="B75" s="29">
        <f>K77</f>
        <v>43</v>
      </c>
      <c r="C75" s="3" t="str">
        <f>CONCATENATE("                    ",CHAR(40),"variantCall ",CHAR(40),CHAR(34),L75,CHAR(34),CHAR(41)," or variantCall ",CHAR(40),CHAR(34),L76,CHAR(34),CHAR(41),CHAR(41))</f>
        <v xml:space="preserve">                    (variantCall ("NC_000022.10:g.[19950235C&gt;T];[19950235C&gt;T]") or variantCall ("NC_000022.10:g.[19950235=];[19950235=]"))</v>
      </c>
      <c r="J75" s="3" t="s">
        <v>64</v>
      </c>
      <c r="K75" s="15" t="str">
        <f>CONCATENATE(K71,K72,";",K72)</f>
        <v>NC_000022.10:g.[19951271G&gt;A];[19951271G&gt;A]</v>
      </c>
      <c r="L75" s="15" t="str">
        <f>CONCATENATE(L71,L72,";",L72)</f>
        <v>NC_000022.10:g.[19950235C&gt;T];[19950235C&gt;T]</v>
      </c>
      <c r="M75" s="15" t="str">
        <f>CONCATENATE(M71,M72,";",M72)</f>
        <v>NC_000022.10:g.[19931407T&gt;C];[19931407T&gt;C]</v>
      </c>
      <c r="P75" s="3" t="s">
        <v>73</v>
      </c>
      <c r="Q75" s="29">
        <f>Z56</f>
        <v>18.5</v>
      </c>
      <c r="R75" s="3" t="str">
        <f>CONCATENATE("                    ",CHAR(40),"variantCall ",CHAR(40),CHAR(34),AA75,CHAR(34),CHAR(41)," or variantCall ",CHAR(40),CHAR(34),AA76,CHAR(34),CHAR(41),CHAR(41))</f>
        <v xml:space="preserve">                    (variantCall ("NC_000022.10:g.[19937533T&gt;G];[19937533T&gt;G]") or variantCall ("NC_000022.10:g.[19937533=];[19937533=]"))</v>
      </c>
      <c r="Y75" s="3" t="s">
        <v>64</v>
      </c>
      <c r="Z75" s="15" t="str">
        <f>CONCATENATE(Z71,Z72,";",Z72)</f>
        <v>NC_000022.10:g.[19948337T&gt;C];[19948337T&gt;C]</v>
      </c>
      <c r="AA75" s="15" t="str">
        <f>CONCATENATE(AA71,AA72,";",AA72)</f>
        <v>NC_000022.10:g.[19937533T&gt;G];[19937533T&gt;G]</v>
      </c>
      <c r="AB75" s="15" t="str">
        <f>CONCATENATE(AB71,AB72,";",AB72)</f>
        <v>00;0</v>
      </c>
    </row>
    <row r="76" spans="1:28" x14ac:dyDescent="0.25">
      <c r="C76" s="3" t="s">
        <v>71</v>
      </c>
      <c r="J76" s="3" t="s">
        <v>52</v>
      </c>
      <c r="K76" s="2" t="str">
        <f>CONCATENATE(K71,K73,";",K73)</f>
        <v>NC_000022.10:g.[19951271=];[19951271=]</v>
      </c>
      <c r="L76" s="2" t="str">
        <f>CONCATENATE(L71,L73,";",L73)</f>
        <v>NC_000022.10:g.[19950235=];[19950235=]</v>
      </c>
      <c r="M76" s="2" t="str">
        <f>CONCATENATE(M71,M73,";",M73)</f>
        <v>NC_000022.10:g.[19931407=];[19931407=]</v>
      </c>
      <c r="Q76" s="15"/>
      <c r="R76" s="3" t="s">
        <v>71</v>
      </c>
      <c r="Y76" s="3" t="s">
        <v>52</v>
      </c>
      <c r="Z76" s="2" t="str">
        <f>CONCATENATE(Z71,Z73,";",Z73)</f>
        <v>NC_000022.10:g.[19948337=];[19948337=]</v>
      </c>
      <c r="AA76" s="2" t="str">
        <f>CONCATENATE(AA71,AA73,";",AA73)</f>
        <v>NC_000022.10:g.[19937533=];[19937533=]</v>
      </c>
      <c r="AB76" s="2" t="str">
        <f>CONCATENATE(AB71,AB73,";",AB73)</f>
        <v>00;0</v>
      </c>
    </row>
    <row r="77" spans="1:28" x14ac:dyDescent="0.25">
      <c r="C77" s="3" t="str">
        <f>CONCATENATE("                    ",CHAR(40),"variantCall ",CHAR(40),CHAR(34),M75,CHAR(34),CHAR(41)," or variantCall ",CHAR(40),CHAR(34),M76,CHAR(34),CHAR(41),CHAR(41))</f>
        <v xml:space="preserve">                    (variantCall ("NC_000022.10:g.[19931407T&gt;C];[19931407T&gt;C]") or variantCall ("NC_000022.10:g.[19931407=];[19931407=]"))</v>
      </c>
      <c r="J77" s="3" t="s">
        <v>67</v>
      </c>
      <c r="K77">
        <v>43</v>
      </c>
      <c r="L77" s="2">
        <v>1.8</v>
      </c>
      <c r="M77" s="2">
        <v>15.8</v>
      </c>
      <c r="Q77" s="15"/>
      <c r="R77" s="3" t="str">
        <f>CONCATENATE("                    ",CHAR(40),"variantCall ",CHAR(40),CHAR(34),AB75,CHAR(34),CHAR(41)," or variantCall ",CHAR(40),CHAR(34),AB76,CHAR(34),CHAR(41),CHAR(41))</f>
        <v xml:space="preserve">                    (variantCall ("00;0") or variantCall ("00;0"))</v>
      </c>
      <c r="Y77" s="3" t="s">
        <v>67</v>
      </c>
      <c r="Z77">
        <v>43</v>
      </c>
      <c r="AA77" s="2">
        <v>1.8</v>
      </c>
      <c r="AB77" s="2">
        <v>15.8</v>
      </c>
    </row>
    <row r="78" spans="1:28" x14ac:dyDescent="0.25">
      <c r="A78" s="14"/>
      <c r="C78" s="3" t="str">
        <f>CONCATENATE("                  } &gt; ")</f>
        <v xml:space="preserve">                  } &gt; </v>
      </c>
      <c r="J78" s="3" t="s">
        <v>68</v>
      </c>
      <c r="K78">
        <v>19.899999999999999</v>
      </c>
      <c r="L78" s="2">
        <v>0.5</v>
      </c>
      <c r="M78" s="2">
        <v>4.7</v>
      </c>
      <c r="P78" s="14"/>
      <c r="Q78" s="15"/>
      <c r="R78" s="3" t="str">
        <f>CONCATENATE("                  } &gt; ")</f>
        <v xml:space="preserve">                  } &gt; </v>
      </c>
      <c r="Y78" s="3" t="s">
        <v>68</v>
      </c>
      <c r="Z78">
        <v>19.899999999999999</v>
      </c>
      <c r="AA78" s="2">
        <v>0.5</v>
      </c>
      <c r="AB78" s="2">
        <v>4.7</v>
      </c>
    </row>
    <row r="79" spans="1:28" x14ac:dyDescent="0.25">
      <c r="A79" s="26"/>
      <c r="J79" s="3" t="s">
        <v>69</v>
      </c>
      <c r="K79" s="2">
        <v>37.1</v>
      </c>
      <c r="L79" s="2">
        <v>97.8</v>
      </c>
      <c r="M79" s="2">
        <v>79.5</v>
      </c>
      <c r="P79" s="26"/>
      <c r="Q79" s="15"/>
      <c r="Y79" s="3" t="s">
        <v>69</v>
      </c>
      <c r="Z79" s="2">
        <v>37.1</v>
      </c>
      <c r="AA79" s="2">
        <v>97.8</v>
      </c>
      <c r="AB79" s="2">
        <v>79.5</v>
      </c>
    </row>
    <row r="80" spans="1:28" x14ac:dyDescent="0.25">
      <c r="A80" s="14"/>
      <c r="C80" s="3" t="s">
        <v>26</v>
      </c>
      <c r="K80"/>
      <c r="L80" s="2"/>
      <c r="M80" s="2"/>
      <c r="P80" s="14"/>
      <c r="Q80" s="15"/>
      <c r="R80" s="3" t="s">
        <v>26</v>
      </c>
      <c r="Z80"/>
      <c r="AA80" s="2"/>
      <c r="AB80" s="2"/>
    </row>
    <row r="81" spans="1:28" x14ac:dyDescent="0.25">
      <c r="A81" s="14"/>
      <c r="K81" s="15"/>
      <c r="L81" s="15"/>
      <c r="M81" s="15"/>
      <c r="P81" s="14"/>
      <c r="Q81" s="15"/>
      <c r="Z81" s="15"/>
      <c r="AA81" s="15"/>
      <c r="AB81" s="15"/>
    </row>
    <row r="82" spans="1:28" x14ac:dyDescent="0.25">
      <c r="A82" s="26"/>
      <c r="C82" s="3" t="str">
        <f>CONCATENATE("    ",B73)</f>
        <v xml:space="preserve">    People with this variant have one copy of the [G158A](https://www.ncbi.nlm.nih.gov/pubmed/21059181) variant. This substitution of a single nucleotide is known as a missense mutation.</v>
      </c>
      <c r="K82" s="15"/>
      <c r="L82" s="15"/>
      <c r="M82" s="15"/>
      <c r="P82" s="26"/>
      <c r="Q82" s="15"/>
      <c r="R82" s="3" t="str">
        <f>CONCATENATE("    ",Q73)</f>
        <v xml:space="preserve">    People with this variant have two copies of the [T19960814C](https://www.ncbi.nlm.nih.gov/pubmed/19772600) variant. This substitution of a single nucleotide is known as a missense mutation.</v>
      </c>
      <c r="Z82" s="15"/>
      <c r="AA82" s="15"/>
      <c r="AB82" s="15"/>
    </row>
    <row r="83" spans="1:28" x14ac:dyDescent="0.25">
      <c r="A83" s="14"/>
      <c r="K83" s="2"/>
      <c r="L83" s="2"/>
      <c r="M83" s="2"/>
      <c r="P83" s="14"/>
      <c r="Q83" s="15"/>
      <c r="Z83" s="2"/>
      <c r="AA83" s="2"/>
      <c r="AB83" s="2"/>
    </row>
    <row r="84" spans="1:28" x14ac:dyDescent="0.25">
      <c r="A84" s="14"/>
      <c r="C84" s="3" t="s">
        <v>29</v>
      </c>
      <c r="P84" s="14"/>
      <c r="Q84" s="15"/>
      <c r="R84" s="3" t="s">
        <v>29</v>
      </c>
    </row>
    <row r="85" spans="1:28" x14ac:dyDescent="0.25">
      <c r="A85" s="14"/>
      <c r="P85" s="14"/>
      <c r="Q85" s="15"/>
    </row>
    <row r="86" spans="1:28" x14ac:dyDescent="0.25">
      <c r="A86" s="14"/>
      <c r="C86" s="3" t="str">
        <f>CONCATENATE(B74)</f>
        <v xml:space="preserve">    This variant decreases COMT enzymatic activity by as much as 25% and increases dopamine levels. It also decreases the [pain tolerance with higher pain ratings](https://www.ncbi.nlm.nih.gov/pubmed/12595695?dopt=Abstract) and increased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[clozapine](https://www.ncbi.nlm.nih.gov/pubmed/24448899?dopt=Abstract) 
    - [Intermediate response to antidepressant paroxetine](https://www.ncbi.nlm.nih.gov/pubmed/18989660?dopt=Abstract) 
    - [Increased susceptibility for cocaine dependence](https://www.ncbi.nlm.nih.gov/pubmed/18704099?dopt=Abstract) 
    - Greater risk for [nicotine dependence](https://www.ncbi.nlm.nih.gov/pubmed/16395295?dopt=Abstract) in Asian males and African American females 
    - [1.3X increased risk of breast cancer](https://www.ncbi.nlm.nih.gov/pubmed/18194538?dopt=Abstract) 
    # What should I do about this?
    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c r="P86" s="14"/>
      <c r="Q86" s="15"/>
      <c r="R86" s="3" t="str">
        <f>CONCATENATE(Q74)</f>
        <v xml:space="preserve">    This variant has a variety of effects:
    - Much more common in [ME/CFS](https://www.ncbi.nlm.nih.gov/pubmed/19772600) patients. 
    - Lower scores in [attention tests, memory tests, and executive function](https://www.ncbi.nlm.nih.gov/pubmed/27091610). 
    - Incorrect metabolism of [Tacrolimus](https://www.ncbi.nlm.nih.gov/pubmed/24465960), a widely used immunosuppressive drug. 
    - Increased [cold pain sensitivity](https://www.ncbi.nlm.nih.gov/pubmed/19559388) in women. 
    - Protective against [type 2 diabetes](https://www.ncbi.nlm.nih.gov/pubmed/25927430). 
    # What should I do about this?
    Be careful if taking [Tacrolimus](https://www.ncbi.nlm.nih.gov/pubmed/24465960). Avoid cold temperatures or temperature shock.</v>
      </c>
    </row>
    <row r="87" spans="1:28" x14ac:dyDescent="0.25">
      <c r="A87" s="26"/>
      <c r="P87" s="26"/>
      <c r="Q87" s="15"/>
    </row>
    <row r="88" spans="1:28" x14ac:dyDescent="0.25">
      <c r="A88" s="26"/>
      <c r="C88" s="3" t="s">
        <v>30</v>
      </c>
      <c r="P88" s="26"/>
      <c r="Q88" s="15"/>
      <c r="R88" s="3" t="s">
        <v>30</v>
      </c>
    </row>
    <row r="89" spans="1:28" x14ac:dyDescent="0.25">
      <c r="A89" s="26"/>
      <c r="P89" s="26"/>
      <c r="Q89" s="15"/>
    </row>
    <row r="90" spans="1:28" x14ac:dyDescent="0.25">
      <c r="A90" s="26"/>
      <c r="C90" s="3" t="str">
        <f>CONCATENATE( "    &lt;piechart percentage=",B75," /&gt;")</f>
        <v xml:space="preserve">    &lt;piechart percentage=43 /&gt;</v>
      </c>
      <c r="P90" s="26"/>
      <c r="Q90" s="15"/>
      <c r="R90" s="3" t="str">
        <f>CONCATENATE( "    &lt;piechart percentage=",Q75," /&gt;")</f>
        <v xml:space="preserve">    &lt;piechart percentage=18.5 /&gt;</v>
      </c>
    </row>
    <row r="91" spans="1:28" x14ac:dyDescent="0.25">
      <c r="A91" s="26"/>
      <c r="C91" s="3" t="str">
        <f>"  &lt;/Analysis&gt;"</f>
        <v xml:space="preserve">  &lt;/Analysis&gt;</v>
      </c>
      <c r="K91" s="3" t="str">
        <f>K47</f>
        <v>rs6691840</v>
      </c>
      <c r="L91" s="3" t="str">
        <f>L47</f>
        <v>rs3913434</v>
      </c>
      <c r="M91" s="3" t="str">
        <f>M47</f>
        <v>rs270838</v>
      </c>
      <c r="P91" s="26"/>
      <c r="Q91" s="15"/>
      <c r="R91" s="3" t="str">
        <f>"  &lt;/Analysis&gt;"</f>
        <v xml:space="preserve">  &lt;/Analysis&gt;</v>
      </c>
      <c r="Z91" s="3">
        <f>Z47</f>
        <v>0</v>
      </c>
      <c r="AA91" s="3">
        <f>AA47</f>
        <v>0</v>
      </c>
      <c r="AB91" s="3">
        <f>AB47</f>
        <v>0</v>
      </c>
    </row>
    <row r="92" spans="1:28" s="21" customFormat="1" x14ac:dyDescent="0.25">
      <c r="A92" s="28" t="s">
        <v>70</v>
      </c>
      <c r="B92" s="20" t="str">
        <f>CONCATENATE(B19," (A;A)")</f>
        <v>G158A (A;A)</v>
      </c>
      <c r="C92" s="21" t="str">
        <f>CONCATENATE("&lt;# ",B92," #&gt;")</f>
        <v>&lt;# G158A (A;A) #&gt;</v>
      </c>
      <c r="K92" s="21" t="str">
        <f t="shared" ref="K92:M93" si="2">K70</f>
        <v>G158A</v>
      </c>
      <c r="L92" s="21" t="str">
        <f t="shared" si="2"/>
        <v>C62T</v>
      </c>
      <c r="M92" s="21" t="str">
        <f t="shared" si="2"/>
        <v>T19943884C</v>
      </c>
      <c r="P92" s="28" t="s">
        <v>70</v>
      </c>
      <c r="Q92" s="20" t="str">
        <f>CONCATENATE(Q28," (G;G)")</f>
        <v>T19950010G (G;G)</v>
      </c>
      <c r="R92" s="21" t="str">
        <f>CONCATENATE("&lt;# ",Q92," #&gt;")</f>
        <v>&lt;# T19950010G (G;G) #&gt;</v>
      </c>
      <c r="Z92" s="21" t="str">
        <f t="shared" ref="Z92:AB92" si="3">Z70</f>
        <v>T19960814C</v>
      </c>
      <c r="AA92" s="21" t="str">
        <f t="shared" si="3"/>
        <v>T19950010G</v>
      </c>
      <c r="AB92" s="21">
        <f t="shared" si="3"/>
        <v>0</v>
      </c>
    </row>
    <row r="93" spans="1:28" x14ac:dyDescent="0.25">
      <c r="A93" s="3" t="s">
        <v>21</v>
      </c>
      <c r="B93" s="29" t="str">
        <f>K75</f>
        <v>NC_000022.10:g.[19951271G&gt;A];[19951271G&gt;A]</v>
      </c>
      <c r="C93" s="10"/>
      <c r="K93" s="3" t="str">
        <f t="shared" si="2"/>
        <v>NC_000022.10:g.</v>
      </c>
      <c r="L93" s="3" t="str">
        <f t="shared" si="2"/>
        <v>NC_000022.10:g.</v>
      </c>
      <c r="M93" s="3" t="str">
        <f t="shared" si="2"/>
        <v>NC_000022.10:g.</v>
      </c>
      <c r="P93" s="3" t="s">
        <v>21</v>
      </c>
      <c r="Q93" s="29" t="str">
        <f>AA97</f>
        <v>NC_000022.10:g.[19937533T&gt;G];[19937533T&gt;G]</v>
      </c>
      <c r="R93" s="10"/>
      <c r="Z93" s="3" t="str">
        <f t="shared" ref="Z93:AB93" si="4">Z71</f>
        <v>NC_000022.10:g.</v>
      </c>
      <c r="AA93" s="3" t="str">
        <f t="shared" si="4"/>
        <v>NC_000022.10:g.</v>
      </c>
      <c r="AB93" s="3">
        <f t="shared" si="4"/>
        <v>0</v>
      </c>
    </row>
    <row r="94" spans="1:28" x14ac:dyDescent="0.25">
      <c r="B94" s="29"/>
      <c r="C94" s="3" t="str">
        <f>CONCATENATE("  &lt;Analysis name=",CHAR(34),B92,CHAR(34))</f>
        <v xml:space="preserve">  &lt;Analysis name="G158A (A;A)"</v>
      </c>
      <c r="J94" s="3" t="str">
        <f t="shared" ref="J94:M101" si="5">J72</f>
        <v>Variant</v>
      </c>
      <c r="K94" s="3" t="str">
        <f t="shared" si="5"/>
        <v>[19951271G&gt;A]</v>
      </c>
      <c r="L94" s="3" t="str">
        <f t="shared" si="5"/>
        <v>[19950235C&gt;T]</v>
      </c>
      <c r="M94" s="3" t="str">
        <f t="shared" si="5"/>
        <v>[19931407T&gt;C]</v>
      </c>
      <c r="Q94" s="29"/>
      <c r="R94" s="3" t="str">
        <f>CONCATENATE("  &lt;Analysis name=",CHAR(34),Q92,CHAR(34))</f>
        <v xml:space="preserve">  &lt;Analysis name="T19950010G (G;G)"</v>
      </c>
      <c r="Y94" s="3" t="str">
        <f t="shared" ref="Y94:AB94" si="6">Y72</f>
        <v>Variant</v>
      </c>
      <c r="Z94" s="3" t="str">
        <f t="shared" si="6"/>
        <v>[19948337T&gt;C]</v>
      </c>
      <c r="AA94" s="3" t="str">
        <f t="shared" si="6"/>
        <v>[19937533T&gt;G]</v>
      </c>
      <c r="AB94" s="3">
        <f t="shared" si="6"/>
        <v>0</v>
      </c>
    </row>
    <row r="95" spans="1:28" x14ac:dyDescent="0.25">
      <c r="A95" s="5" t="s">
        <v>75</v>
      </c>
      <c r="B95" s="2" t="str">
        <f>CONCATENATE("People with this variant have two copies of the ",B22," variant. This substitution of a single nucleotide is known as a missense mutation.")</f>
        <v>People with this variant have two copies of the [G158A](https://www.ncbi.nlm.nih.gov/pubmed/21059181) variant. This substitution of a single nucleotide is known as a missense mutation.</v>
      </c>
      <c r="C95" s="3" t="str">
        <f>CONCATENATE("            case={  variantCall ",CHAR(40),CHAR(34),B93,CHAR(34),CHAR(41))</f>
        <v xml:space="preserve">            case={  variantCall ("NC_000022.10:g.[19951271G&gt;A];[19951271G&gt;A]")</v>
      </c>
      <c r="J95" s="3" t="str">
        <f t="shared" si="5"/>
        <v>Wildtype</v>
      </c>
      <c r="K95" s="3" t="str">
        <f t="shared" si="5"/>
        <v>[19951271=]</v>
      </c>
      <c r="L95" s="3" t="str">
        <f t="shared" si="5"/>
        <v>[19950235=]</v>
      </c>
      <c r="M95" s="3" t="str">
        <f t="shared" si="5"/>
        <v>[19931407=]</v>
      </c>
      <c r="P95" s="5" t="s">
        <v>75</v>
      </c>
      <c r="Q95" s="2" t="str">
        <f>CONCATENATE("People with this variant have two copies of the ",Q31," variant. This substitution of a single nucleotide is known as a missense mutation.")</f>
        <v>People with this variant have two copies of the [T19950010G](https://www.ncbi.nlm.nih.gov/pubmed/19540336) variant. This substitution of a single nucleotide is known as a missense mutation.</v>
      </c>
      <c r="R95" s="3" t="str">
        <f>CONCATENATE("            case={  variantCall ",CHAR(40),CHAR(34),Q93,CHAR(34),CHAR(41))</f>
        <v xml:space="preserve">            case={  variantCall ("NC_000022.10:g.[19937533T&gt;G];[19937533T&gt;G]")</v>
      </c>
      <c r="Y95" s="3" t="str">
        <f t="shared" ref="Y95:AB95" si="7">Y73</f>
        <v>Wildtype</v>
      </c>
      <c r="Z95" s="3" t="str">
        <f t="shared" si="7"/>
        <v>[19948337=]</v>
      </c>
      <c r="AA95" s="3" t="str">
        <f t="shared" si="7"/>
        <v>[19937533=]</v>
      </c>
      <c r="AB95" s="3">
        <f t="shared" si="7"/>
        <v>0</v>
      </c>
    </row>
    <row r="96" spans="1:28" x14ac:dyDescent="0.25">
      <c r="A96" s="1" t="s">
        <v>28</v>
      </c>
      <c r="B96" s="2" t="s">
        <v>290</v>
      </c>
      <c r="C96" s="3" t="s">
        <v>71</v>
      </c>
      <c r="J96" s="3" t="str">
        <f t="shared" si="5"/>
        <v>Het</v>
      </c>
      <c r="K96" s="3" t="str">
        <f t="shared" si="5"/>
        <v>NC_000022.10:g.[19951271G&gt;A];[19951271=]</v>
      </c>
      <c r="L96" s="3" t="str">
        <f t="shared" si="5"/>
        <v>NC_000022.10:g.[19950235C&gt;T];[19950235=]</v>
      </c>
      <c r="M96" s="3" t="str">
        <f t="shared" si="5"/>
        <v>NC_000022.10:g.[19931407T&gt;C];[19931407=]</v>
      </c>
      <c r="P96" s="1" t="s">
        <v>28</v>
      </c>
      <c r="Q96" s="2" t="s">
        <v>297</v>
      </c>
      <c r="R96" s="3" t="s">
        <v>71</v>
      </c>
      <c r="Y96" s="3" t="str">
        <f t="shared" ref="Y96:AB96" si="8">Y74</f>
        <v>Het</v>
      </c>
      <c r="Z96" s="3" t="str">
        <f t="shared" si="8"/>
        <v>NC_000022.10:g.[19948337T&gt;C];[19948337=]</v>
      </c>
      <c r="AA96" s="3" t="str">
        <f t="shared" si="8"/>
        <v>NC_000022.10:g.[19937533T&gt;G];[19937533=]</v>
      </c>
      <c r="AB96" s="3" t="str">
        <f t="shared" si="8"/>
        <v>00;0</v>
      </c>
    </row>
    <row r="97" spans="1:28" x14ac:dyDescent="0.25">
      <c r="A97" s="3" t="s">
        <v>73</v>
      </c>
      <c r="B97" s="29">
        <f>K78</f>
        <v>19.899999999999999</v>
      </c>
      <c r="C97" s="3" t="str">
        <f>CONCATENATE("                    ",CHAR(40),"variantCall ",CHAR(40),CHAR(34),L97,CHAR(34),CHAR(41)," or variantCall ",CHAR(40),CHAR(34),L98,CHAR(34),CHAR(41),CHAR(41))</f>
        <v xml:space="preserve">                    (variantCall ("NC_000022.10:g.[19950235C&gt;T];[19950235C&gt;T]") or variantCall ("NC_000022.10:g.[19950235=];[19950235=]"))</v>
      </c>
      <c r="J97" s="3" t="str">
        <f t="shared" si="5"/>
        <v>Homo</v>
      </c>
      <c r="K97" s="3" t="str">
        <f t="shared" si="5"/>
        <v>NC_000022.10:g.[19951271G&gt;A];[19951271G&gt;A]</v>
      </c>
      <c r="L97" s="3" t="str">
        <f t="shared" si="5"/>
        <v>NC_000022.10:g.[19950235C&gt;T];[19950235C&gt;T]</v>
      </c>
      <c r="M97" s="3" t="str">
        <f t="shared" si="5"/>
        <v>NC_000022.10:g.[19931407T&gt;C];[19931407T&gt;C]</v>
      </c>
      <c r="P97" s="3" t="s">
        <v>73</v>
      </c>
      <c r="Q97" s="29">
        <f>Z78</f>
        <v>19.899999999999999</v>
      </c>
      <c r="R97" s="3" t="str">
        <f>CONCATENATE("                    ",CHAR(40),"variantCall ",CHAR(40),CHAR(34),AA97,CHAR(34),CHAR(41)," or variantCall ",CHAR(40),CHAR(34),AA98,CHAR(34),CHAR(41),CHAR(41))</f>
        <v xml:space="preserve">                    (variantCall ("NC_000022.10:g.[19937533T&gt;G];[19937533T&gt;G]") or variantCall ("NC_000022.10:g.[19937533=];[19937533=]"))</v>
      </c>
      <c r="Y97" s="3" t="str">
        <f t="shared" ref="Y97:AB97" si="9">Y75</f>
        <v>Homo</v>
      </c>
      <c r="Z97" s="3" t="str">
        <f t="shared" si="9"/>
        <v>NC_000022.10:g.[19948337T&gt;C];[19948337T&gt;C]</v>
      </c>
      <c r="AA97" s="3" t="str">
        <f t="shared" si="9"/>
        <v>NC_000022.10:g.[19937533T&gt;G];[19937533T&gt;G]</v>
      </c>
      <c r="AB97" s="3" t="str">
        <f t="shared" si="9"/>
        <v>00;0</v>
      </c>
    </row>
    <row r="98" spans="1:28" x14ac:dyDescent="0.25">
      <c r="C98" s="3" t="s">
        <v>71</v>
      </c>
      <c r="J98" s="3" t="str">
        <f t="shared" si="5"/>
        <v>Wildtype</v>
      </c>
      <c r="K98" s="3" t="str">
        <f t="shared" si="5"/>
        <v>NC_000022.10:g.[19951271=];[19951271=]</v>
      </c>
      <c r="L98" s="3" t="str">
        <f t="shared" si="5"/>
        <v>NC_000022.10:g.[19950235=];[19950235=]</v>
      </c>
      <c r="M98" s="3" t="str">
        <f t="shared" si="5"/>
        <v>NC_000022.10:g.[19931407=];[19931407=]</v>
      </c>
      <c r="Q98" s="15"/>
      <c r="R98" s="3" t="s">
        <v>71</v>
      </c>
      <c r="Y98" s="3" t="str">
        <f t="shared" ref="Y98:AB98" si="10">Y76</f>
        <v>Wildtype</v>
      </c>
      <c r="Z98" s="3" t="str">
        <f t="shared" si="10"/>
        <v>NC_000022.10:g.[19948337=];[19948337=]</v>
      </c>
      <c r="AA98" s="3" t="str">
        <f t="shared" si="10"/>
        <v>NC_000022.10:g.[19937533=];[19937533=]</v>
      </c>
      <c r="AB98" s="3" t="str">
        <f t="shared" si="10"/>
        <v>00;0</v>
      </c>
    </row>
    <row r="99" spans="1:28" x14ac:dyDescent="0.25">
      <c r="C99" s="3" t="str">
        <f>CONCATENATE("                    ",CHAR(40),"variantCall ",CHAR(40),CHAR(34),M97,CHAR(34),CHAR(41)," or variantCall ",CHAR(40),CHAR(34),M98,CHAR(34),CHAR(41),CHAR(41))</f>
        <v xml:space="preserve">                    (variantCall ("NC_000022.10:g.[19931407T&gt;C];[19931407T&gt;C]") or variantCall ("NC_000022.10:g.[19931407=];[19931407=]"))</v>
      </c>
      <c r="J99" s="3" t="str">
        <f t="shared" si="5"/>
        <v>Het%</v>
      </c>
      <c r="K99" s="3">
        <f t="shared" si="5"/>
        <v>43</v>
      </c>
      <c r="L99" s="3">
        <f t="shared" si="5"/>
        <v>1.8</v>
      </c>
      <c r="M99" s="3">
        <f t="shared" si="5"/>
        <v>15.8</v>
      </c>
      <c r="Q99" s="15"/>
      <c r="R99" s="3" t="str">
        <f>CONCATENATE("                    ",CHAR(40),"variantCall ",CHAR(40),CHAR(34),AB97,CHAR(34),CHAR(41)," or variantCall ",CHAR(40),CHAR(34),AB98,CHAR(34),CHAR(41),CHAR(41))</f>
        <v xml:space="preserve">                    (variantCall ("00;0") or variantCall ("00;0"))</v>
      </c>
      <c r="Y99" s="3" t="str">
        <f t="shared" ref="Y99:AB99" si="11">Y77</f>
        <v>Het%</v>
      </c>
      <c r="Z99" s="3">
        <f t="shared" si="11"/>
        <v>43</v>
      </c>
      <c r="AA99" s="3">
        <f t="shared" si="11"/>
        <v>1.8</v>
      </c>
      <c r="AB99" s="3">
        <f t="shared" si="11"/>
        <v>15.8</v>
      </c>
    </row>
    <row r="100" spans="1:28" x14ac:dyDescent="0.25">
      <c r="A100" s="14"/>
      <c r="C100" s="3" t="str">
        <f>CONCATENATE("                  } &gt; ")</f>
        <v xml:space="preserve">                  } &gt; </v>
      </c>
      <c r="J100" s="3" t="str">
        <f t="shared" si="5"/>
        <v>Homo%</v>
      </c>
      <c r="K100" s="3">
        <f t="shared" si="5"/>
        <v>19.899999999999999</v>
      </c>
      <c r="L100" s="3">
        <f t="shared" si="5"/>
        <v>0.5</v>
      </c>
      <c r="M100" s="3">
        <f t="shared" si="5"/>
        <v>4.7</v>
      </c>
      <c r="P100" s="14"/>
      <c r="Q100" s="15"/>
      <c r="R100" s="3" t="str">
        <f>CONCATENATE("                  } &gt; ")</f>
        <v xml:space="preserve">                  } &gt; </v>
      </c>
      <c r="Y100" s="3" t="str">
        <f t="shared" ref="Y100:AB100" si="12">Y78</f>
        <v>Homo%</v>
      </c>
      <c r="Z100" s="3">
        <f t="shared" si="12"/>
        <v>19.899999999999999</v>
      </c>
      <c r="AA100" s="3">
        <f t="shared" si="12"/>
        <v>0.5</v>
      </c>
      <c r="AB100" s="3">
        <f t="shared" si="12"/>
        <v>4.7</v>
      </c>
    </row>
    <row r="101" spans="1:28" x14ac:dyDescent="0.25">
      <c r="A101" s="26"/>
      <c r="J101" s="3" t="str">
        <f t="shared" si="5"/>
        <v>Wildtype%</v>
      </c>
      <c r="K101" s="3">
        <f t="shared" si="5"/>
        <v>37.1</v>
      </c>
      <c r="L101" s="3">
        <f t="shared" si="5"/>
        <v>97.8</v>
      </c>
      <c r="M101" s="3">
        <f t="shared" si="5"/>
        <v>79.5</v>
      </c>
      <c r="P101" s="26"/>
      <c r="Q101" s="15"/>
      <c r="Y101" s="3" t="str">
        <f t="shared" ref="Y101:AB101" si="13">Y79</f>
        <v>Wildtype%</v>
      </c>
      <c r="Z101" s="3">
        <f t="shared" si="13"/>
        <v>37.1</v>
      </c>
      <c r="AA101" s="3">
        <f t="shared" si="13"/>
        <v>97.8</v>
      </c>
      <c r="AB101" s="3">
        <f t="shared" si="13"/>
        <v>79.5</v>
      </c>
    </row>
    <row r="102" spans="1:28" x14ac:dyDescent="0.25">
      <c r="A102" s="14"/>
      <c r="C102" s="3" t="s">
        <v>26</v>
      </c>
      <c r="P102" s="14"/>
      <c r="Q102" s="15"/>
      <c r="R102" s="3" t="s">
        <v>26</v>
      </c>
    </row>
    <row r="103" spans="1:28" x14ac:dyDescent="0.25">
      <c r="A103" s="14"/>
      <c r="P103" s="14"/>
      <c r="Q103" s="15"/>
    </row>
    <row r="104" spans="1:28" x14ac:dyDescent="0.25">
      <c r="A104" s="26"/>
      <c r="C104" s="3" t="str">
        <f>CONCATENATE("    ",B95)</f>
        <v xml:space="preserve">    People with this variant have two copies of the [G158A](https://www.ncbi.nlm.nih.gov/pubmed/21059181) variant. This substitution of a single nucleotide is known as a missense mutation.</v>
      </c>
      <c r="P104" s="26"/>
      <c r="Q104" s="15"/>
      <c r="R104" s="3" t="str">
        <f>CONCATENATE("    ",Q95)</f>
        <v xml:space="preserve">    People with this variant have two copies of the [T19950010G](https://www.ncbi.nlm.nih.gov/pubmed/19540336) variant. This substitution of a single nucleotide is known as a missense mutation.</v>
      </c>
    </row>
    <row r="105" spans="1:28" x14ac:dyDescent="0.25">
      <c r="A105" s="14"/>
      <c r="P105" s="14"/>
      <c r="Q105" s="15"/>
    </row>
    <row r="106" spans="1:28" x14ac:dyDescent="0.25">
      <c r="A106" s="14"/>
      <c r="C106" s="3" t="s">
        <v>29</v>
      </c>
      <c r="P106" s="14"/>
      <c r="Q106" s="15"/>
      <c r="R106" s="3" t="s">
        <v>29</v>
      </c>
    </row>
    <row r="107" spans="1:28" x14ac:dyDescent="0.25">
      <c r="A107" s="14"/>
      <c r="P107" s="14"/>
      <c r="Q107" s="15"/>
    </row>
    <row r="108" spans="1:28" x14ac:dyDescent="0.25">
      <c r="A108" s="14"/>
      <c r="C108" s="3" t="str">
        <f>CONCATENATE(B96)</f>
        <v xml:space="preserve">    The double adenine (A) missense variant reduces enzyme activity by 25% and greatly increases dopamine levels. [78% of people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[ME/CFS patients](https://www.ncbi.nlm.nih.gov/pubmed/21059181) and has many effects.
    -  After exercise, the COMT gene showed [more activation](https://www.ncbi.nlm.nih.gov/pubmed/22110941) than healthy patients, [causing muscle fatigue and pain](https://www.ncbi.nlm.nih.gov/pubmed/19647494) 
    -  CFS patients have [higher cortisol levels, enhanced IgE, diminished IgG3 levels, and an increased susceptibility to respiratory tract infections](https://www.ncbi.nlm.nih.gov/pubmed/26272340) 
    - Increased postural orthostatic tachycardia syndrome ([POTS](https://www.ncbi.nlm.nih.gov/pubmed/21059181)) during tilt table testing 
    - Daytime [sleepiness](https://www.ncbi.nlm.nih.gov/pubmed/23728717?dopt=Abstract) 
    - Increased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dependence](https://www.ncbi.nlm.nih.gov/pubmed/18704099?dopt=Abstract) 
    - Greatest chance of [nicotine dependence](https://www.ncbi.nlm.nih.gov/pubmed/16395295?dopt=Abstract) in Asian males and African American females 
    # What should I do about this?
    - Avoid all stress and moderate exercise to improve pain sensitivity, muscle fatigue and thinking. Consider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antibiotics](http://www.piduk.org/static/media/up/IgG%20subclass%20Patient%20Information%20Sheet.pdf) may prevent development of infections. 
    - Check [cortisol levels](https://www.ncbi.nlm.nih.gov/pubmed/26272340). If elevated, consider [magnesium](https://www.ncbi.nlm.nih.gov/pubmed/18500945), [omega-3 fish oil](https://www.ncbi.nlm.nih.gov/pubmed/12909818), [massage](https://www.ncbi.nlm.nih.gov/pubmed/16162447) therapy,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v>
      </c>
      <c r="P108" s="14"/>
      <c r="Q108" s="15"/>
      <c r="R108" s="3" t="str">
        <f>CONCATENATE(Q96)</f>
        <v xml:space="preserve">    This variant is associated with an increased risk of [ME/CFS](https://www.ncbi.nlm.nih.gov/pubmed/19540336)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 
    ME/CFS patients often show [increased oxidative stress](https://www.ncbi.nlm.nih.gov/pubmed/27580693) that can be measured as increased levels of [thiobarbituric acid reactive substances](https://www.ncbi.nlm.nih.gov/pubmed/19457057) (TBARS), an oxidative stress blood marker, and decreased [reduced ascorbic-acid](https://www.ncbi.nlm.nih.gov/pubmed/19457057) (RAA), an antioxidant defense marker. This is associated with [increased symptom severity](https://www.ncbi.nlm.nih.gov/pubmed/29065167) and muscle weakness.
    # What should I do about this?
    Oxidative stress may be mitigated through environmental changes, [antioxidants](https://nccih.nih.gov/health/antioxidants/introduction.htm), and dietary changes.
    - [Robuvit](https://www.robuvit.com/home/)® (oak wood extract) is effective in reducing [oxidative stress](https://www.ncbi.nlm.nih.gov/pubmed/29164838) and [fatigue](https://www.ncbi.nlm.nih.gov/pubmed/29719945), while improving cognition, sleep, and memory. Consider taking [300mg/day](https://www.minervamedica.it/en/journals/sports-med-physical-fitness/article.php?cod=R40Y2018N05A0678).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v>
      </c>
    </row>
    <row r="109" spans="1:28" x14ac:dyDescent="0.25">
      <c r="A109" s="26"/>
      <c r="P109" s="26"/>
      <c r="Q109" s="15"/>
    </row>
    <row r="110" spans="1:28" x14ac:dyDescent="0.25">
      <c r="A110" s="26"/>
      <c r="C110" s="3" t="s">
        <v>30</v>
      </c>
      <c r="P110" s="26"/>
      <c r="Q110" s="15"/>
      <c r="R110" s="3" t="s">
        <v>30</v>
      </c>
    </row>
    <row r="111" spans="1:28" x14ac:dyDescent="0.25">
      <c r="A111" s="26"/>
      <c r="P111" s="26"/>
      <c r="Q111" s="15"/>
    </row>
    <row r="112" spans="1:28" x14ac:dyDescent="0.25">
      <c r="A112" s="26"/>
      <c r="C112" s="3" t="str">
        <f>CONCATENATE( "    &lt;piechart percentage=",B97," /&gt;")</f>
        <v xml:space="preserve">    &lt;piechart percentage=19.9 /&gt;</v>
      </c>
      <c r="P112" s="26"/>
      <c r="Q112" s="15"/>
      <c r="R112" s="3" t="str">
        <f>CONCATENATE( "    &lt;piechart percentage=",Q97," /&gt;")</f>
        <v xml:space="preserve">    &lt;piechart percentage=19.9 /&gt;</v>
      </c>
    </row>
    <row r="113" spans="1:28" x14ac:dyDescent="0.25">
      <c r="A113" s="26"/>
      <c r="C113" s="3" t="str">
        <f>"  &lt;/Analysis&gt;"</f>
        <v xml:space="preserve">  &lt;/Analysis&gt;</v>
      </c>
      <c r="K113" s="3" t="str">
        <f t="shared" ref="K113:M115" si="14">K91</f>
        <v>rs6691840</v>
      </c>
      <c r="L113" s="3" t="str">
        <f t="shared" si="14"/>
        <v>rs3913434</v>
      </c>
      <c r="M113" s="3" t="str">
        <f t="shared" si="14"/>
        <v>rs270838</v>
      </c>
      <c r="P113" s="26"/>
      <c r="Q113" s="15"/>
      <c r="R113" s="3" t="str">
        <f>"  &lt;/Analysis&gt;"</f>
        <v xml:space="preserve">  &lt;/Analysis&gt;</v>
      </c>
      <c r="Z113" s="3">
        <f t="shared" ref="Z113:AB113" si="15">Z91</f>
        <v>0</v>
      </c>
      <c r="AA113" s="3">
        <f t="shared" si="15"/>
        <v>0</v>
      </c>
      <c r="AB113" s="3">
        <f t="shared" si="15"/>
        <v>0</v>
      </c>
    </row>
    <row r="114" spans="1:28" s="21" customFormat="1" x14ac:dyDescent="0.25">
      <c r="A114" s="28" t="s">
        <v>70</v>
      </c>
      <c r="B114" s="20" t="str">
        <f>CONCATENATE(B28," (C;T)")</f>
        <v>C62T (C;T)</v>
      </c>
      <c r="C114" s="21" t="str">
        <f>CONCATENATE("&lt;# ",B114," #&gt;")</f>
        <v>&lt;# C62T (C;T) #&gt;</v>
      </c>
      <c r="K114" s="21" t="str">
        <f t="shared" si="14"/>
        <v>G158A</v>
      </c>
      <c r="L114" s="21" t="str">
        <f t="shared" si="14"/>
        <v>C62T</v>
      </c>
      <c r="M114" s="21" t="str">
        <f t="shared" si="14"/>
        <v>T19943884C</v>
      </c>
      <c r="P114" s="28" t="s">
        <v>70</v>
      </c>
      <c r="Q114" s="20" t="str">
        <f>CONCATENATE(Q28," (T;G)")</f>
        <v>T19950010G (T;G)</v>
      </c>
      <c r="R114" s="21" t="str">
        <f>CONCATENATE("&lt;# ",Q114," #&gt;")</f>
        <v>&lt;# T19950010G (T;G) #&gt;</v>
      </c>
      <c r="Z114" s="21" t="str">
        <f t="shared" ref="Z114:AB114" si="16">Z92</f>
        <v>T19960814C</v>
      </c>
      <c r="AA114" s="21" t="str">
        <f t="shared" si="16"/>
        <v>T19950010G</v>
      </c>
      <c r="AB114" s="21">
        <f t="shared" si="16"/>
        <v>0</v>
      </c>
    </row>
    <row r="115" spans="1:28" s="10" customFormat="1" x14ac:dyDescent="0.25">
      <c r="A115" s="3" t="s">
        <v>21</v>
      </c>
      <c r="B115" s="29" t="str">
        <f>L118</f>
        <v>NC_000022.10:g.[19950235C&gt;T];[19950235=]</v>
      </c>
      <c r="J115" s="3"/>
      <c r="K115" s="22" t="str">
        <f t="shared" si="14"/>
        <v>NC_000022.10:g.</v>
      </c>
      <c r="L115" s="22" t="str">
        <f t="shared" si="14"/>
        <v>NC_000022.10:g.</v>
      </c>
      <c r="M115" s="10" t="str">
        <f t="shared" si="14"/>
        <v>NC_000022.10:g.</v>
      </c>
      <c r="P115" s="3" t="s">
        <v>21</v>
      </c>
      <c r="Q115" s="29" t="str">
        <f>AA118</f>
        <v>NC_000022.10:g.[19937533T&gt;G];[19937533=]</v>
      </c>
      <c r="Y115" s="3"/>
      <c r="Z115" s="22" t="str">
        <f t="shared" ref="Z115:AB115" si="17">Z93</f>
        <v>NC_000022.10:g.</v>
      </c>
      <c r="AA115" s="22" t="str">
        <f t="shared" si="17"/>
        <v>NC_000022.10:g.</v>
      </c>
      <c r="AB115" s="10">
        <f t="shared" si="17"/>
        <v>0</v>
      </c>
    </row>
    <row r="116" spans="1:28" x14ac:dyDescent="0.25">
      <c r="A116" s="3" t="s">
        <v>72</v>
      </c>
      <c r="B116" s="29"/>
      <c r="C116" s="3" t="str">
        <f>CONCATENATE("  &lt;Analysis name=",CHAR(34),B114,CHAR(34))</f>
        <v xml:space="preserve">  &lt;Analysis name="C62T (C;T)"</v>
      </c>
      <c r="J116" s="3" t="str">
        <f t="shared" ref="J116:M123" si="18">J94</f>
        <v>Variant</v>
      </c>
      <c r="K116" s="15" t="str">
        <f t="shared" si="18"/>
        <v>[19951271G&gt;A]</v>
      </c>
      <c r="L116" s="22" t="str">
        <f t="shared" si="18"/>
        <v>[19950235C&gt;T]</v>
      </c>
      <c r="M116" s="3" t="str">
        <f t="shared" si="18"/>
        <v>[19931407T&gt;C]</v>
      </c>
      <c r="P116" s="3" t="s">
        <v>72</v>
      </c>
      <c r="Q116" s="29"/>
      <c r="R116" s="3" t="str">
        <f>CONCATENATE("  &lt;Analysis name=",CHAR(34),Q114,CHAR(34))</f>
        <v xml:space="preserve">  &lt;Analysis name="T19950010G (T;G)"</v>
      </c>
      <c r="Y116" s="3" t="str">
        <f t="shared" ref="Y116:AB116" si="19">Y94</f>
        <v>Variant</v>
      </c>
      <c r="Z116" s="15" t="str">
        <f t="shared" si="19"/>
        <v>[19948337T&gt;C]</v>
      </c>
      <c r="AA116" s="22" t="str">
        <f t="shared" si="19"/>
        <v>[19937533T&gt;G]</v>
      </c>
      <c r="AB116" s="3">
        <f t="shared" si="19"/>
        <v>0</v>
      </c>
    </row>
    <row r="117" spans="1:28" x14ac:dyDescent="0.25">
      <c r="A117" s="5" t="s">
        <v>27</v>
      </c>
      <c r="B117" s="2" t="str">
        <f>CONCATENATE("People with this variant have one copy of the ",B31," variant. This substitution of a single nucleotide is known as a missense mutation.")</f>
        <v>People with this variant have one copy of the [C62T](https://www.ncbi.nlm.nih.gov/pubmed/26891941) variant. This substitution of a single nucleotide is known as a missense mutation.</v>
      </c>
      <c r="C117" s="3" t="str">
        <f>CONCATENATE("            case={  variantCall ",CHAR(40),CHAR(34),L118,CHAR(34),CHAR(41))</f>
        <v xml:space="preserve">            case={  variantCall ("NC_000022.10:g.[19950235C&gt;T];[19950235=]")</v>
      </c>
      <c r="J117" s="3" t="str">
        <f t="shared" si="18"/>
        <v>Wildtype</v>
      </c>
      <c r="K117" s="15" t="str">
        <f t="shared" si="18"/>
        <v>[19951271=]</v>
      </c>
      <c r="L117" s="22" t="str">
        <f t="shared" si="18"/>
        <v>[19950235=]</v>
      </c>
      <c r="M117" s="3" t="str">
        <f t="shared" si="18"/>
        <v>[19931407=]</v>
      </c>
      <c r="P117" s="5" t="s">
        <v>27</v>
      </c>
      <c r="Q117" s="2" t="str">
        <f>CONCATENATE("People with this variant have one copy of the ",Q31," variant. This substitution of a single nucleotide is known as a missense mutation.")</f>
        <v>People with this variant have one copy of the [T19950010G](https://www.ncbi.nlm.nih.gov/pubmed/19540336) variant. This substitution of a single nucleotide is known as a missense mutation.</v>
      </c>
      <c r="R117" s="3" t="str">
        <f>CONCATENATE("            case={  variantCall ",CHAR(40),CHAR(34),AA118,CHAR(34),CHAR(41))</f>
        <v xml:space="preserve">            case={  variantCall ("NC_000022.10:g.[19937533T&gt;G];[19937533=]")</v>
      </c>
      <c r="Y117" s="3" t="str">
        <f t="shared" ref="Y117:AB117" si="20">Y95</f>
        <v>Wildtype</v>
      </c>
      <c r="Z117" s="15" t="str">
        <f t="shared" si="20"/>
        <v>[19948337=]</v>
      </c>
      <c r="AA117" s="22" t="str">
        <f t="shared" si="20"/>
        <v>[19937533=]</v>
      </c>
      <c r="AB117" s="3">
        <f t="shared" si="20"/>
        <v>0</v>
      </c>
    </row>
    <row r="118" spans="1:28" x14ac:dyDescent="0.25">
      <c r="A118" s="1" t="s">
        <v>28</v>
      </c>
      <c r="B118" s="2" t="s">
        <v>291</v>
      </c>
      <c r="C118" s="3" t="s">
        <v>71</v>
      </c>
      <c r="J118" s="3" t="str">
        <f t="shared" si="18"/>
        <v>Het</v>
      </c>
      <c r="K118" s="15" t="str">
        <f t="shared" si="18"/>
        <v>NC_000022.10:g.[19951271G&gt;A];[19951271=]</v>
      </c>
      <c r="L118" s="15" t="str">
        <f t="shared" si="18"/>
        <v>NC_000022.10:g.[19950235C&gt;T];[19950235=]</v>
      </c>
      <c r="M118" s="3" t="str">
        <f t="shared" si="18"/>
        <v>NC_000022.10:g.[19931407T&gt;C];[19931407=]</v>
      </c>
      <c r="P118" s="1" t="s">
        <v>28</v>
      </c>
      <c r="Q118" s="2" t="s">
        <v>294</v>
      </c>
      <c r="R118" s="3" t="s">
        <v>71</v>
      </c>
      <c r="Y118" s="3" t="str">
        <f t="shared" ref="Y118:AB118" si="21">Y96</f>
        <v>Het</v>
      </c>
      <c r="Z118" s="15" t="str">
        <f t="shared" si="21"/>
        <v>NC_000022.10:g.[19948337T&gt;C];[19948337=]</v>
      </c>
      <c r="AA118" s="15" t="str">
        <f t="shared" si="21"/>
        <v>NC_000022.10:g.[19937533T&gt;G];[19937533=]</v>
      </c>
      <c r="AB118" s="3" t="str">
        <f t="shared" si="21"/>
        <v>00;0</v>
      </c>
    </row>
    <row r="119" spans="1:28" x14ac:dyDescent="0.25">
      <c r="A119" s="3" t="s">
        <v>73</v>
      </c>
      <c r="B119" s="29">
        <f>L77</f>
        <v>1.8</v>
      </c>
      <c r="C119" s="3" t="str">
        <f>CONCATENATE("                    ",CHAR(40),"variantCall ",CHAR(40),CHAR(34),M119,CHAR(34),CHAR(41)," or variantCall ",CHAR(40),CHAR(34),M120,CHAR(34),CHAR(41),CHAR(41))</f>
        <v xml:space="preserve">                    (variantCall ("NC_000022.10:g.[19931407T&gt;C];[19931407T&gt;C]") or variantCall ("NC_000022.10:g.[19931407=];[19931407=]"))</v>
      </c>
      <c r="J119" s="3" t="str">
        <f t="shared" si="18"/>
        <v>Homo</v>
      </c>
      <c r="K119" s="15" t="str">
        <f t="shared" si="18"/>
        <v>NC_000022.10:g.[19951271G&gt;A];[19951271G&gt;A]</v>
      </c>
      <c r="L119" s="15" t="str">
        <f t="shared" si="18"/>
        <v>NC_000022.10:g.[19950235C&gt;T];[19950235C&gt;T]</v>
      </c>
      <c r="M119" s="3" t="str">
        <f t="shared" si="18"/>
        <v>NC_000022.10:g.[19931407T&gt;C];[19931407T&gt;C]</v>
      </c>
      <c r="P119" s="3" t="s">
        <v>73</v>
      </c>
      <c r="Q119" s="29">
        <f>AA77</f>
        <v>1.8</v>
      </c>
      <c r="R119" s="3" t="str">
        <f>CONCATENATE("                    ",CHAR(40),"variantCall ",CHAR(40),CHAR(34),AB119,CHAR(34),CHAR(41)," or variantCall ",CHAR(40),CHAR(34),AB120,CHAR(34),CHAR(41),CHAR(41))</f>
        <v xml:space="preserve">                    (variantCall ("00;0") or variantCall ("00;0"))</v>
      </c>
      <c r="Y119" s="3" t="str">
        <f t="shared" ref="Y119:AB119" si="22">Y97</f>
        <v>Homo</v>
      </c>
      <c r="Z119" s="15" t="str">
        <f t="shared" si="22"/>
        <v>NC_000022.10:g.[19948337T&gt;C];[19948337T&gt;C]</v>
      </c>
      <c r="AA119" s="15" t="str">
        <f t="shared" si="22"/>
        <v>NC_000022.10:g.[19937533T&gt;G];[19937533T&gt;G]</v>
      </c>
      <c r="AB119" s="3" t="str">
        <f t="shared" si="22"/>
        <v>00;0</v>
      </c>
    </row>
    <row r="120" spans="1:28" x14ac:dyDescent="0.25">
      <c r="B120" s="29"/>
      <c r="C120" s="3" t="s">
        <v>71</v>
      </c>
      <c r="J120" s="3" t="str">
        <f t="shared" si="18"/>
        <v>Wildtype</v>
      </c>
      <c r="K120" s="2" t="str">
        <f t="shared" si="18"/>
        <v>NC_000022.10:g.[19951271=];[19951271=]</v>
      </c>
      <c r="L120" s="2" t="str">
        <f t="shared" si="18"/>
        <v>NC_000022.10:g.[19950235=];[19950235=]</v>
      </c>
      <c r="M120" s="3" t="str">
        <f t="shared" si="18"/>
        <v>NC_000022.10:g.[19931407=];[19931407=]</v>
      </c>
      <c r="Q120" s="29"/>
      <c r="R120" s="3" t="s">
        <v>71</v>
      </c>
      <c r="Y120" s="3" t="str">
        <f t="shared" ref="Y120:AB120" si="23">Y98</f>
        <v>Wildtype</v>
      </c>
      <c r="Z120" s="2" t="str">
        <f t="shared" si="23"/>
        <v>NC_000022.10:g.[19948337=];[19948337=]</v>
      </c>
      <c r="AA120" s="2" t="str">
        <f t="shared" si="23"/>
        <v>NC_000022.10:g.[19937533=];[19937533=]</v>
      </c>
      <c r="AB120" s="3" t="str">
        <f t="shared" si="23"/>
        <v>00;0</v>
      </c>
    </row>
    <row r="121" spans="1:28" x14ac:dyDescent="0.25">
      <c r="B121" s="29"/>
      <c r="C121" s="3" t="str">
        <f>CONCATENATE("                    variantCall ",CHAR(40),CHAR(34),K120,CHAR(34),CHAR(41))</f>
        <v xml:space="preserve">                    variantCall ("NC_000022.10:g.[19951271=];[19951271=]")</v>
      </c>
      <c r="J121" s="3" t="str">
        <f t="shared" si="18"/>
        <v>Het%</v>
      </c>
      <c r="K121" s="15">
        <f t="shared" si="18"/>
        <v>43</v>
      </c>
      <c r="L121" s="15">
        <f t="shared" si="18"/>
        <v>1.8</v>
      </c>
      <c r="M121" s="3">
        <f t="shared" si="18"/>
        <v>15.8</v>
      </c>
      <c r="Q121" s="29"/>
      <c r="R121" s="3" t="str">
        <f>CONCATENATE("                    variantCall ",CHAR(40),CHAR(34),Z120,CHAR(34),CHAR(41))</f>
        <v xml:space="preserve">                    variantCall ("NC_000022.10:g.[19948337=];[19948337=]")</v>
      </c>
      <c r="Y121" s="3" t="str">
        <f t="shared" ref="Y121:AB121" si="24">Y99</f>
        <v>Het%</v>
      </c>
      <c r="Z121" s="15">
        <f t="shared" si="24"/>
        <v>43</v>
      </c>
      <c r="AA121" s="15">
        <f t="shared" si="24"/>
        <v>1.8</v>
      </c>
      <c r="AB121" s="3">
        <f t="shared" si="24"/>
        <v>15.8</v>
      </c>
    </row>
    <row r="122" spans="1:28" x14ac:dyDescent="0.25">
      <c r="C122" s="3" t="str">
        <f>CONCATENATE("                  } &gt; ")</f>
        <v xml:space="preserve">                  } &gt; </v>
      </c>
      <c r="J122" s="3" t="str">
        <f t="shared" si="18"/>
        <v>Homo%</v>
      </c>
      <c r="K122" s="2">
        <f t="shared" si="18"/>
        <v>19.899999999999999</v>
      </c>
      <c r="L122" s="2">
        <f t="shared" si="18"/>
        <v>0.5</v>
      </c>
      <c r="M122" s="3">
        <f t="shared" si="18"/>
        <v>4.7</v>
      </c>
      <c r="Q122" s="15"/>
      <c r="R122" s="3" t="str">
        <f>CONCATENATE("                  } &gt; ")</f>
        <v xml:space="preserve">                  } &gt; </v>
      </c>
      <c r="Y122" s="3" t="str">
        <f t="shared" ref="Y122:AB122" si="25">Y100</f>
        <v>Homo%</v>
      </c>
      <c r="Z122" s="2">
        <f t="shared" si="25"/>
        <v>19.899999999999999</v>
      </c>
      <c r="AA122" s="2">
        <f t="shared" si="25"/>
        <v>0.5</v>
      </c>
      <c r="AB122" s="3">
        <f t="shared" si="25"/>
        <v>4.7</v>
      </c>
    </row>
    <row r="123" spans="1:28" x14ac:dyDescent="0.25">
      <c r="J123" s="3" t="str">
        <f t="shared" si="18"/>
        <v>Wildtype%</v>
      </c>
      <c r="K123" s="2">
        <f t="shared" si="18"/>
        <v>37.1</v>
      </c>
      <c r="L123" s="2">
        <f t="shared" si="18"/>
        <v>97.8</v>
      </c>
      <c r="M123" s="3">
        <f t="shared" si="18"/>
        <v>79.5</v>
      </c>
      <c r="Q123" s="15"/>
      <c r="Y123" s="3" t="str">
        <f t="shared" ref="Y123:AB123" si="26">Y101</f>
        <v>Wildtype%</v>
      </c>
      <c r="Z123" s="2">
        <f t="shared" si="26"/>
        <v>37.1</v>
      </c>
      <c r="AA123" s="2">
        <f t="shared" si="26"/>
        <v>97.8</v>
      </c>
      <c r="AB123" s="3">
        <f t="shared" si="26"/>
        <v>79.5</v>
      </c>
    </row>
    <row r="124" spans="1:28" x14ac:dyDescent="0.25">
      <c r="A124" s="14"/>
      <c r="C124" s="3" t="s">
        <v>26</v>
      </c>
      <c r="P124" s="14"/>
      <c r="Q124" s="15"/>
      <c r="R124" s="3" t="s">
        <v>26</v>
      </c>
    </row>
    <row r="125" spans="1:28" x14ac:dyDescent="0.25">
      <c r="A125" s="26"/>
      <c r="P125" s="26"/>
      <c r="Q125" s="15"/>
    </row>
    <row r="126" spans="1:28" x14ac:dyDescent="0.25">
      <c r="A126" s="14"/>
      <c r="C126" s="3" t="str">
        <f>CONCATENATE("    ",B117)</f>
        <v xml:space="preserve">    People with this variant have one copy of the [C62T](https://www.ncbi.nlm.nih.gov/pubmed/26891941) variant. This substitution of a single nucleotide is known as a missense mutation.</v>
      </c>
      <c r="P126" s="14"/>
      <c r="Q126" s="15"/>
      <c r="R126" s="3" t="str">
        <f>CONCATENATE("    ",Q117)</f>
        <v xml:space="preserve">    People with this variant have one copy of the [T19950010G](https://www.ncbi.nlm.nih.gov/pubmed/19540336) variant. This substitution of a single nucleotide is known as a missense mutation.</v>
      </c>
    </row>
    <row r="127" spans="1:28" x14ac:dyDescent="0.25">
      <c r="A127" s="14"/>
      <c r="P127" s="14"/>
      <c r="Q127" s="15"/>
    </row>
    <row r="128" spans="1:28" x14ac:dyDescent="0.25">
      <c r="A128" s="26"/>
      <c r="C128" s="3" t="s">
        <v>29</v>
      </c>
      <c r="P128" s="26"/>
      <c r="Q128" s="15"/>
      <c r="R128" s="3" t="s">
        <v>29</v>
      </c>
    </row>
    <row r="129" spans="1:28" x14ac:dyDescent="0.25">
      <c r="A129" s="14"/>
      <c r="P129" s="14"/>
      <c r="Q129" s="15"/>
    </row>
    <row r="130" spans="1:28" x14ac:dyDescent="0.25">
      <c r="A130" s="14"/>
      <c r="C130" s="3" t="str">
        <f>CONCATENATE(B118)</f>
        <v xml:space="preserve">    COMT’s estrogen detoxification function is slightly impaired, causing higher than normal levels of estrogen in the body. This may increase the risk for [endometrial](https://www.ncbi.nlm.nih.gov/pubmed/18324659?dopt=Abstract) and [breast cancer](https://www.ncbi.nlm.nih.gov/pubmed/18194538?dopt=Abstract). Slightly high [estrogen levels](https://medlineplus.gov/druginfo/meds/a682922.html) may increase the risk for heart problems and memory problems, and [symptoms](https://medlineplus.gov/druginfo/meds/a682922.html) may include headaches, dizziness, and problems with thinking or memory. 
    Female patients with ME/CFS may have [abnormal ovarian function](https://www.ncbi.nlm.nih.gov/pubmed/9790489) worsened by COMT variants, including polycystic ovarian syndrome (PCOS), hirsutism, and cysts. This may [increase the risk for ME/CFS](https://www.ncbi.nlm.nih.gov/pubmed/9790489) due to continued estrogen function and higher estrogen levels in the body. Higher levels may also be related to ME/CFS related malformed [estrogen receptors](https://www.ncbi.nlm.nih.gov/pubmed/16731592). The excess estrogen damages the ability of progesterone to aid and modulate the immune system during the menstrual cycle.
    # What should I do about this?
    - Regularly check for endometrial and breast cancer. 
    - Consult with your doctor to ensure you maintain normal estrogen levels. 
    - Drinking green tea may [reduce risk of breast cancer.](https://www.ncbi.nlm.nih.gov/pubmed/19074205?dopt=Abstract) 
    Medications related to COMT include: [Clonidine, BIA, Diethylstilbestrol, Dobutamine, Dopamine, Entacapone, Methyldopa, Micafungin, Nialamide, S-Adenosylmethionine, Testosterone Propionate, and Tolcapone.](http://www.uniprot.org/uniprot/P21964#pathology_and_biotech)</v>
      </c>
      <c r="P130" s="14"/>
      <c r="Q130" s="15"/>
      <c r="R130" s="3" t="str">
        <f>CONCATENATE(Q118)</f>
        <v xml:space="preserve">    This variant is associated with increased “oxidative stress,” which is caused by [free radicals](https://nccih.nih.gov/health/antioxidants/introduction.htm) triggering cell damage. The increased risk of oxidative stress also leads to [cancer](https://www.ncbi.nlm.nih.gov/pubmed/21716162). ME/CFS patients often show [increased oxidative stress](https://www.ncbi.nlm.nih.gov/pubmed/27580693) that can be measured as increased levels of [thiobarbituric acid reactive substances](https://www.ncbi.nlm.nih.gov/pubmed/19457057) (TBARS), an oxidative stress blood marker, and decreased [reduced ascorbic-acid](https://www.ncbi.nlm.nih.gov/pubmed/19457057) (RAA), an antioxidant defense marker. This is associated with [increased symptom severity](https://www.ncbi.nlm.nih.gov/pubmed/29065167) and muscle weakness.
    # What should I do about this?
    Oxidative stress may be mitigated through environmental changes, [antioxidants](https://nccih.nih.gov/health/antioxidants/introduction.htm), and dietary changes.
    - [Robuvit](https://www.robuvit.com/home/)® (oak wood extract) is effective in reducing [oxidative stress](https://www.ncbi.nlm.nih.gov/pubmed/29164838) and [fatigue](https://www.ncbi.nlm.nih.gov/pubmed/29719945), while improving cognition, sleep, and memory. Consider taking [300mg/day](https://www.minervamedica.it/en/journals/sports-med-physical-fitness/article.php?cod=R40Y2018N05A0678).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purple berries like blueberries and cranberries, orange and dark, leafy green vegetables like pumpkin and spinach, tomato, red grapes, and peanuts](https://www.fruitsandveggiesmorematters.org/what-are-phytochemicals).</v>
      </c>
    </row>
    <row r="131" spans="1:28" x14ac:dyDescent="0.25">
      <c r="A131" s="14"/>
      <c r="P131" s="14"/>
      <c r="Q131" s="15"/>
    </row>
    <row r="132" spans="1:28" x14ac:dyDescent="0.25">
      <c r="A132" s="14"/>
      <c r="C132" s="3" t="s">
        <v>30</v>
      </c>
      <c r="P132" s="14"/>
      <c r="Q132" s="15"/>
      <c r="R132" s="3" t="s">
        <v>30</v>
      </c>
    </row>
    <row r="133" spans="1:28" x14ac:dyDescent="0.25">
      <c r="A133" s="26"/>
      <c r="P133" s="26"/>
      <c r="Q133" s="15"/>
    </row>
    <row r="134" spans="1:28" x14ac:dyDescent="0.25">
      <c r="A134" s="26"/>
      <c r="C134" s="3" t="str">
        <f>CONCATENATE( "    &lt;piechart percentage=",B119," /&gt;")</f>
        <v xml:space="preserve">    &lt;piechart percentage=1.8 /&gt;</v>
      </c>
      <c r="P134" s="26"/>
      <c r="Q134" s="15"/>
      <c r="R134" s="3" t="str">
        <f>CONCATENATE( "    &lt;piechart percentage=",Q119," /&gt;")</f>
        <v xml:space="preserve">    &lt;piechart percentage=1.8 /&gt;</v>
      </c>
    </row>
    <row r="135" spans="1:28" x14ac:dyDescent="0.25">
      <c r="A135" s="26"/>
      <c r="C135" s="3" t="str">
        <f>"  &lt;/Analysis&gt;"</f>
        <v xml:space="preserve">  &lt;/Analysis&gt;</v>
      </c>
      <c r="K135" s="3" t="str">
        <f t="shared" ref="K135:M135" si="27">K113</f>
        <v>rs6691840</v>
      </c>
      <c r="L135" s="3" t="str">
        <f t="shared" si="27"/>
        <v>rs3913434</v>
      </c>
      <c r="M135" s="3" t="str">
        <f t="shared" si="27"/>
        <v>rs270838</v>
      </c>
      <c r="P135" s="26"/>
      <c r="Q135" s="15"/>
      <c r="R135" s="3" t="str">
        <f>"  &lt;/Analysis&gt;"</f>
        <v xml:space="preserve">  &lt;/Analysis&gt;</v>
      </c>
      <c r="Z135" s="3">
        <f t="shared" ref="Z135:AB135" si="28">Z113</f>
        <v>0</v>
      </c>
      <c r="AA135" s="3">
        <f t="shared" si="28"/>
        <v>0</v>
      </c>
      <c r="AB135" s="3">
        <f t="shared" si="28"/>
        <v>0</v>
      </c>
    </row>
    <row r="136" spans="1:28" s="21" customFormat="1" x14ac:dyDescent="0.25">
      <c r="A136" s="28" t="s">
        <v>70</v>
      </c>
      <c r="B136" s="20" t="str">
        <f>CONCATENATE(B28," (T;T)")</f>
        <v>C62T (T;T)</v>
      </c>
      <c r="C136" s="21" t="str">
        <f>CONCATENATE("&lt;# ",B136," #&gt;")</f>
        <v>&lt;# C62T (T;T) #&gt;</v>
      </c>
      <c r="K136" s="21" t="str">
        <f t="shared" ref="K136:M136" si="29">K114</f>
        <v>G158A</v>
      </c>
      <c r="L136" s="21" t="str">
        <f t="shared" si="29"/>
        <v>C62T</v>
      </c>
      <c r="M136" s="21" t="str">
        <f t="shared" si="29"/>
        <v>T19943884C</v>
      </c>
      <c r="P136" s="28" t="s">
        <v>70</v>
      </c>
      <c r="Q136" s="20" t="str">
        <f>CONCATENATE(Q50," (C;T)")</f>
        <v xml:space="preserve"> (C;T)</v>
      </c>
      <c r="R136" s="21" t="str">
        <f>CONCATENATE("&lt;# ",Q136," #&gt;")</f>
        <v>&lt;#  (C;T) #&gt;</v>
      </c>
      <c r="Z136" s="21" t="str">
        <f t="shared" ref="Z136:AB136" si="30">Z114</f>
        <v>T19960814C</v>
      </c>
      <c r="AA136" s="21" t="str">
        <f t="shared" si="30"/>
        <v>T19950010G</v>
      </c>
      <c r="AB136" s="21">
        <f t="shared" si="30"/>
        <v>0</v>
      </c>
    </row>
    <row r="137" spans="1:28" s="10" customFormat="1" x14ac:dyDescent="0.25">
      <c r="A137" s="3" t="s">
        <v>21</v>
      </c>
      <c r="B137" s="29" t="str">
        <f>L142</f>
        <v>NC_000022.10:g.[19950235=];[19950235=]</v>
      </c>
      <c r="J137" s="3"/>
      <c r="K137" s="22" t="str">
        <f t="shared" ref="K137:M137" si="31">K115</f>
        <v>NC_000022.10:g.</v>
      </c>
      <c r="L137" s="22" t="str">
        <f t="shared" si="31"/>
        <v>NC_000022.10:g.</v>
      </c>
      <c r="M137" s="10" t="str">
        <f t="shared" si="31"/>
        <v>NC_000022.10:g.</v>
      </c>
      <c r="P137" s="3" t="s">
        <v>21</v>
      </c>
      <c r="Q137" s="29" t="str">
        <f>AA140</f>
        <v>NC_000022.10:g.[19937533T&gt;G];[19937533=]</v>
      </c>
      <c r="Y137" s="3"/>
      <c r="Z137" s="22" t="str">
        <f t="shared" ref="Z137:AB137" si="32">Z115</f>
        <v>NC_000022.10:g.</v>
      </c>
      <c r="AA137" s="22" t="str">
        <f t="shared" si="32"/>
        <v>NC_000022.10:g.</v>
      </c>
      <c r="AB137" s="10">
        <f t="shared" si="32"/>
        <v>0</v>
      </c>
    </row>
    <row r="138" spans="1:28" x14ac:dyDescent="0.25">
      <c r="A138" s="3" t="s">
        <v>72</v>
      </c>
      <c r="B138" s="29"/>
      <c r="C138" s="3" t="str">
        <f>CONCATENATE("  &lt;Analysis name=",CHAR(34),B136,CHAR(34))</f>
        <v xml:space="preserve">  &lt;Analysis name="C62T (T;T)"</v>
      </c>
      <c r="J138" s="3" t="str">
        <f t="shared" ref="J138:M138" si="33">J116</f>
        <v>Variant</v>
      </c>
      <c r="K138" s="15" t="str">
        <f t="shared" si="33"/>
        <v>[19951271G&gt;A]</v>
      </c>
      <c r="L138" s="22" t="str">
        <f t="shared" si="33"/>
        <v>[19950235C&gt;T]</v>
      </c>
      <c r="M138" s="3" t="str">
        <f t="shared" si="33"/>
        <v>[19931407T&gt;C]</v>
      </c>
      <c r="P138" s="3" t="s">
        <v>72</v>
      </c>
      <c r="Q138" s="29"/>
      <c r="R138" s="3" t="str">
        <f>CONCATENATE("  &lt;Analysis name=",CHAR(34),Q136,CHAR(34))</f>
        <v xml:space="preserve">  &lt;Analysis name=" (C;T)"</v>
      </c>
      <c r="Y138" s="3" t="str">
        <f t="shared" ref="Y138:AB138" si="34">Y116</f>
        <v>Variant</v>
      </c>
      <c r="Z138" s="15" t="str">
        <f t="shared" si="34"/>
        <v>[19948337T&gt;C]</v>
      </c>
      <c r="AA138" s="22" t="str">
        <f t="shared" si="34"/>
        <v>[19937533T&gt;G]</v>
      </c>
      <c r="AB138" s="3">
        <f t="shared" si="34"/>
        <v>0</v>
      </c>
    </row>
    <row r="139" spans="1:28" x14ac:dyDescent="0.25">
      <c r="A139" s="5" t="s">
        <v>27</v>
      </c>
      <c r="B139" s="2" t="str">
        <f>CONCATENATE("People with this variant have two copies of the ",B31," variant. This substitution of a single nucleotide is known as a missense mutation.")</f>
        <v>People with this variant have two copies of the [C62T](https://www.ncbi.nlm.nih.gov/pubmed/26891941) variant. This substitution of a single nucleotide is known as a missense mutation.</v>
      </c>
      <c r="C139" s="3" t="str">
        <f>CONCATENATE("            case={  variantCall ",CHAR(40),CHAR(34),L140,CHAR(34),CHAR(41))</f>
        <v xml:space="preserve">            case={  variantCall ("NC_000022.10:g.[19950235C&gt;T];[19950235=]")</v>
      </c>
      <c r="J139" s="3" t="str">
        <f t="shared" ref="J139:M139" si="35">J117</f>
        <v>Wildtype</v>
      </c>
      <c r="K139" s="15" t="str">
        <f t="shared" si="35"/>
        <v>[19951271=]</v>
      </c>
      <c r="L139" s="22" t="str">
        <f t="shared" si="35"/>
        <v>[19950235=]</v>
      </c>
      <c r="M139" s="3" t="str">
        <f t="shared" si="35"/>
        <v>[19931407=]</v>
      </c>
      <c r="P139" s="5" t="s">
        <v>27</v>
      </c>
      <c r="Q139" s="2" t="str">
        <f>CONCATENATE("People with this variant have one copy of the ",Q53," variant. This substitution of a single nucleotide is known as a missense mutation.")</f>
        <v>People with this variant have one copy of the 40.9 variant. This substitution of a single nucleotide is known as a missense mutation.</v>
      </c>
      <c r="R139" s="3" t="str">
        <f>CONCATENATE("            case={  variantCall ",CHAR(40),CHAR(34),AA140,CHAR(34),CHAR(41))</f>
        <v xml:space="preserve">            case={  variantCall ("NC_000022.10:g.[19937533T&gt;G];[19937533=]")</v>
      </c>
      <c r="Y139" s="3" t="str">
        <f t="shared" ref="Y139:AB139" si="36">Y117</f>
        <v>Wildtype</v>
      </c>
      <c r="Z139" s="15" t="str">
        <f t="shared" si="36"/>
        <v>[19948337=]</v>
      </c>
      <c r="AA139" s="22" t="str">
        <f t="shared" si="36"/>
        <v>[19937533=]</v>
      </c>
      <c r="AB139" s="3">
        <f t="shared" si="36"/>
        <v>0</v>
      </c>
    </row>
    <row r="140" spans="1:28" x14ac:dyDescent="0.25">
      <c r="A140" s="1" t="s">
        <v>28</v>
      </c>
      <c r="B140" s="2" t="s">
        <v>293</v>
      </c>
      <c r="C140" s="3" t="s">
        <v>71</v>
      </c>
      <c r="J140" s="3" t="str">
        <f t="shared" ref="J140:M140" si="37">J118</f>
        <v>Het</v>
      </c>
      <c r="K140" s="15" t="str">
        <f t="shared" si="37"/>
        <v>NC_000022.10:g.[19951271G&gt;A];[19951271=]</v>
      </c>
      <c r="L140" s="15" t="str">
        <f t="shared" si="37"/>
        <v>NC_000022.10:g.[19950235C&gt;T];[19950235=]</v>
      </c>
      <c r="M140" s="3" t="str">
        <f t="shared" si="37"/>
        <v>NC_000022.10:g.[19931407T&gt;C];[19931407=]</v>
      </c>
      <c r="P140" s="1" t="s">
        <v>28</v>
      </c>
      <c r="Q140" s="15" t="s">
        <v>113</v>
      </c>
      <c r="R140" s="3" t="s">
        <v>71</v>
      </c>
      <c r="Y140" s="3" t="str">
        <f t="shared" ref="Y140:AB140" si="38">Y118</f>
        <v>Het</v>
      </c>
      <c r="Z140" s="15" t="str">
        <f t="shared" si="38"/>
        <v>NC_000022.10:g.[19948337T&gt;C];[19948337=]</v>
      </c>
      <c r="AA140" s="15" t="str">
        <f t="shared" si="38"/>
        <v>NC_000022.10:g.[19937533T&gt;G];[19937533=]</v>
      </c>
      <c r="AB140" s="3" t="str">
        <f t="shared" si="38"/>
        <v>00;0</v>
      </c>
    </row>
    <row r="141" spans="1:28" x14ac:dyDescent="0.25">
      <c r="A141" s="3" t="s">
        <v>73</v>
      </c>
      <c r="B141" s="29">
        <f>L144</f>
        <v>0.5</v>
      </c>
      <c r="C141" s="3" t="str">
        <f>CONCATENATE("                    ",CHAR(40),"variantCall ",CHAR(40),CHAR(34),M141,CHAR(34),CHAR(41)," or variantCall ",CHAR(40),CHAR(34),M142,CHAR(34),CHAR(41),CHAR(41))</f>
        <v xml:space="preserve">                    (variantCall ("NC_000022.10:g.[19931407T&gt;C];[19931407T&gt;C]") or variantCall ("NC_000022.10:g.[19931407=];[19931407=]"))</v>
      </c>
      <c r="J141" s="3" t="str">
        <f t="shared" ref="J141:M141" si="39">J119</f>
        <v>Homo</v>
      </c>
      <c r="K141" s="15" t="str">
        <f t="shared" si="39"/>
        <v>NC_000022.10:g.[19951271G&gt;A];[19951271G&gt;A]</v>
      </c>
      <c r="L141" s="15" t="str">
        <f t="shared" si="39"/>
        <v>NC_000022.10:g.[19950235C&gt;T];[19950235C&gt;T]</v>
      </c>
      <c r="M141" s="3" t="str">
        <f t="shared" si="39"/>
        <v>NC_000022.10:g.[19931407T&gt;C];[19931407T&gt;C]</v>
      </c>
      <c r="P141" s="3" t="s">
        <v>73</v>
      </c>
      <c r="Q141" s="29">
        <f>AA99</f>
        <v>1.8</v>
      </c>
      <c r="R141" s="3" t="str">
        <f>CONCATENATE("                    ",CHAR(40),"variantCall ",CHAR(40),CHAR(34),AB141,CHAR(34),CHAR(41)," or variantCall ",CHAR(40),CHAR(34),AB142,CHAR(34),CHAR(41),CHAR(41))</f>
        <v xml:space="preserve">                    (variantCall ("00;0") or variantCall ("00;0"))</v>
      </c>
      <c r="Y141" s="3" t="str">
        <f t="shared" ref="Y141:AB141" si="40">Y119</f>
        <v>Homo</v>
      </c>
      <c r="Z141" s="15" t="str">
        <f t="shared" si="40"/>
        <v>NC_000022.10:g.[19948337T&gt;C];[19948337T&gt;C]</v>
      </c>
      <c r="AA141" s="15" t="str">
        <f t="shared" si="40"/>
        <v>NC_000022.10:g.[19937533T&gt;G];[19937533T&gt;G]</v>
      </c>
      <c r="AB141" s="3" t="str">
        <f t="shared" si="40"/>
        <v>00;0</v>
      </c>
    </row>
    <row r="142" spans="1:28" x14ac:dyDescent="0.25">
      <c r="B142" s="29"/>
      <c r="C142" s="3" t="s">
        <v>71</v>
      </c>
      <c r="J142" s="3" t="str">
        <f t="shared" ref="J142:M142" si="41">J120</f>
        <v>Wildtype</v>
      </c>
      <c r="K142" s="2" t="str">
        <f t="shared" si="41"/>
        <v>NC_000022.10:g.[19951271=];[19951271=]</v>
      </c>
      <c r="L142" s="2" t="str">
        <f t="shared" si="41"/>
        <v>NC_000022.10:g.[19950235=];[19950235=]</v>
      </c>
      <c r="M142" s="3" t="str">
        <f t="shared" si="41"/>
        <v>NC_000022.10:g.[19931407=];[19931407=]</v>
      </c>
      <c r="Q142" s="29"/>
      <c r="R142" s="3" t="s">
        <v>71</v>
      </c>
      <c r="Y142" s="3" t="str">
        <f t="shared" ref="Y142:AB142" si="42">Y120</f>
        <v>Wildtype</v>
      </c>
      <c r="Z142" s="2" t="str">
        <f t="shared" si="42"/>
        <v>NC_000022.10:g.[19948337=];[19948337=]</v>
      </c>
      <c r="AA142" s="2" t="str">
        <f t="shared" si="42"/>
        <v>NC_000022.10:g.[19937533=];[19937533=]</v>
      </c>
      <c r="AB142" s="3" t="str">
        <f t="shared" si="42"/>
        <v>00;0</v>
      </c>
    </row>
    <row r="143" spans="1:28" x14ac:dyDescent="0.25">
      <c r="B143" s="29"/>
      <c r="C143" s="3" t="str">
        <f>CONCATENATE("                    variantCall ",CHAR(40),CHAR(34),K142,CHAR(34),CHAR(41))</f>
        <v xml:space="preserve">                    variantCall ("NC_000022.10:g.[19951271=];[19951271=]")</v>
      </c>
      <c r="J143" s="3" t="str">
        <f t="shared" ref="J143:M143" si="43">J121</f>
        <v>Het%</v>
      </c>
      <c r="K143" s="15">
        <f t="shared" si="43"/>
        <v>43</v>
      </c>
      <c r="L143" s="15">
        <f t="shared" si="43"/>
        <v>1.8</v>
      </c>
      <c r="M143" s="3">
        <f t="shared" si="43"/>
        <v>15.8</v>
      </c>
      <c r="Q143" s="29"/>
      <c r="R143" s="3" t="str">
        <f>CONCATENATE("                    variantCall ",CHAR(40),CHAR(34),Z142,CHAR(34),CHAR(41))</f>
        <v xml:space="preserve">                    variantCall ("NC_000022.10:g.[19948337=];[19948337=]")</v>
      </c>
      <c r="Y143" s="3" t="str">
        <f t="shared" ref="Y143:AB143" si="44">Y121</f>
        <v>Het%</v>
      </c>
      <c r="Z143" s="15">
        <f t="shared" si="44"/>
        <v>43</v>
      </c>
      <c r="AA143" s="15">
        <f t="shared" si="44"/>
        <v>1.8</v>
      </c>
      <c r="AB143" s="3">
        <f t="shared" si="44"/>
        <v>15.8</v>
      </c>
    </row>
    <row r="144" spans="1:28" x14ac:dyDescent="0.25">
      <c r="C144" s="3" t="str">
        <f>CONCATENATE("                  } &gt; ")</f>
        <v xml:space="preserve">                  } &gt; </v>
      </c>
      <c r="J144" s="3" t="str">
        <f t="shared" ref="J144:M144" si="45">J122</f>
        <v>Homo%</v>
      </c>
      <c r="K144" s="2">
        <f t="shared" si="45"/>
        <v>19.899999999999999</v>
      </c>
      <c r="L144" s="2">
        <f t="shared" si="45"/>
        <v>0.5</v>
      </c>
      <c r="M144" s="3">
        <f t="shared" si="45"/>
        <v>4.7</v>
      </c>
      <c r="Q144" s="15"/>
      <c r="R144" s="3" t="str">
        <f>CONCATENATE("                  } &gt; ")</f>
        <v xml:space="preserve">                  } &gt; </v>
      </c>
      <c r="Y144" s="3" t="str">
        <f t="shared" ref="Y144:AB144" si="46">Y122</f>
        <v>Homo%</v>
      </c>
      <c r="Z144" s="2">
        <f t="shared" si="46"/>
        <v>19.899999999999999</v>
      </c>
      <c r="AA144" s="2">
        <f t="shared" si="46"/>
        <v>0.5</v>
      </c>
      <c r="AB144" s="3">
        <f t="shared" si="46"/>
        <v>4.7</v>
      </c>
    </row>
    <row r="145" spans="1:28" x14ac:dyDescent="0.25">
      <c r="J145" s="3" t="str">
        <f t="shared" ref="J145:M145" si="47">J123</f>
        <v>Wildtype%</v>
      </c>
      <c r="K145" s="2">
        <f t="shared" si="47"/>
        <v>37.1</v>
      </c>
      <c r="L145" s="2">
        <f t="shared" si="47"/>
        <v>97.8</v>
      </c>
      <c r="M145" s="3">
        <f t="shared" si="47"/>
        <v>79.5</v>
      </c>
      <c r="Q145" s="15"/>
      <c r="Y145" s="3" t="str">
        <f t="shared" ref="Y145:AB145" si="48">Y123</f>
        <v>Wildtype%</v>
      </c>
      <c r="Z145" s="2">
        <f t="shared" si="48"/>
        <v>37.1</v>
      </c>
      <c r="AA145" s="2">
        <f t="shared" si="48"/>
        <v>97.8</v>
      </c>
      <c r="AB145" s="3">
        <f t="shared" si="48"/>
        <v>79.5</v>
      </c>
    </row>
    <row r="146" spans="1:28" x14ac:dyDescent="0.25">
      <c r="A146" s="14"/>
      <c r="C146" s="3" t="s">
        <v>26</v>
      </c>
      <c r="P146" s="14"/>
      <c r="Q146" s="15"/>
      <c r="R146" s="3" t="s">
        <v>26</v>
      </c>
    </row>
    <row r="147" spans="1:28" x14ac:dyDescent="0.25">
      <c r="A147" s="26"/>
      <c r="P147" s="26"/>
      <c r="Q147" s="15"/>
    </row>
    <row r="148" spans="1:28" x14ac:dyDescent="0.25">
      <c r="A148" s="14"/>
      <c r="C148" s="3" t="str">
        <f>CONCATENATE("    ",B139)</f>
        <v xml:space="preserve">    People with this variant have two copies of the [C62T](https://www.ncbi.nlm.nih.gov/pubmed/26891941) variant. This substitution of a single nucleotide is known as a missense mutation.</v>
      </c>
      <c r="P148" s="14"/>
      <c r="Q148" s="15"/>
      <c r="R148" s="3" t="str">
        <f>CONCATENATE("    ",Q139)</f>
        <v xml:space="preserve">    People with this variant have one copy of the 40.9 variant. This substitution of a single nucleotide is known as a missense mutation.</v>
      </c>
    </row>
    <row r="149" spans="1:28" x14ac:dyDescent="0.25">
      <c r="A149" s="14"/>
      <c r="P149" s="14"/>
      <c r="Q149" s="15"/>
    </row>
    <row r="150" spans="1:28" x14ac:dyDescent="0.25">
      <c r="A150" s="26"/>
      <c r="C150" s="3" t="s">
        <v>29</v>
      </c>
      <c r="P150" s="26"/>
      <c r="Q150" s="15"/>
      <c r="R150" s="3" t="s">
        <v>29</v>
      </c>
    </row>
    <row r="151" spans="1:28" x14ac:dyDescent="0.25">
      <c r="A151" s="14"/>
      <c r="P151" s="14"/>
      <c r="Q151" s="15"/>
    </row>
    <row r="152" spans="1:28" x14ac:dyDescent="0.25">
      <c r="A152" s="14"/>
      <c r="C152" s="3" t="str">
        <f>CONCATENATE(B140)</f>
        <v xml:space="preserve">    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
    Female patients with ME/CFS may have [abnormal ovarian function](https://www.ncbi.nlm.nih.gov/pubmed/9790489) worsened by COMT variants, including polycystic ovarian syndrome (PCOS), hirsutism, and cysts. This may [increase the risk for ME/CFS](https://www.ncbi.nlm.nih.gov/pubmed/9790489) due to continued estrogen function and higher estrogen levels in the body. Higher levels may also be related to ME/CFS related malformed [estrogen receptors](https://www.ncbi.nlm.nih.gov/pubmed/16731592). The excess estrogen damages the ability of progesterone to aid and modulate the immune system during the menstrual cycle.
    # What should I do about this?
    -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c r="P152" s="14"/>
      <c r="Q152" s="15"/>
      <c r="R152" s="3" t="str">
        <f>CONCATENATE(Q140)</f>
        <v>This variant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153" spans="1:28" x14ac:dyDescent="0.25">
      <c r="A153" s="14"/>
      <c r="P153" s="14"/>
      <c r="Q153" s="15"/>
    </row>
    <row r="154" spans="1:28" x14ac:dyDescent="0.25">
      <c r="A154" s="14"/>
      <c r="C154" s="3" t="s">
        <v>30</v>
      </c>
      <c r="P154" s="14"/>
      <c r="Q154" s="15"/>
      <c r="R154" s="3" t="s">
        <v>30</v>
      </c>
    </row>
    <row r="155" spans="1:28" x14ac:dyDescent="0.25">
      <c r="A155" s="26"/>
      <c r="P155" s="26"/>
      <c r="Q155" s="15"/>
    </row>
    <row r="156" spans="1:28" x14ac:dyDescent="0.25">
      <c r="A156" s="26"/>
      <c r="C156" s="3" t="str">
        <f>CONCATENATE( "    &lt;piechart percentage=",B141," /&gt;")</f>
        <v xml:space="preserve">    &lt;piechart percentage=0.5 /&gt;</v>
      </c>
      <c r="P156" s="26"/>
      <c r="Q156" s="15"/>
      <c r="R156" s="3" t="str">
        <f>CONCATENATE( "    &lt;piechart percentage=",Q141," /&gt;")</f>
        <v xml:space="preserve">    &lt;piechart percentage=1.8 /&gt;</v>
      </c>
    </row>
    <row r="157" spans="1:28" x14ac:dyDescent="0.25">
      <c r="A157" s="26"/>
      <c r="C157" s="3" t="str">
        <f>"  &lt;/Analysis&gt;"</f>
        <v xml:space="preserve">  &lt;/Analysis&gt;</v>
      </c>
      <c r="K157" s="3" t="str">
        <f t="shared" ref="K157:M157" si="49">K135</f>
        <v>rs6691840</v>
      </c>
      <c r="L157" s="3" t="str">
        <f t="shared" si="49"/>
        <v>rs3913434</v>
      </c>
      <c r="M157" s="3" t="str">
        <f t="shared" si="49"/>
        <v>rs270838</v>
      </c>
      <c r="P157" s="26"/>
      <c r="Q157" s="15"/>
      <c r="R157" s="3" t="str">
        <f>"  &lt;/Analysis&gt;"</f>
        <v xml:space="preserve">  &lt;/Analysis&gt;</v>
      </c>
      <c r="Z157" s="3">
        <f t="shared" ref="Z157:AB157" si="50">Z135</f>
        <v>0</v>
      </c>
      <c r="AA157" s="3">
        <f t="shared" si="50"/>
        <v>0</v>
      </c>
      <c r="AB157" s="3">
        <f t="shared" si="50"/>
        <v>0</v>
      </c>
    </row>
    <row r="158" spans="1:28" s="21" customFormat="1" x14ac:dyDescent="0.25">
      <c r="A158" s="28" t="s">
        <v>70</v>
      </c>
      <c r="B158" s="20" t="str">
        <f>CONCATENATE(B37," (T;C)")</f>
        <v>T19943884C (T;C)</v>
      </c>
      <c r="C158" s="21" t="str">
        <f>CONCATENATE("&lt;# ",B158," #&gt;")</f>
        <v>&lt;# T19943884C (T;C) #&gt;</v>
      </c>
      <c r="K158" s="21" t="str">
        <f>K114</f>
        <v>G158A</v>
      </c>
      <c r="L158" s="21" t="str">
        <f>L114</f>
        <v>C62T</v>
      </c>
      <c r="M158" s="21" t="str">
        <f>M114</f>
        <v>T19943884C</v>
      </c>
      <c r="P158" s="28" t="s">
        <v>70</v>
      </c>
      <c r="Q158" s="20"/>
      <c r="Z158" s="21" t="str">
        <f t="shared" ref="Z158:AB158" si="51">Z114</f>
        <v>T19960814C</v>
      </c>
      <c r="AA158" s="21" t="str">
        <f t="shared" si="51"/>
        <v>T19950010G</v>
      </c>
      <c r="AB158" s="21">
        <f t="shared" si="51"/>
        <v>0</v>
      </c>
    </row>
    <row r="159" spans="1:28" x14ac:dyDescent="0.25">
      <c r="A159" s="3" t="s">
        <v>21</v>
      </c>
      <c r="B159" s="29" t="str">
        <f>M162</f>
        <v>NC_000022.10:g.[19931407T&gt;C];[19931407=]</v>
      </c>
      <c r="C159" s="10"/>
      <c r="K159" s="3" t="str">
        <f>K115</f>
        <v>NC_000022.10:g.</v>
      </c>
      <c r="L159" s="3" t="str">
        <f>L115</f>
        <v>NC_000022.10:g.</v>
      </c>
      <c r="M159" s="3" t="str">
        <f>M115</f>
        <v>NC_000022.10:g.</v>
      </c>
      <c r="P159" s="3" t="s">
        <v>21</v>
      </c>
      <c r="Q159" s="29"/>
      <c r="R159" s="10"/>
      <c r="Z159" s="3" t="str">
        <f t="shared" ref="Z159:AB159" si="52">Z115</f>
        <v>NC_000022.10:g.</v>
      </c>
      <c r="AA159" s="3" t="str">
        <f t="shared" si="52"/>
        <v>NC_000022.10:g.</v>
      </c>
      <c r="AB159" s="3">
        <f t="shared" si="52"/>
        <v>0</v>
      </c>
    </row>
    <row r="160" spans="1:28" x14ac:dyDescent="0.25">
      <c r="A160" s="3" t="s">
        <v>72</v>
      </c>
      <c r="B160" s="29"/>
      <c r="C160" s="3" t="str">
        <f>CONCATENATE("  &lt;Analysis name=",CHAR(34),B158,CHAR(34))</f>
        <v xml:space="preserve">  &lt;Analysis name="T19943884C (T;C)"</v>
      </c>
      <c r="J160" s="3" t="str">
        <f>J116</f>
        <v>Variant</v>
      </c>
      <c r="K160" s="3" t="str">
        <f>K116</f>
        <v>[19951271G&gt;A]</v>
      </c>
      <c r="L160" s="3" t="str">
        <f>L116</f>
        <v>[19950235C&gt;T]</v>
      </c>
      <c r="M160" s="3" t="str">
        <f>M116</f>
        <v>[19931407T&gt;C]</v>
      </c>
      <c r="P160" s="3" t="s">
        <v>72</v>
      </c>
      <c r="Q160" s="29"/>
      <c r="Y160" s="3" t="str">
        <f>Y116</f>
        <v>Variant</v>
      </c>
      <c r="Z160" s="3" t="str">
        <f>Z116</f>
        <v>[19948337T&gt;C]</v>
      </c>
      <c r="AA160" s="3" t="str">
        <f>AA116</f>
        <v>[19937533T&gt;G]</v>
      </c>
      <c r="AB160" s="3">
        <f>AB116</f>
        <v>0</v>
      </c>
    </row>
    <row r="161" spans="1:28" x14ac:dyDescent="0.25">
      <c r="A161" s="5" t="s">
        <v>75</v>
      </c>
      <c r="B161" s="2" t="str">
        <f>CONCATENATE("People with this variant have one copy of the ",B40," variant. This substitution of a single nucleotide is known as a missense mutation.")</f>
        <v>People with this variant have one copy of the [T19943884C](https://www.ncbi.nlm.nih.gov/pubmed/19540336) variant. This substitution of a single nucleotide is known as a missense mutation.</v>
      </c>
      <c r="C161" s="3" t="str">
        <f>CONCATENATE("            case={  variantCall ",CHAR(40),CHAR(34),B159,CHAR(34),CHAR(41))</f>
        <v xml:space="preserve">            case={  variantCall ("NC_000022.10:g.[19931407T&gt;C];[19931407=]")</v>
      </c>
      <c r="J161" s="3" t="str">
        <f>J117</f>
        <v>Wildtype</v>
      </c>
      <c r="K161" s="3" t="str">
        <f>K117</f>
        <v>[19951271=]</v>
      </c>
      <c r="L161" s="3" t="str">
        <f>L117</f>
        <v>[19950235=]</v>
      </c>
      <c r="M161" s="3" t="str">
        <f>M117</f>
        <v>[19931407=]</v>
      </c>
      <c r="P161" s="5" t="s">
        <v>75</v>
      </c>
      <c r="Q161" s="2"/>
      <c r="Y161" s="3" t="str">
        <f>Y117</f>
        <v>Wildtype</v>
      </c>
      <c r="Z161" s="3" t="str">
        <f>Z117</f>
        <v>[19948337=]</v>
      </c>
      <c r="AA161" s="3" t="str">
        <f>AA117</f>
        <v>[19937533=]</v>
      </c>
      <c r="AB161" s="3">
        <f>AB117</f>
        <v>0</v>
      </c>
    </row>
    <row r="162" spans="1:28" x14ac:dyDescent="0.25">
      <c r="A162" s="1" t="s">
        <v>28</v>
      </c>
      <c r="B162" s="2" t="s">
        <v>294</v>
      </c>
      <c r="C162" s="3" t="s">
        <v>71</v>
      </c>
      <c r="J162" s="3" t="str">
        <f>J118</f>
        <v>Het</v>
      </c>
      <c r="K162" s="3" t="str">
        <f>K118</f>
        <v>NC_000022.10:g.[19951271G&gt;A];[19951271=]</v>
      </c>
      <c r="L162" s="3" t="str">
        <f>L118</f>
        <v>NC_000022.10:g.[19950235C&gt;T];[19950235=]</v>
      </c>
      <c r="M162" s="3" t="str">
        <f>M118</f>
        <v>NC_000022.10:g.[19931407T&gt;C];[19931407=]</v>
      </c>
      <c r="P162" s="1" t="s">
        <v>28</v>
      </c>
      <c r="Q162" s="15"/>
      <c r="Y162" s="3" t="str">
        <f>Y118</f>
        <v>Het</v>
      </c>
      <c r="Z162" s="3" t="str">
        <f>Z118</f>
        <v>NC_000022.10:g.[19948337T&gt;C];[19948337=]</v>
      </c>
      <c r="AA162" s="3" t="str">
        <f>AA118</f>
        <v>NC_000022.10:g.[19937533T&gt;G];[19937533=]</v>
      </c>
      <c r="AB162" s="3" t="str">
        <f>AB118</f>
        <v>00;0</v>
      </c>
    </row>
    <row r="163" spans="1:28" x14ac:dyDescent="0.25">
      <c r="A163" s="3" t="s">
        <v>73</v>
      </c>
      <c r="B163" s="29">
        <f>M165</f>
        <v>15.8</v>
      </c>
      <c r="C163" s="3" t="str">
        <f>CONCATENATE("                    ",CHAR(40),"variantCall ",CHAR(40),CHAR(34),L163,CHAR(34),CHAR(41)," or variantCall ",CHAR(40),CHAR(34),L164,CHAR(34),CHAR(41),CHAR(41))</f>
        <v xml:space="preserve">                    (variantCall ("NC_000022.10:g.[19950235C&gt;T];[19950235C&gt;T]") or variantCall ("NC_000022.10:g.[19950235=];[19950235=]"))</v>
      </c>
      <c r="J163" s="3" t="str">
        <f>J119</f>
        <v>Homo</v>
      </c>
      <c r="K163" s="3" t="str">
        <f>K119</f>
        <v>NC_000022.10:g.[19951271G&gt;A];[19951271G&gt;A]</v>
      </c>
      <c r="L163" s="3" t="str">
        <f>L119</f>
        <v>NC_000022.10:g.[19950235C&gt;T];[19950235C&gt;T]</v>
      </c>
      <c r="M163" s="3" t="str">
        <f>M119</f>
        <v>NC_000022.10:g.[19931407T&gt;C];[19931407T&gt;C]</v>
      </c>
      <c r="P163" s="3" t="s">
        <v>73</v>
      </c>
      <c r="Q163" s="29"/>
      <c r="Y163" s="3" t="str">
        <f>Y119</f>
        <v>Homo</v>
      </c>
      <c r="Z163" s="3" t="str">
        <f>Z119</f>
        <v>NC_000022.10:g.[19948337T&gt;C];[19948337T&gt;C]</v>
      </c>
      <c r="AA163" s="3" t="str">
        <f>AA119</f>
        <v>NC_000022.10:g.[19937533T&gt;G];[19937533T&gt;G]</v>
      </c>
      <c r="AB163" s="3" t="str">
        <f>AB119</f>
        <v>00;0</v>
      </c>
    </row>
    <row r="164" spans="1:28" x14ac:dyDescent="0.25">
      <c r="C164" s="3" t="s">
        <v>71</v>
      </c>
      <c r="J164" s="3" t="str">
        <f>J120</f>
        <v>Wildtype</v>
      </c>
      <c r="K164" s="3" t="str">
        <f>K120</f>
        <v>NC_000022.10:g.[19951271=];[19951271=]</v>
      </c>
      <c r="L164" s="3" t="str">
        <f>L120</f>
        <v>NC_000022.10:g.[19950235=];[19950235=]</v>
      </c>
      <c r="M164" s="3" t="str">
        <f>M120</f>
        <v>NC_000022.10:g.[19931407=];[19931407=]</v>
      </c>
      <c r="Q164" s="15"/>
      <c r="Y164" s="3" t="str">
        <f>Y120</f>
        <v>Wildtype</v>
      </c>
      <c r="Z164" s="3" t="str">
        <f>Z120</f>
        <v>NC_000022.10:g.[19948337=];[19948337=]</v>
      </c>
      <c r="AA164" s="3" t="str">
        <f>AA120</f>
        <v>NC_000022.10:g.[19937533=];[19937533=]</v>
      </c>
      <c r="AB164" s="3" t="str">
        <f>AB120</f>
        <v>00;0</v>
      </c>
    </row>
    <row r="165" spans="1:28" x14ac:dyDescent="0.25">
      <c r="C165" s="3" t="str">
        <f>CONCATENATE("                    variantCall ",CHAR(40),CHAR(34),K164,CHAR(34),CHAR(41))</f>
        <v xml:space="preserve">                    variantCall ("NC_000022.10:g.[19951271=];[19951271=]")</v>
      </c>
      <c r="J165" s="3" t="str">
        <f>J121</f>
        <v>Het%</v>
      </c>
      <c r="K165" s="3">
        <f>K121</f>
        <v>43</v>
      </c>
      <c r="L165" s="3">
        <f>L121</f>
        <v>1.8</v>
      </c>
      <c r="M165" s="3">
        <f>M121</f>
        <v>15.8</v>
      </c>
      <c r="Q165" s="15"/>
      <c r="Y165" s="3" t="str">
        <f>Y121</f>
        <v>Het%</v>
      </c>
      <c r="Z165" s="3">
        <f>Z121</f>
        <v>43</v>
      </c>
      <c r="AA165" s="3">
        <f>AA121</f>
        <v>1.8</v>
      </c>
      <c r="AB165" s="3">
        <f>AB121</f>
        <v>15.8</v>
      </c>
    </row>
    <row r="166" spans="1:28" x14ac:dyDescent="0.25">
      <c r="A166" s="14"/>
      <c r="C166" s="3" t="str">
        <f>CONCATENATE("                  } &gt; ")</f>
        <v xml:space="preserve">                  } &gt; </v>
      </c>
      <c r="J166" s="3" t="str">
        <f>J122</f>
        <v>Homo%</v>
      </c>
      <c r="K166" s="3">
        <f>K122</f>
        <v>19.899999999999999</v>
      </c>
      <c r="L166" s="3">
        <f>L122</f>
        <v>0.5</v>
      </c>
      <c r="M166" s="3">
        <f>M122</f>
        <v>4.7</v>
      </c>
      <c r="P166" s="14"/>
      <c r="Q166" s="15"/>
      <c r="Y166" s="3" t="str">
        <f>Y122</f>
        <v>Homo%</v>
      </c>
      <c r="Z166" s="3">
        <f>Z122</f>
        <v>19.899999999999999</v>
      </c>
      <c r="AA166" s="3">
        <f>AA122</f>
        <v>0.5</v>
      </c>
      <c r="AB166" s="3">
        <f>AB122</f>
        <v>4.7</v>
      </c>
    </row>
    <row r="167" spans="1:28" x14ac:dyDescent="0.25">
      <c r="A167" s="26"/>
      <c r="J167" s="3" t="str">
        <f>J123</f>
        <v>Wildtype%</v>
      </c>
      <c r="K167" s="3">
        <f>K123</f>
        <v>37.1</v>
      </c>
      <c r="L167" s="3">
        <f>L123</f>
        <v>97.8</v>
      </c>
      <c r="M167" s="3">
        <f>M123</f>
        <v>79.5</v>
      </c>
      <c r="P167" s="26"/>
      <c r="Q167" s="15"/>
      <c r="Y167" s="3" t="str">
        <f>Y123</f>
        <v>Wildtype%</v>
      </c>
      <c r="Z167" s="3">
        <f>Z123</f>
        <v>37.1</v>
      </c>
      <c r="AA167" s="3">
        <f>AA123</f>
        <v>97.8</v>
      </c>
      <c r="AB167" s="3">
        <f>AB123</f>
        <v>79.5</v>
      </c>
    </row>
    <row r="168" spans="1:28" x14ac:dyDescent="0.25">
      <c r="A168" s="14"/>
      <c r="C168" s="3" t="s">
        <v>26</v>
      </c>
      <c r="P168" s="14"/>
      <c r="Q168" s="15"/>
    </row>
    <row r="169" spans="1:28" x14ac:dyDescent="0.25">
      <c r="A169" s="14"/>
      <c r="P169" s="14"/>
      <c r="Q169" s="15"/>
    </row>
    <row r="170" spans="1:28" x14ac:dyDescent="0.25">
      <c r="A170" s="26"/>
      <c r="C170" s="3" t="str">
        <f>CONCATENATE("    ",B161)</f>
        <v xml:space="preserve">    People with this variant have one copy of the [T19943884C](https://www.ncbi.nlm.nih.gov/pubmed/19540336) variant. This substitution of a single nucleotide is known as a missense mutation.</v>
      </c>
      <c r="P170" s="26"/>
      <c r="Q170" s="15"/>
    </row>
    <row r="171" spans="1:28" x14ac:dyDescent="0.25">
      <c r="A171" s="14"/>
      <c r="P171" s="14"/>
      <c r="Q171" s="15"/>
    </row>
    <row r="172" spans="1:28" x14ac:dyDescent="0.25">
      <c r="A172" s="14"/>
      <c r="C172" s="3" t="s">
        <v>29</v>
      </c>
      <c r="P172" s="14"/>
      <c r="Q172" s="15"/>
    </row>
    <row r="173" spans="1:28" x14ac:dyDescent="0.25">
      <c r="A173" s="14"/>
      <c r="P173" s="14"/>
      <c r="Q173" s="15"/>
    </row>
    <row r="174" spans="1:28" x14ac:dyDescent="0.25">
      <c r="A174" s="14"/>
      <c r="C174" s="3" t="str">
        <f>CONCATENATE(B162)</f>
        <v xml:space="preserve">    This variant is associated with increased “oxidative stress,” which is caused by [free radicals](https://nccih.nih.gov/health/antioxidants/introduction.htm) triggering cell damage. The increased risk of oxidative stress also leads to [cancer](https://www.ncbi.nlm.nih.gov/pubmed/21716162). ME/CFS patients often show [increased oxidative stress](https://www.ncbi.nlm.nih.gov/pubmed/27580693) that can be measured as increased levels of [thiobarbituric acid reactive substances](https://www.ncbi.nlm.nih.gov/pubmed/19457057) (TBARS), an oxidative stress blood marker, and decreased [reduced ascorbic-acid](https://www.ncbi.nlm.nih.gov/pubmed/19457057) (RAA), an antioxidant defense marker. This is associated with [increased symptom severity](https://www.ncbi.nlm.nih.gov/pubmed/29065167) and muscle weakness.
    # What should I do about this?
    Oxidative stress may be mitigated through environmental changes, [antioxidants](https://nccih.nih.gov/health/antioxidants/introduction.htm), and dietary changes.
    - [Robuvit](https://www.robuvit.com/home/)® (oak wood extract) is effective in reducing [oxidative stress](https://www.ncbi.nlm.nih.gov/pubmed/29164838) and [fatigue](https://www.ncbi.nlm.nih.gov/pubmed/29719945), while improving cognition, sleep, and memory. Consider taking [300mg/day](https://www.minervamedica.it/en/journals/sports-med-physical-fitness/article.php?cod=R40Y2018N05A0678).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purple berries like blueberries and cranberries, orange and dark, leafy green vegetables like pumpkin and spinach, tomato, red grapes, and peanuts](https://www.fruitsandveggiesmorematters.org/what-are-phytochemicals).</v>
      </c>
      <c r="P174" s="14"/>
      <c r="Q174" s="15"/>
    </row>
    <row r="175" spans="1:28" x14ac:dyDescent="0.25">
      <c r="A175" s="26"/>
      <c r="P175" s="26"/>
      <c r="Q175" s="15"/>
    </row>
    <row r="176" spans="1:28" x14ac:dyDescent="0.25">
      <c r="A176" s="26"/>
      <c r="C176" s="3" t="s">
        <v>30</v>
      </c>
      <c r="P176" s="26"/>
      <c r="Q176" s="15"/>
    </row>
    <row r="177" spans="1:28" x14ac:dyDescent="0.25">
      <c r="A177" s="26"/>
      <c r="P177" s="26"/>
      <c r="Q177" s="15"/>
    </row>
    <row r="178" spans="1:28" x14ac:dyDescent="0.25">
      <c r="A178" s="26"/>
      <c r="C178" s="3" t="str">
        <f>CONCATENATE( "    &lt;piechart percentage=",B163," /&gt;")</f>
        <v xml:space="preserve">    &lt;piechart percentage=15.8 /&gt;</v>
      </c>
      <c r="P178" s="26"/>
      <c r="Q178" s="15"/>
    </row>
    <row r="179" spans="1:28" x14ac:dyDescent="0.25">
      <c r="A179" s="26"/>
      <c r="C179" s="3" t="str">
        <f>"  &lt;/Analysis&gt;"</f>
        <v xml:space="preserve">  &lt;/Analysis&gt;</v>
      </c>
      <c r="K179" s="3" t="str">
        <f>K135</f>
        <v>rs6691840</v>
      </c>
      <c r="L179" s="3" t="str">
        <f>L135</f>
        <v>rs3913434</v>
      </c>
      <c r="M179" s="3" t="str">
        <f>M135</f>
        <v>rs270838</v>
      </c>
      <c r="P179" s="26"/>
      <c r="Q179" s="15"/>
      <c r="Z179" s="3">
        <f t="shared" ref="Z179:AB179" si="53">Z135</f>
        <v>0</v>
      </c>
      <c r="AA179" s="3">
        <f t="shared" si="53"/>
        <v>0</v>
      </c>
      <c r="AB179" s="3">
        <f t="shared" si="53"/>
        <v>0</v>
      </c>
    </row>
    <row r="180" spans="1:28" s="21" customFormat="1" x14ac:dyDescent="0.25">
      <c r="A180" s="28" t="s">
        <v>70</v>
      </c>
      <c r="B180" s="20" t="str">
        <f>CONCATENATE(B37," (C;C)")</f>
        <v>T19943884C (C;C)</v>
      </c>
      <c r="C180" s="21" t="str">
        <f>CONCATENATE("&lt;# ",B180," #&gt;")</f>
        <v>&lt;# T19943884C (C;C) #&gt;</v>
      </c>
      <c r="K180" s="21" t="str">
        <f>K136</f>
        <v>G158A</v>
      </c>
      <c r="L180" s="21" t="str">
        <f>L136</f>
        <v>C62T</v>
      </c>
      <c r="M180" s="21" t="str">
        <f>M136</f>
        <v>T19943884C</v>
      </c>
      <c r="P180" s="28" t="s">
        <v>70</v>
      </c>
      <c r="Q180" s="20"/>
      <c r="Z180" s="21" t="str">
        <f t="shared" ref="Z180:AB180" si="54">Z136</f>
        <v>T19960814C</v>
      </c>
      <c r="AA180" s="21" t="str">
        <f t="shared" si="54"/>
        <v>T19950010G</v>
      </c>
      <c r="AB180" s="21">
        <f t="shared" si="54"/>
        <v>0</v>
      </c>
    </row>
    <row r="181" spans="1:28" x14ac:dyDescent="0.25">
      <c r="A181" s="3" t="s">
        <v>21</v>
      </c>
      <c r="B181" s="29" t="str">
        <f>M185</f>
        <v>NC_000022.10:g.[19931407T&gt;C];[19931407T&gt;C]</v>
      </c>
      <c r="C181" s="10"/>
      <c r="K181" s="3" t="str">
        <f>K137</f>
        <v>NC_000022.10:g.</v>
      </c>
      <c r="L181" s="3" t="str">
        <f>L137</f>
        <v>NC_000022.10:g.</v>
      </c>
      <c r="M181" s="3" t="str">
        <f>M137</f>
        <v>NC_000022.10:g.</v>
      </c>
      <c r="P181" s="3" t="s">
        <v>21</v>
      </c>
      <c r="Q181" s="29"/>
      <c r="R181" s="10"/>
      <c r="Z181" s="3" t="str">
        <f t="shared" ref="Z181:AB181" si="55">Z137</f>
        <v>NC_000022.10:g.</v>
      </c>
      <c r="AA181" s="3" t="str">
        <f t="shared" si="55"/>
        <v>NC_000022.10:g.</v>
      </c>
      <c r="AB181" s="3">
        <f t="shared" si="55"/>
        <v>0</v>
      </c>
    </row>
    <row r="182" spans="1:28" x14ac:dyDescent="0.25">
      <c r="A182" s="3" t="s">
        <v>72</v>
      </c>
      <c r="B182" s="29"/>
      <c r="C182" s="3" t="str">
        <f>CONCATENATE("  &lt;Analysis name=",CHAR(34),B180,CHAR(34))</f>
        <v xml:space="preserve">  &lt;Analysis name="T19943884C (C;C)"</v>
      </c>
      <c r="J182" s="3" t="str">
        <f>J138</f>
        <v>Variant</v>
      </c>
      <c r="K182" s="3" t="str">
        <f>K138</f>
        <v>[19951271G&gt;A]</v>
      </c>
      <c r="L182" s="3" t="str">
        <f>L138</f>
        <v>[19950235C&gt;T]</v>
      </c>
      <c r="M182" s="3" t="str">
        <f>M138</f>
        <v>[19931407T&gt;C]</v>
      </c>
      <c r="P182" s="3" t="s">
        <v>72</v>
      </c>
      <c r="Q182" s="29"/>
      <c r="Y182" s="3" t="str">
        <f>Y138</f>
        <v>Variant</v>
      </c>
      <c r="Z182" s="3" t="str">
        <f>Z138</f>
        <v>[19948337T&gt;C]</v>
      </c>
      <c r="AA182" s="3" t="str">
        <f>AA138</f>
        <v>[19937533T&gt;G]</v>
      </c>
      <c r="AB182" s="3">
        <f>AB138</f>
        <v>0</v>
      </c>
    </row>
    <row r="183" spans="1:28" x14ac:dyDescent="0.25">
      <c r="A183" s="5" t="s">
        <v>75</v>
      </c>
      <c r="B183" s="2" t="str">
        <f>CONCATENATE("People with this variant have one copy of the ",B62," variant. This substitution of a single nucleotide is known as a missense mutation.")</f>
        <v>People with this variant have one copy of the  variant. This substitution of a single nucleotide is known as a missense mutation.</v>
      </c>
      <c r="C183" s="3" t="str">
        <f>CONCATENATE("            case={  variantCall ",CHAR(40),CHAR(34),B181,CHAR(34),CHAR(41))</f>
        <v xml:space="preserve">            case={  variantCall ("NC_000022.10:g.[19931407T&gt;C];[19931407T&gt;C]")</v>
      </c>
      <c r="J183" s="3" t="str">
        <f>J139</f>
        <v>Wildtype</v>
      </c>
      <c r="K183" s="3" t="str">
        <f>K139</f>
        <v>[19951271=]</v>
      </c>
      <c r="L183" s="3" t="str">
        <f>L139</f>
        <v>[19950235=]</v>
      </c>
      <c r="M183" s="3" t="str">
        <f>M139</f>
        <v>[19931407=]</v>
      </c>
      <c r="P183" s="5" t="s">
        <v>75</v>
      </c>
      <c r="Q183" s="2"/>
      <c r="Y183" s="3" t="str">
        <f>Y139</f>
        <v>Wildtype</v>
      </c>
      <c r="Z183" s="3" t="str">
        <f>Z139</f>
        <v>[19948337=]</v>
      </c>
      <c r="AA183" s="3" t="str">
        <f>AA139</f>
        <v>[19937533=]</v>
      </c>
      <c r="AB183" s="3">
        <f>AB139</f>
        <v>0</v>
      </c>
    </row>
    <row r="184" spans="1:28" x14ac:dyDescent="0.25">
      <c r="A184" s="1" t="s">
        <v>28</v>
      </c>
      <c r="B184" s="2" t="s">
        <v>296</v>
      </c>
      <c r="C184" s="3" t="s">
        <v>71</v>
      </c>
      <c r="J184" s="3" t="str">
        <f>J140</f>
        <v>Het</v>
      </c>
      <c r="K184" s="3" t="str">
        <f>K140</f>
        <v>NC_000022.10:g.[19951271G&gt;A];[19951271=]</v>
      </c>
      <c r="L184" s="3" t="str">
        <f>L140</f>
        <v>NC_000022.10:g.[19950235C&gt;T];[19950235=]</v>
      </c>
      <c r="M184" s="3" t="str">
        <f>M140</f>
        <v>NC_000022.10:g.[19931407T&gt;C];[19931407=]</v>
      </c>
      <c r="P184" s="1" t="s">
        <v>28</v>
      </c>
      <c r="Q184" s="15"/>
      <c r="Y184" s="3" t="str">
        <f>Y140</f>
        <v>Het</v>
      </c>
      <c r="Z184" s="3" t="str">
        <f>Z140</f>
        <v>NC_000022.10:g.[19948337T&gt;C];[19948337=]</v>
      </c>
      <c r="AA184" s="3" t="str">
        <f>AA140</f>
        <v>NC_000022.10:g.[19937533T&gt;G];[19937533=]</v>
      </c>
      <c r="AB184" s="3" t="str">
        <f>AB140</f>
        <v>00;0</v>
      </c>
    </row>
    <row r="185" spans="1:28" x14ac:dyDescent="0.25">
      <c r="A185" s="3" t="s">
        <v>73</v>
      </c>
      <c r="B185" s="29">
        <f>M187</f>
        <v>15.8</v>
      </c>
      <c r="C185" s="3" t="str">
        <f>CONCATENATE("                    ",CHAR(40),"variantCall ",CHAR(40),CHAR(34),L185,CHAR(34),CHAR(41)," or variantCall ",CHAR(40),CHAR(34),L186,CHAR(34),CHAR(41),CHAR(41))</f>
        <v xml:space="preserve">                    (variantCall ("NC_000022.10:g.[19950235C&gt;T];[19950235C&gt;T]") or variantCall ("NC_000022.10:g.[19950235=];[19950235=]"))</v>
      </c>
      <c r="J185" s="3" t="str">
        <f>J141</f>
        <v>Homo</v>
      </c>
      <c r="K185" s="3" t="str">
        <f>K141</f>
        <v>NC_000022.10:g.[19951271G&gt;A];[19951271G&gt;A]</v>
      </c>
      <c r="L185" s="3" t="str">
        <f>L141</f>
        <v>NC_000022.10:g.[19950235C&gt;T];[19950235C&gt;T]</v>
      </c>
      <c r="M185" s="3" t="str">
        <f>M141</f>
        <v>NC_000022.10:g.[19931407T&gt;C];[19931407T&gt;C]</v>
      </c>
      <c r="P185" s="3" t="s">
        <v>73</v>
      </c>
      <c r="Q185" s="29"/>
      <c r="Y185" s="3" t="str">
        <f>Y141</f>
        <v>Homo</v>
      </c>
      <c r="Z185" s="3" t="str">
        <f>Z141</f>
        <v>NC_000022.10:g.[19948337T&gt;C];[19948337T&gt;C]</v>
      </c>
      <c r="AA185" s="3" t="str">
        <f>AA141</f>
        <v>NC_000022.10:g.[19937533T&gt;G];[19937533T&gt;G]</v>
      </c>
      <c r="AB185" s="3" t="str">
        <f>AB141</f>
        <v>00;0</v>
      </c>
    </row>
    <row r="186" spans="1:28" x14ac:dyDescent="0.25">
      <c r="C186" s="3" t="s">
        <v>71</v>
      </c>
      <c r="J186" s="3" t="str">
        <f>J142</f>
        <v>Wildtype</v>
      </c>
      <c r="K186" s="3" t="str">
        <f>K142</f>
        <v>NC_000022.10:g.[19951271=];[19951271=]</v>
      </c>
      <c r="L186" s="3" t="str">
        <f>L142</f>
        <v>NC_000022.10:g.[19950235=];[19950235=]</v>
      </c>
      <c r="M186" s="3" t="str">
        <f>M142</f>
        <v>NC_000022.10:g.[19931407=];[19931407=]</v>
      </c>
      <c r="Q186" s="15"/>
      <c r="Y186" s="3" t="str">
        <f>Y142</f>
        <v>Wildtype</v>
      </c>
      <c r="Z186" s="3" t="str">
        <f>Z142</f>
        <v>NC_000022.10:g.[19948337=];[19948337=]</v>
      </c>
      <c r="AA186" s="3" t="str">
        <f>AA142</f>
        <v>NC_000022.10:g.[19937533=];[19937533=]</v>
      </c>
      <c r="AB186" s="3" t="str">
        <f>AB142</f>
        <v>00;0</v>
      </c>
    </row>
    <row r="187" spans="1:28" x14ac:dyDescent="0.25">
      <c r="C187" s="3" t="str">
        <f>CONCATENATE("                    variantCall ",CHAR(40),CHAR(34),K186,CHAR(34),CHAR(41))</f>
        <v xml:space="preserve">                    variantCall ("NC_000022.10:g.[19951271=];[19951271=]")</v>
      </c>
      <c r="J187" s="3" t="str">
        <f>J143</f>
        <v>Het%</v>
      </c>
      <c r="K187" s="3">
        <f>K143</f>
        <v>43</v>
      </c>
      <c r="L187" s="3">
        <f>L143</f>
        <v>1.8</v>
      </c>
      <c r="M187" s="3">
        <f>M143</f>
        <v>15.8</v>
      </c>
      <c r="Q187" s="15"/>
      <c r="Y187" s="3" t="str">
        <f>Y143</f>
        <v>Het%</v>
      </c>
      <c r="Z187" s="3">
        <f>Z143</f>
        <v>43</v>
      </c>
      <c r="AA187" s="3">
        <f>AA143</f>
        <v>1.8</v>
      </c>
      <c r="AB187" s="3">
        <f>AB143</f>
        <v>15.8</v>
      </c>
    </row>
    <row r="188" spans="1:28" x14ac:dyDescent="0.25">
      <c r="A188" s="14"/>
      <c r="C188" s="3" t="str">
        <f>CONCATENATE("                  } &gt; ")</f>
        <v xml:space="preserve">                  } &gt; </v>
      </c>
      <c r="J188" s="3" t="str">
        <f>J144</f>
        <v>Homo%</v>
      </c>
      <c r="K188" s="3">
        <f>K144</f>
        <v>19.899999999999999</v>
      </c>
      <c r="L188" s="3">
        <f>L144</f>
        <v>0.5</v>
      </c>
      <c r="M188" s="3">
        <f>M144</f>
        <v>4.7</v>
      </c>
      <c r="P188" s="14"/>
      <c r="Q188" s="15"/>
      <c r="Y188" s="3" t="str">
        <f>Y144</f>
        <v>Homo%</v>
      </c>
      <c r="Z188" s="3">
        <f>Z144</f>
        <v>19.899999999999999</v>
      </c>
      <c r="AA188" s="3">
        <f>AA144</f>
        <v>0.5</v>
      </c>
      <c r="AB188" s="3">
        <f>AB144</f>
        <v>4.7</v>
      </c>
    </row>
    <row r="189" spans="1:28" x14ac:dyDescent="0.25">
      <c r="A189" s="26"/>
      <c r="J189" s="3" t="str">
        <f>J145</f>
        <v>Wildtype%</v>
      </c>
      <c r="K189" s="3">
        <f>K145</f>
        <v>37.1</v>
      </c>
      <c r="L189" s="3">
        <f>L145</f>
        <v>97.8</v>
      </c>
      <c r="M189" s="3">
        <f>M145</f>
        <v>79.5</v>
      </c>
      <c r="P189" s="26"/>
      <c r="Q189" s="15"/>
      <c r="Y189" s="3" t="str">
        <f>Y145</f>
        <v>Wildtype%</v>
      </c>
      <c r="Z189" s="3">
        <f>Z145</f>
        <v>37.1</v>
      </c>
      <c r="AA189" s="3">
        <f>AA145</f>
        <v>97.8</v>
      </c>
      <c r="AB189" s="3">
        <f>AB145</f>
        <v>79.5</v>
      </c>
    </row>
    <row r="190" spans="1:28" x14ac:dyDescent="0.25">
      <c r="A190" s="14"/>
      <c r="C190" s="3" t="s">
        <v>26</v>
      </c>
      <c r="P190" s="14"/>
      <c r="Q190" s="15"/>
    </row>
    <row r="191" spans="1:28" x14ac:dyDescent="0.25">
      <c r="A191" s="14"/>
      <c r="P191" s="14"/>
      <c r="Q191" s="15"/>
    </row>
    <row r="192" spans="1:28" x14ac:dyDescent="0.25">
      <c r="A192" s="26"/>
      <c r="C192" s="3" t="str">
        <f>CONCATENATE("    ",B183)</f>
        <v xml:space="preserve">    People with this variant have one copy of the  variant. This substitution of a single nucleotide is known as a missense mutation.</v>
      </c>
      <c r="P192" s="26"/>
      <c r="Q192" s="15"/>
    </row>
    <row r="193" spans="1:28" x14ac:dyDescent="0.25">
      <c r="A193" s="14"/>
      <c r="P193" s="14"/>
      <c r="Q193" s="15"/>
    </row>
    <row r="194" spans="1:28" x14ac:dyDescent="0.25">
      <c r="A194" s="14"/>
      <c r="C194" s="3" t="s">
        <v>29</v>
      </c>
      <c r="P194" s="14"/>
      <c r="Q194" s="15"/>
    </row>
    <row r="195" spans="1:28" x14ac:dyDescent="0.25">
      <c r="A195" s="14"/>
      <c r="P195" s="14"/>
      <c r="Q195" s="15"/>
    </row>
    <row r="196" spans="1:28" x14ac:dyDescent="0.25">
      <c r="A196" s="14"/>
      <c r="C196" s="3" t="str">
        <f>CONCATENATE(B184)</f>
        <v xml:space="preserve">    This variant is associated with an increased risk of [ME/CFS](https://www.ncbi.nlm.nih.gov/pubmed/19540336)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 
    ME/CFS patients often show [increased oxidative stress](https://www.ncbi.nlm.nih.gov/pubmed/27580693) that can be measured as increased levels of [thiobarbituric acid reactive substances](https://www.ncbi.nlm.nih.gov/pubmed/19457057) (TBARS), an oxidative stress blood marker, and decreased [reduced ascorbic-acid](https://www.ncbi.nlm.nih.gov/pubmed/19457057) (RAA), an antioxidant defense marker. This is associated with [increased symptom severity](https://www.ncbi.nlm.nih.gov/pubmed/29065167) and muscle weakness.
    # What should I do about this?
    Oxidative stress may be mitigated through environmental changes, [antioxidants](https://nccih.nih.gov/health/antioxidants/introduction.htm), and dietary changes.
    - [Robuvit](https://www.robuvit.com/home/)® (oak wood extract) is effective in reducing [oxidative stress](https://www.ncbi.nlm.nih.gov/pubmed/29164838) and [fatigue](https://www.ncbi.nlm.nih.gov/pubmed/29719945), while improving cognition, sleep, and memory. Consider taking [300mg/day](https://www.minervamedica.it/en/journals/sports-med-physical-fitness/article.php?cod=R40Y2018N05A0678).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v>
      </c>
      <c r="P196" s="14"/>
      <c r="Q196" s="15"/>
    </row>
    <row r="197" spans="1:28" x14ac:dyDescent="0.25">
      <c r="A197" s="26"/>
      <c r="P197" s="26"/>
      <c r="Q197" s="15"/>
    </row>
    <row r="198" spans="1:28" x14ac:dyDescent="0.25">
      <c r="A198" s="26"/>
      <c r="C198" s="3" t="s">
        <v>30</v>
      </c>
      <c r="P198" s="26"/>
      <c r="Q198" s="15"/>
    </row>
    <row r="199" spans="1:28" x14ac:dyDescent="0.25">
      <c r="A199" s="26"/>
      <c r="P199" s="26"/>
      <c r="Q199" s="15"/>
    </row>
    <row r="200" spans="1:28" x14ac:dyDescent="0.25">
      <c r="A200" s="26"/>
      <c r="C200" s="3" t="str">
        <f>CONCATENATE( "    &lt;piechart percentage=",B185," /&gt;")</f>
        <v xml:space="preserve">    &lt;piechart percentage=15.8 /&gt;</v>
      </c>
      <c r="P200" s="26"/>
      <c r="Q200" s="15"/>
    </row>
    <row r="201" spans="1:28" x14ac:dyDescent="0.25">
      <c r="A201" s="26"/>
      <c r="C201" s="3" t="str">
        <f>"  &lt;/Analysis&gt;"</f>
        <v xml:space="preserve">  &lt;/Analysis&gt;</v>
      </c>
      <c r="K201" s="3" t="str">
        <f>K157</f>
        <v>rs6691840</v>
      </c>
      <c r="L201" s="3" t="str">
        <f>L157</f>
        <v>rs3913434</v>
      </c>
      <c r="M201" s="3" t="str">
        <f>M157</f>
        <v>rs270838</v>
      </c>
      <c r="P201" s="26"/>
      <c r="Q201" s="15"/>
      <c r="Z201" s="3">
        <f t="shared" ref="Z201:AB201" si="56">Z157</f>
        <v>0</v>
      </c>
      <c r="AA201" s="3">
        <f t="shared" si="56"/>
        <v>0</v>
      </c>
      <c r="AB201" s="3">
        <f t="shared" si="56"/>
        <v>0</v>
      </c>
    </row>
    <row r="202" spans="1:28" s="21" customFormat="1" x14ac:dyDescent="0.25">
      <c r="A202" s="28" t="s">
        <v>70</v>
      </c>
      <c r="B202" s="20" t="str">
        <f>CONCATENATE(B70," and ",B114," and ",B158)</f>
        <v>G158A (A;G) and C62T (C;T) and T19943884C (T;C)</v>
      </c>
      <c r="C202" s="21" t="str">
        <f>CONCATENATE("&lt;# ",B202," #&gt;")</f>
        <v>&lt;# G158A (A;G) and C62T (C;T) and T19943884C (T;C) #&gt;</v>
      </c>
      <c r="K202" s="21" t="str">
        <f>K158</f>
        <v>G158A</v>
      </c>
      <c r="L202" s="21" t="str">
        <f>L158</f>
        <v>C62T</v>
      </c>
      <c r="M202" s="21" t="str">
        <f>M158</f>
        <v>T19943884C</v>
      </c>
      <c r="P202" s="28" t="s">
        <v>70</v>
      </c>
      <c r="Q202" s="20"/>
      <c r="Z202" s="21" t="str">
        <f t="shared" ref="Z202:AB202" si="57">Z158</f>
        <v>T19960814C</v>
      </c>
      <c r="AA202" s="21" t="str">
        <f t="shared" si="57"/>
        <v>T19950010G</v>
      </c>
      <c r="AB202" s="21">
        <f t="shared" si="57"/>
        <v>0</v>
      </c>
    </row>
    <row r="203" spans="1:28" x14ac:dyDescent="0.25">
      <c r="A203" s="14" t="s">
        <v>21</v>
      </c>
      <c r="B203" s="15" t="str">
        <f>K74</f>
        <v>NC_000022.10:g.[19951271G&gt;A];[19951271=]</v>
      </c>
      <c r="K203" s="3" t="str">
        <f>K159</f>
        <v>NC_000022.10:g.</v>
      </c>
      <c r="L203" s="3" t="str">
        <f>L159</f>
        <v>NC_000022.10:g.</v>
      </c>
      <c r="M203" s="3" t="str">
        <f>M159</f>
        <v>NC_000022.10:g.</v>
      </c>
      <c r="P203" s="14" t="s">
        <v>21</v>
      </c>
      <c r="Q203" s="15"/>
      <c r="Z203" s="3" t="str">
        <f t="shared" ref="Z203:AB203" si="58">Z159</f>
        <v>NC_000022.10:g.</v>
      </c>
      <c r="AA203" s="3" t="str">
        <f t="shared" si="58"/>
        <v>NC_000022.10:g.</v>
      </c>
      <c r="AB203" s="3">
        <f t="shared" si="58"/>
        <v>0</v>
      </c>
    </row>
    <row r="204" spans="1:28" x14ac:dyDescent="0.25">
      <c r="A204" s="14" t="s">
        <v>72</v>
      </c>
      <c r="C204" s="3" t="str">
        <f>CONCATENATE("  &lt;Analysis name=",CHAR(34),B202,CHAR(34))</f>
        <v xml:space="preserve">  &lt;Analysis name="G158A (A;G) and C62T (C;T) and T19943884C (T;C)"</v>
      </c>
      <c r="J204" s="3" t="str">
        <f>J160</f>
        <v>Variant</v>
      </c>
      <c r="K204" s="3" t="str">
        <f>K160</f>
        <v>[19951271G&gt;A]</v>
      </c>
      <c r="L204" s="3" t="str">
        <f>L160</f>
        <v>[19950235C&gt;T]</v>
      </c>
      <c r="M204" s="3" t="str">
        <f>M160</f>
        <v>[19931407T&gt;C]</v>
      </c>
      <c r="P204" s="14" t="s">
        <v>72</v>
      </c>
      <c r="Q204" s="15"/>
      <c r="Y204" s="3" t="str">
        <f t="shared" ref="Y204:AB204" si="59">Y160</f>
        <v>Variant</v>
      </c>
      <c r="Z204" s="3" t="str">
        <f t="shared" si="59"/>
        <v>[19948337T&gt;C]</v>
      </c>
      <c r="AA204" s="3" t="str">
        <f t="shared" si="59"/>
        <v>[19937533T&gt;G]</v>
      </c>
      <c r="AB204" s="3">
        <f t="shared" si="59"/>
        <v>0</v>
      </c>
    </row>
    <row r="205" spans="1:28" x14ac:dyDescent="0.25">
      <c r="A205" s="26" t="s">
        <v>75</v>
      </c>
      <c r="B205" s="15" t="str">
        <f>CONCATENATE("People with this variant have one copy of the ",B22,", ",B31, ", and ",B40," variants. This substitution of a single nucleotide is known as a missense mutation.")</f>
        <v>People with this variant have one copy of the [G158A](https://www.ncbi.nlm.nih.gov/pubmed/21059181), [C62T](https://www.ncbi.nlm.nih.gov/pubmed/26891941), and [T19943884C](https://www.ncbi.nlm.nih.gov/pubmed/19540336) variants. This substitution of a single nucleotide is known as a missense mutation.</v>
      </c>
      <c r="C205" s="3" t="str">
        <f>CONCATENATE("            case={  variantCall ",CHAR(40),CHAR(34),K206,CHAR(34),CHAR(41))</f>
        <v xml:space="preserve">            case={  variantCall ("NC_000022.10:g.[19951271G&gt;A];[19951271=]")</v>
      </c>
      <c r="J205" s="3" t="str">
        <f>J161</f>
        <v>Wildtype</v>
      </c>
      <c r="K205" s="3" t="str">
        <f>K161</f>
        <v>[19951271=]</v>
      </c>
      <c r="L205" s="3" t="str">
        <f>L161</f>
        <v>[19950235=]</v>
      </c>
      <c r="M205" s="3" t="str">
        <f>M161</f>
        <v>[19931407=]</v>
      </c>
      <c r="P205" s="26" t="s">
        <v>75</v>
      </c>
      <c r="Q205" s="15"/>
      <c r="Y205" s="3" t="str">
        <f t="shared" ref="Y205:AB205" si="60">Y161</f>
        <v>Wildtype</v>
      </c>
      <c r="Z205" s="3" t="str">
        <f t="shared" si="60"/>
        <v>[19948337=]</v>
      </c>
      <c r="AA205" s="3" t="str">
        <f t="shared" si="60"/>
        <v>[19937533=]</v>
      </c>
      <c r="AB205" s="3">
        <f t="shared" si="60"/>
        <v>0</v>
      </c>
    </row>
    <row r="206" spans="1:28" x14ac:dyDescent="0.25">
      <c r="A206" s="26" t="s">
        <v>28</v>
      </c>
      <c r="B206" s="15" t="s">
        <v>120</v>
      </c>
      <c r="C206" s="3" t="s">
        <v>71</v>
      </c>
      <c r="J206" s="3" t="str">
        <f>J162</f>
        <v>Het</v>
      </c>
      <c r="K206" s="3" t="str">
        <f>K162</f>
        <v>NC_000022.10:g.[19951271G&gt;A];[19951271=]</v>
      </c>
      <c r="L206" s="3" t="str">
        <f>L162</f>
        <v>NC_000022.10:g.[19950235C&gt;T];[19950235=]</v>
      </c>
      <c r="M206" s="3" t="str">
        <f>M162</f>
        <v>NC_000022.10:g.[19931407T&gt;C];[19931407=]</v>
      </c>
      <c r="P206" s="26" t="s">
        <v>28</v>
      </c>
      <c r="Q206" s="15"/>
      <c r="Y206" s="3" t="str">
        <f t="shared" ref="Y206:AB206" si="61">Y162</f>
        <v>Het</v>
      </c>
      <c r="Z206" s="3" t="str">
        <f t="shared" si="61"/>
        <v>NC_000022.10:g.[19948337T&gt;C];[19948337=]</v>
      </c>
      <c r="AA206" s="3" t="str">
        <f t="shared" si="61"/>
        <v>NC_000022.10:g.[19937533T&gt;G];[19937533=]</v>
      </c>
      <c r="AB206" s="3" t="str">
        <f t="shared" si="61"/>
        <v>00;0</v>
      </c>
    </row>
    <row r="207" spans="1:28" x14ac:dyDescent="0.25">
      <c r="A207" s="26" t="s">
        <v>73</v>
      </c>
      <c r="C207" s="3" t="str">
        <f>CONCATENATE("                    variantCall ",CHAR(40),CHAR(34),L206,CHAR(34),CHAR(41))</f>
        <v xml:space="preserve">                    variantCall ("NC_000022.10:g.[19950235C&gt;T];[19950235=]")</v>
      </c>
      <c r="J207" s="3" t="str">
        <f>J163</f>
        <v>Homo</v>
      </c>
      <c r="K207" s="3" t="str">
        <f>K163</f>
        <v>NC_000022.10:g.[19951271G&gt;A];[19951271G&gt;A]</v>
      </c>
      <c r="L207" s="3" t="str">
        <f>L163</f>
        <v>NC_000022.10:g.[19950235C&gt;T];[19950235C&gt;T]</v>
      </c>
      <c r="M207" s="3" t="str">
        <f>M163</f>
        <v>NC_000022.10:g.[19931407T&gt;C];[19931407T&gt;C]</v>
      </c>
      <c r="P207" s="26" t="s">
        <v>73</v>
      </c>
      <c r="Q207" s="15"/>
      <c r="Y207" s="3" t="str">
        <f t="shared" ref="Y207:AB207" si="62">Y163</f>
        <v>Homo</v>
      </c>
      <c r="Z207" s="3" t="str">
        <f t="shared" si="62"/>
        <v>NC_000022.10:g.[19948337T&gt;C];[19948337T&gt;C]</v>
      </c>
      <c r="AA207" s="3" t="str">
        <f t="shared" si="62"/>
        <v>NC_000022.10:g.[19937533T&gt;G];[19937533T&gt;G]</v>
      </c>
      <c r="AB207" s="3" t="str">
        <f t="shared" si="62"/>
        <v>00;0</v>
      </c>
    </row>
    <row r="208" spans="1:28" x14ac:dyDescent="0.25">
      <c r="A208" s="26"/>
      <c r="C208" s="3" t="s">
        <v>71</v>
      </c>
      <c r="J208" s="3" t="str">
        <f>J164</f>
        <v>Wildtype</v>
      </c>
      <c r="K208" s="3" t="str">
        <f>K164</f>
        <v>NC_000022.10:g.[19951271=];[19951271=]</v>
      </c>
      <c r="L208" s="3" t="str">
        <f>L164</f>
        <v>NC_000022.10:g.[19950235=];[19950235=]</v>
      </c>
      <c r="M208" s="3" t="str">
        <f>M164</f>
        <v>NC_000022.10:g.[19931407=];[19931407=]</v>
      </c>
      <c r="P208" s="26"/>
      <c r="Q208" s="15"/>
      <c r="Y208" s="3" t="str">
        <f t="shared" ref="Y208:AB208" si="63">Y164</f>
        <v>Wildtype</v>
      </c>
      <c r="Z208" s="3" t="str">
        <f t="shared" si="63"/>
        <v>NC_000022.10:g.[19948337=];[19948337=]</v>
      </c>
      <c r="AA208" s="3" t="str">
        <f t="shared" si="63"/>
        <v>NC_000022.10:g.[19937533=];[19937533=]</v>
      </c>
      <c r="AB208" s="3" t="str">
        <f t="shared" si="63"/>
        <v>00;0</v>
      </c>
    </row>
    <row r="209" spans="1:28" x14ac:dyDescent="0.25">
      <c r="A209" s="26"/>
      <c r="C209" s="3" t="str">
        <f>CONCATENATE("                    variantCall ",CHAR(40),CHAR(34),M206,CHAR(34),CHAR(41))</f>
        <v xml:space="preserve">                    variantCall ("NC_000022.10:g.[19931407T&gt;C];[19931407=]")</v>
      </c>
      <c r="J209" s="3" t="str">
        <f>J165</f>
        <v>Het%</v>
      </c>
      <c r="K209" s="3">
        <f>K165</f>
        <v>43</v>
      </c>
      <c r="L209" s="3">
        <f>L165</f>
        <v>1.8</v>
      </c>
      <c r="M209" s="3">
        <f>M165</f>
        <v>15.8</v>
      </c>
      <c r="P209" s="26"/>
      <c r="Q209" s="15"/>
      <c r="Y209" s="3" t="str">
        <f t="shared" ref="Y209:AB209" si="64">Y165</f>
        <v>Het%</v>
      </c>
      <c r="Z209" s="3">
        <f t="shared" si="64"/>
        <v>43</v>
      </c>
      <c r="AA209" s="3">
        <f t="shared" si="64"/>
        <v>1.8</v>
      </c>
      <c r="AB209" s="3">
        <f t="shared" si="64"/>
        <v>15.8</v>
      </c>
    </row>
    <row r="210" spans="1:28" x14ac:dyDescent="0.25">
      <c r="A210" s="26"/>
      <c r="C210" s="3" t="str">
        <f>CONCATENATE("                  } &gt; ")</f>
        <v xml:space="preserve">                  } &gt; </v>
      </c>
      <c r="J210" s="3" t="str">
        <f>J166</f>
        <v>Homo%</v>
      </c>
      <c r="K210" s="3">
        <f>K166</f>
        <v>19.899999999999999</v>
      </c>
      <c r="L210" s="3">
        <f>L166</f>
        <v>0.5</v>
      </c>
      <c r="M210" s="3">
        <f>M166</f>
        <v>4.7</v>
      </c>
      <c r="P210" s="26"/>
      <c r="Q210" s="15"/>
      <c r="Y210" s="3" t="str">
        <f t="shared" ref="Y210:AB210" si="65">Y166</f>
        <v>Homo%</v>
      </c>
      <c r="Z210" s="3">
        <f t="shared" si="65"/>
        <v>19.899999999999999</v>
      </c>
      <c r="AA210" s="3">
        <f t="shared" si="65"/>
        <v>0.5</v>
      </c>
      <c r="AB210" s="3">
        <f t="shared" si="65"/>
        <v>4.7</v>
      </c>
    </row>
    <row r="211" spans="1:28" x14ac:dyDescent="0.25">
      <c r="A211" s="14"/>
      <c r="J211" s="3" t="str">
        <f>J167</f>
        <v>Wildtype%</v>
      </c>
      <c r="K211" s="3">
        <f>K167</f>
        <v>37.1</v>
      </c>
      <c r="L211" s="3">
        <f>L167</f>
        <v>97.8</v>
      </c>
      <c r="M211" s="3">
        <f>M167</f>
        <v>79.5</v>
      </c>
      <c r="P211" s="14"/>
      <c r="Q211" s="15"/>
      <c r="Y211" s="3" t="str">
        <f t="shared" ref="Y211:AB211" si="66">Y167</f>
        <v>Wildtype%</v>
      </c>
      <c r="Z211" s="3">
        <f t="shared" si="66"/>
        <v>37.1</v>
      </c>
      <c r="AA211" s="3">
        <f t="shared" si="66"/>
        <v>97.8</v>
      </c>
      <c r="AB211" s="3">
        <f t="shared" si="66"/>
        <v>79.5</v>
      </c>
    </row>
    <row r="212" spans="1:28" x14ac:dyDescent="0.25">
      <c r="A212" s="14"/>
      <c r="C212" s="3" t="s">
        <v>26</v>
      </c>
      <c r="P212" s="14"/>
      <c r="Q212" s="15"/>
    </row>
    <row r="213" spans="1:28" x14ac:dyDescent="0.25">
      <c r="A213" s="14"/>
      <c r="P213" s="14"/>
      <c r="Q213" s="15"/>
    </row>
    <row r="214" spans="1:28" x14ac:dyDescent="0.25">
      <c r="A214" s="14"/>
      <c r="C214" s="3" t="str">
        <f>CONCATENATE("    ",B205)</f>
        <v xml:space="preserve">    People with this variant have one copy of the [G158A](https://www.ncbi.nlm.nih.gov/pubmed/21059181), [C62T](https://www.ncbi.nlm.nih.gov/pubmed/26891941), and [T19943884C](https://www.ncbi.nlm.nih.gov/pubmed/19540336) variants. This substitution of a single nucleotide is known as a missense mutation.</v>
      </c>
      <c r="P214" s="14"/>
      <c r="Q214" s="15"/>
    </row>
    <row r="215" spans="1:28" x14ac:dyDescent="0.25">
      <c r="A215" s="14"/>
      <c r="P215" s="14"/>
      <c r="Q215" s="15"/>
    </row>
    <row r="216" spans="1:28" x14ac:dyDescent="0.25">
      <c r="A216" s="26"/>
      <c r="C216" s="3" t="s">
        <v>29</v>
      </c>
      <c r="P216" s="26"/>
      <c r="Q216" s="15"/>
    </row>
    <row r="217" spans="1:28" x14ac:dyDescent="0.25">
      <c r="A217" s="26"/>
      <c r="P217" s="26"/>
      <c r="Q217" s="15"/>
    </row>
    <row r="218" spans="1:28" x14ac:dyDescent="0.25">
      <c r="A218" s="26"/>
      <c r="C218" s="3" t="str">
        <f>CONCATENATE(B206)</f>
        <v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c r="P218" s="26"/>
      <c r="Q218" s="15"/>
    </row>
    <row r="219" spans="1:28" x14ac:dyDescent="0.25">
      <c r="A219" s="26"/>
      <c r="P219" s="26"/>
      <c r="Q219" s="15"/>
    </row>
    <row r="220" spans="1:28" x14ac:dyDescent="0.25">
      <c r="A220" s="26"/>
      <c r="C220" s="3" t="s">
        <v>30</v>
      </c>
      <c r="P220" s="26"/>
      <c r="Q220" s="15"/>
    </row>
    <row r="221" spans="1:28" x14ac:dyDescent="0.25">
      <c r="A221" s="26"/>
      <c r="P221" s="26"/>
      <c r="Q221" s="15"/>
    </row>
    <row r="222" spans="1:28" x14ac:dyDescent="0.25">
      <c r="A222" s="26"/>
      <c r="C222" s="3" t="str">
        <f>CONCATENATE( "    &lt;piechart percentage=",B207," /&gt;")</f>
        <v xml:space="preserve">    &lt;piechart percentage= /&gt;</v>
      </c>
      <c r="P222" s="26"/>
      <c r="Q222" s="15"/>
    </row>
    <row r="223" spans="1:28" x14ac:dyDescent="0.25">
      <c r="A223" s="26"/>
      <c r="C223" s="3" t="str">
        <f>"  &lt;/Analysis&gt;"</f>
        <v xml:space="preserve">  &lt;/Analysis&gt;</v>
      </c>
      <c r="K223" s="3" t="str">
        <f>K179</f>
        <v>rs6691840</v>
      </c>
      <c r="L223" s="3" t="str">
        <f>L179</f>
        <v>rs3913434</v>
      </c>
      <c r="M223" s="3" t="str">
        <f>M179</f>
        <v>rs270838</v>
      </c>
      <c r="P223" s="26"/>
      <c r="Q223" s="15"/>
      <c r="Z223" s="3">
        <f t="shared" ref="Z223:AB223" si="67">Z179</f>
        <v>0</v>
      </c>
      <c r="AA223" s="3">
        <f t="shared" si="67"/>
        <v>0</v>
      </c>
      <c r="AB223" s="3">
        <f t="shared" si="67"/>
        <v>0</v>
      </c>
    </row>
    <row r="224" spans="1:28" s="21" customFormat="1" x14ac:dyDescent="0.25">
      <c r="A224" s="28" t="s">
        <v>70</v>
      </c>
      <c r="B224" s="20" t="str">
        <f>CONCATENATE(B92," and ",B114," and ",B158)</f>
        <v>G158A (A;A) and C62T (C;T) and T19943884C (T;C)</v>
      </c>
      <c r="C224" s="21" t="str">
        <f>CONCATENATE("&lt;# ",B224," #&gt;")</f>
        <v>&lt;# G158A (A;A) and C62T (C;T) and T19943884C (T;C) #&gt;</v>
      </c>
      <c r="K224" s="21" t="str">
        <f t="shared" ref="K224:M225" si="68">K202</f>
        <v>G158A</v>
      </c>
      <c r="L224" s="21" t="str">
        <f t="shared" si="68"/>
        <v>C62T</v>
      </c>
      <c r="M224" s="21" t="str">
        <f t="shared" si="68"/>
        <v>T19943884C</v>
      </c>
      <c r="P224" s="28" t="s">
        <v>70</v>
      </c>
      <c r="Q224" s="20"/>
      <c r="Z224" s="21" t="str">
        <f t="shared" ref="Z224:AB224" si="69">Z202</f>
        <v>T19960814C</v>
      </c>
      <c r="AA224" s="21" t="str">
        <f t="shared" si="69"/>
        <v>T19950010G</v>
      </c>
      <c r="AB224" s="21">
        <f t="shared" si="69"/>
        <v>0</v>
      </c>
    </row>
    <row r="225" spans="1:28" x14ac:dyDescent="0.25">
      <c r="A225" s="14" t="s">
        <v>21</v>
      </c>
      <c r="B225" s="15" t="str">
        <f>K96</f>
        <v>NC_000022.10:g.[19951271G&gt;A];[19951271=]</v>
      </c>
      <c r="K225" s="3" t="str">
        <f t="shared" si="68"/>
        <v>NC_000022.10:g.</v>
      </c>
      <c r="L225" s="3" t="str">
        <f t="shared" si="68"/>
        <v>NC_000022.10:g.</v>
      </c>
      <c r="M225" s="3" t="str">
        <f t="shared" si="68"/>
        <v>NC_000022.10:g.</v>
      </c>
      <c r="P225" s="14" t="s">
        <v>21</v>
      </c>
      <c r="Q225" s="15"/>
      <c r="Z225" s="3" t="str">
        <f t="shared" ref="Z225:AB225" si="70">Z203</f>
        <v>NC_000022.10:g.</v>
      </c>
      <c r="AA225" s="3" t="str">
        <f t="shared" si="70"/>
        <v>NC_000022.10:g.</v>
      </c>
      <c r="AB225" s="3">
        <f t="shared" si="70"/>
        <v>0</v>
      </c>
    </row>
    <row r="226" spans="1:28" x14ac:dyDescent="0.25">
      <c r="A226" s="14" t="s">
        <v>72</v>
      </c>
      <c r="C226" s="3" t="str">
        <f>CONCATENATE("  &lt;Analysis name=",CHAR(34),B224,CHAR(34))</f>
        <v xml:space="preserve">  &lt;Analysis name="G158A (A;A) and C62T (C;T) and T19943884C (T;C)"</v>
      </c>
      <c r="J226" s="3" t="str">
        <f t="shared" ref="J226:M233" si="71">J204</f>
        <v>Variant</v>
      </c>
      <c r="K226" s="3" t="str">
        <f t="shared" si="71"/>
        <v>[19951271G&gt;A]</v>
      </c>
      <c r="L226" s="3" t="str">
        <f t="shared" si="71"/>
        <v>[19950235C&gt;T]</v>
      </c>
      <c r="M226" s="3" t="str">
        <f t="shared" si="71"/>
        <v>[19931407T&gt;C]</v>
      </c>
      <c r="P226" s="14" t="s">
        <v>72</v>
      </c>
      <c r="Q226" s="15"/>
      <c r="Y226" s="3" t="str">
        <f t="shared" ref="Y226:AB226" si="72">Y204</f>
        <v>Variant</v>
      </c>
      <c r="Z226" s="3" t="str">
        <f t="shared" si="72"/>
        <v>[19948337T&gt;C]</v>
      </c>
      <c r="AA226" s="3" t="str">
        <f t="shared" si="72"/>
        <v>[19937533T&gt;G]</v>
      </c>
      <c r="AB226" s="3">
        <f t="shared" si="72"/>
        <v>0</v>
      </c>
    </row>
    <row r="227" spans="1:28" x14ac:dyDescent="0.25">
      <c r="A227" s="26" t="s">
        <v>75</v>
      </c>
      <c r="B227" s="15" t="str">
        <f>CONCATENATE("People with this variant have two copies of the ",B22," variant and one copy of the ",B31, " and ",B40," variants. This substitution of a single nucleotide is known as a missense mutation.")</f>
        <v>People with this variant have two copies of the [G158A](https://www.ncbi.nlm.nih.gov/pubmed/21059181) variant and one copy of the [C62T](https://www.ncbi.nlm.nih.gov/pubmed/26891941) and [T19943884C](https://www.ncbi.nlm.nih.gov/pubmed/19540336) variants. This substitution of a single nucleotide is known as a missense mutation.</v>
      </c>
      <c r="C227" s="3" t="str">
        <f>CONCATENATE("            case={  variantCall ",CHAR(40),CHAR(34),K229,CHAR(34),CHAR(41))</f>
        <v xml:space="preserve">            case={  variantCall ("NC_000022.10:g.[19951271G&gt;A];[19951271G&gt;A]")</v>
      </c>
      <c r="J227" s="3" t="str">
        <f t="shared" si="71"/>
        <v>Wildtype</v>
      </c>
      <c r="K227" s="3" t="str">
        <f t="shared" si="71"/>
        <v>[19951271=]</v>
      </c>
      <c r="L227" s="3" t="str">
        <f t="shared" si="71"/>
        <v>[19950235=]</v>
      </c>
      <c r="M227" s="3" t="str">
        <f t="shared" si="71"/>
        <v>[19931407=]</v>
      </c>
      <c r="P227" s="26" t="s">
        <v>75</v>
      </c>
      <c r="Q227" s="15"/>
      <c r="Y227" s="3" t="str">
        <f t="shared" ref="Y227:AB227" si="73">Y205</f>
        <v>Wildtype</v>
      </c>
      <c r="Z227" s="3" t="str">
        <f t="shared" si="73"/>
        <v>[19948337=]</v>
      </c>
      <c r="AA227" s="3" t="str">
        <f t="shared" si="73"/>
        <v>[19937533=]</v>
      </c>
      <c r="AB227" s="3">
        <f t="shared" si="73"/>
        <v>0</v>
      </c>
    </row>
    <row r="228" spans="1:28" x14ac:dyDescent="0.25">
      <c r="A228" s="26" t="s">
        <v>28</v>
      </c>
      <c r="B228" s="36"/>
      <c r="C228" s="3" t="s">
        <v>71</v>
      </c>
      <c r="J228" s="3" t="str">
        <f t="shared" si="71"/>
        <v>Het</v>
      </c>
      <c r="K228" s="3" t="str">
        <f t="shared" si="71"/>
        <v>NC_000022.10:g.[19951271G&gt;A];[19951271=]</v>
      </c>
      <c r="L228" s="3" t="str">
        <f t="shared" si="71"/>
        <v>NC_000022.10:g.[19950235C&gt;T];[19950235=]</v>
      </c>
      <c r="M228" s="3" t="str">
        <f t="shared" si="71"/>
        <v>NC_000022.10:g.[19931407T&gt;C];[19931407=]</v>
      </c>
      <c r="P228" s="26" t="s">
        <v>28</v>
      </c>
      <c r="Q228" s="36"/>
      <c r="Y228" s="3" t="str">
        <f t="shared" ref="Y228:AB228" si="74">Y206</f>
        <v>Het</v>
      </c>
      <c r="Z228" s="3" t="str">
        <f t="shared" si="74"/>
        <v>NC_000022.10:g.[19948337T&gt;C];[19948337=]</v>
      </c>
      <c r="AA228" s="3" t="str">
        <f t="shared" si="74"/>
        <v>NC_000022.10:g.[19937533T&gt;G];[19937533=]</v>
      </c>
      <c r="AB228" s="3" t="str">
        <f t="shared" si="74"/>
        <v>00;0</v>
      </c>
    </row>
    <row r="229" spans="1:28" x14ac:dyDescent="0.25">
      <c r="A229" s="26" t="s">
        <v>73</v>
      </c>
      <c r="C229" s="3" t="str">
        <f>CONCATENATE("                    variantCall ",CHAR(40),CHAR(34),L228,CHAR(34),CHAR(41))</f>
        <v xml:space="preserve">                    variantCall ("NC_000022.10:g.[19950235C&gt;T];[19950235=]")</v>
      </c>
      <c r="J229" s="3" t="str">
        <f t="shared" si="71"/>
        <v>Homo</v>
      </c>
      <c r="K229" s="3" t="str">
        <f t="shared" si="71"/>
        <v>NC_000022.10:g.[19951271G&gt;A];[19951271G&gt;A]</v>
      </c>
      <c r="L229" s="3" t="str">
        <f t="shared" si="71"/>
        <v>NC_000022.10:g.[19950235C&gt;T];[19950235C&gt;T]</v>
      </c>
      <c r="M229" s="3" t="str">
        <f t="shared" si="71"/>
        <v>NC_000022.10:g.[19931407T&gt;C];[19931407T&gt;C]</v>
      </c>
      <c r="P229" s="26" t="s">
        <v>73</v>
      </c>
      <c r="Q229" s="15"/>
      <c r="Y229" s="3" t="str">
        <f t="shared" ref="Y229:AB229" si="75">Y207</f>
        <v>Homo</v>
      </c>
      <c r="Z229" s="3" t="str">
        <f t="shared" si="75"/>
        <v>NC_000022.10:g.[19948337T&gt;C];[19948337T&gt;C]</v>
      </c>
      <c r="AA229" s="3" t="str">
        <f t="shared" si="75"/>
        <v>NC_000022.10:g.[19937533T&gt;G];[19937533T&gt;G]</v>
      </c>
      <c r="AB229" s="3" t="str">
        <f t="shared" si="75"/>
        <v>00;0</v>
      </c>
    </row>
    <row r="230" spans="1:28" x14ac:dyDescent="0.25">
      <c r="A230" s="26"/>
      <c r="C230" s="3" t="s">
        <v>71</v>
      </c>
      <c r="J230" s="3" t="str">
        <f t="shared" si="71"/>
        <v>Wildtype</v>
      </c>
      <c r="K230" s="3" t="str">
        <f t="shared" si="71"/>
        <v>NC_000022.10:g.[19951271=];[19951271=]</v>
      </c>
      <c r="L230" s="3" t="str">
        <f t="shared" si="71"/>
        <v>NC_000022.10:g.[19950235=];[19950235=]</v>
      </c>
      <c r="M230" s="3" t="str">
        <f t="shared" si="71"/>
        <v>NC_000022.10:g.[19931407=];[19931407=]</v>
      </c>
      <c r="P230" s="26"/>
      <c r="Q230" s="15"/>
      <c r="Y230" s="3" t="str">
        <f t="shared" ref="Y230:AB230" si="76">Y208</f>
        <v>Wildtype</v>
      </c>
      <c r="Z230" s="3" t="str">
        <f t="shared" si="76"/>
        <v>NC_000022.10:g.[19948337=];[19948337=]</v>
      </c>
      <c r="AA230" s="3" t="str">
        <f t="shared" si="76"/>
        <v>NC_000022.10:g.[19937533=];[19937533=]</v>
      </c>
      <c r="AB230" s="3" t="str">
        <f t="shared" si="76"/>
        <v>00;0</v>
      </c>
    </row>
    <row r="231" spans="1:28" x14ac:dyDescent="0.25">
      <c r="A231" s="26"/>
      <c r="C231" s="3" t="str">
        <f>CONCATENATE("                    variantCall ",CHAR(40),CHAR(34),M228,CHAR(34),CHAR(41))</f>
        <v xml:space="preserve">                    variantCall ("NC_000022.10:g.[19931407T&gt;C];[19931407=]")</v>
      </c>
      <c r="J231" s="3" t="str">
        <f t="shared" si="71"/>
        <v>Het%</v>
      </c>
      <c r="K231" s="3">
        <f t="shared" si="71"/>
        <v>43</v>
      </c>
      <c r="L231" s="3">
        <f t="shared" si="71"/>
        <v>1.8</v>
      </c>
      <c r="M231" s="3">
        <f t="shared" si="71"/>
        <v>15.8</v>
      </c>
      <c r="P231" s="26"/>
      <c r="Q231" s="15"/>
      <c r="Y231" s="3" t="str">
        <f t="shared" ref="Y231:AB231" si="77">Y209</f>
        <v>Het%</v>
      </c>
      <c r="Z231" s="3">
        <f t="shared" si="77"/>
        <v>43</v>
      </c>
      <c r="AA231" s="3">
        <f t="shared" si="77"/>
        <v>1.8</v>
      </c>
      <c r="AB231" s="3">
        <f t="shared" si="77"/>
        <v>15.8</v>
      </c>
    </row>
    <row r="232" spans="1:28" x14ac:dyDescent="0.25">
      <c r="A232" s="26"/>
      <c r="C232" s="3" t="str">
        <f>CONCATENATE("                  } &gt; ")</f>
        <v xml:space="preserve">                  } &gt; </v>
      </c>
      <c r="J232" s="3" t="str">
        <f t="shared" si="71"/>
        <v>Homo%</v>
      </c>
      <c r="K232" s="3">
        <f t="shared" si="71"/>
        <v>19.899999999999999</v>
      </c>
      <c r="L232" s="3">
        <f t="shared" si="71"/>
        <v>0.5</v>
      </c>
      <c r="M232" s="3">
        <f t="shared" si="71"/>
        <v>4.7</v>
      </c>
      <c r="P232" s="26"/>
      <c r="Q232" s="15"/>
      <c r="Y232" s="3" t="str">
        <f t="shared" ref="Y232:AB232" si="78">Y210</f>
        <v>Homo%</v>
      </c>
      <c r="Z232" s="3">
        <f t="shared" si="78"/>
        <v>19.899999999999999</v>
      </c>
      <c r="AA232" s="3">
        <f t="shared" si="78"/>
        <v>0.5</v>
      </c>
      <c r="AB232" s="3">
        <f t="shared" si="78"/>
        <v>4.7</v>
      </c>
    </row>
    <row r="233" spans="1:28" x14ac:dyDescent="0.25">
      <c r="A233" s="14"/>
      <c r="J233" s="3" t="str">
        <f t="shared" si="71"/>
        <v>Wildtype%</v>
      </c>
      <c r="K233" s="3">
        <f t="shared" si="71"/>
        <v>37.1</v>
      </c>
      <c r="L233" s="3">
        <f t="shared" si="71"/>
        <v>97.8</v>
      </c>
      <c r="M233" s="3">
        <f t="shared" si="71"/>
        <v>79.5</v>
      </c>
      <c r="P233" s="14"/>
      <c r="Q233" s="15"/>
      <c r="Y233" s="3" t="str">
        <f t="shared" ref="Y233:AB233" si="79">Y211</f>
        <v>Wildtype%</v>
      </c>
      <c r="Z233" s="3">
        <f t="shared" si="79"/>
        <v>37.1</v>
      </c>
      <c r="AA233" s="3">
        <f t="shared" si="79"/>
        <v>97.8</v>
      </c>
      <c r="AB233" s="3">
        <f t="shared" si="79"/>
        <v>79.5</v>
      </c>
    </row>
    <row r="234" spans="1:28" x14ac:dyDescent="0.25">
      <c r="A234" s="14"/>
      <c r="C234" s="3" t="s">
        <v>26</v>
      </c>
      <c r="P234" s="14"/>
      <c r="Q234" s="15"/>
    </row>
    <row r="235" spans="1:28" x14ac:dyDescent="0.25">
      <c r="A235" s="14"/>
      <c r="P235" s="14"/>
      <c r="Q235" s="15"/>
    </row>
    <row r="236" spans="1:28" x14ac:dyDescent="0.25">
      <c r="A236" s="14"/>
      <c r="C236" s="3" t="str">
        <f>CONCATENATE("    ",B227)</f>
        <v xml:space="preserve">    People with this variant have two copies of the [G158A](https://www.ncbi.nlm.nih.gov/pubmed/21059181) variant and one copy of the [C62T](https://www.ncbi.nlm.nih.gov/pubmed/26891941) and [T19943884C](https://www.ncbi.nlm.nih.gov/pubmed/19540336) variants. This substitution of a single nucleotide is known as a missense mutation.</v>
      </c>
      <c r="P236" s="14"/>
      <c r="Q236" s="15"/>
    </row>
    <row r="237" spans="1:28" x14ac:dyDescent="0.25">
      <c r="A237" s="14"/>
      <c r="P237" s="14"/>
      <c r="Q237" s="15"/>
    </row>
    <row r="238" spans="1:28" x14ac:dyDescent="0.25">
      <c r="A238" s="26"/>
      <c r="C238" s="3" t="s">
        <v>29</v>
      </c>
      <c r="P238" s="26"/>
      <c r="Q238" s="15"/>
    </row>
    <row r="239" spans="1:28" x14ac:dyDescent="0.25">
      <c r="A239" s="26"/>
      <c r="P239" s="26"/>
      <c r="Q239" s="15"/>
    </row>
    <row r="240" spans="1:28" x14ac:dyDescent="0.25">
      <c r="A240" s="26"/>
      <c r="C240" s="3" t="str">
        <f>CONCATENATE(B228)</f>
        <v/>
      </c>
      <c r="P240" s="26"/>
      <c r="Q240" s="15"/>
    </row>
    <row r="241" spans="1:28" x14ac:dyDescent="0.25">
      <c r="A241" s="26"/>
      <c r="P241" s="26"/>
      <c r="Q241" s="15"/>
    </row>
    <row r="242" spans="1:28" x14ac:dyDescent="0.25">
      <c r="A242" s="26"/>
      <c r="C242" s="3" t="s">
        <v>30</v>
      </c>
      <c r="P242" s="26"/>
      <c r="Q242" s="15"/>
    </row>
    <row r="243" spans="1:28" x14ac:dyDescent="0.25">
      <c r="A243" s="26"/>
      <c r="P243" s="26"/>
      <c r="Q243" s="15"/>
    </row>
    <row r="244" spans="1:28" x14ac:dyDescent="0.25">
      <c r="A244" s="26"/>
      <c r="C244" s="3" t="str">
        <f>CONCATENATE( "    &lt;piechart percentage=",B229," /&gt;")</f>
        <v xml:space="preserve">    &lt;piechart percentage= /&gt;</v>
      </c>
      <c r="P244" s="26"/>
      <c r="Q244" s="15"/>
    </row>
    <row r="245" spans="1:28" x14ac:dyDescent="0.25">
      <c r="A245" s="26"/>
      <c r="C245" s="3" t="str">
        <f>"  &lt;/Analysis&gt;"</f>
        <v xml:space="preserve">  &lt;/Analysis&gt;</v>
      </c>
      <c r="K245" s="3" t="str">
        <f t="shared" ref="K245:M247" si="80">K223</f>
        <v>rs6691840</v>
      </c>
      <c r="L245" s="3" t="str">
        <f t="shared" si="80"/>
        <v>rs3913434</v>
      </c>
      <c r="M245" s="3" t="str">
        <f t="shared" si="80"/>
        <v>rs270838</v>
      </c>
      <c r="P245" s="26"/>
      <c r="Q245" s="15"/>
      <c r="Z245" s="3">
        <f t="shared" ref="Z245:AB245" si="81">Z223</f>
        <v>0</v>
      </c>
      <c r="AA245" s="3">
        <f t="shared" si="81"/>
        <v>0</v>
      </c>
      <c r="AB245" s="3">
        <f t="shared" si="81"/>
        <v>0</v>
      </c>
    </row>
    <row r="246" spans="1:28" s="21" customFormat="1" x14ac:dyDescent="0.25">
      <c r="A246" s="28" t="s">
        <v>70</v>
      </c>
      <c r="B246" s="20" t="str">
        <f>CONCATENATE(B70," and ",B114)</f>
        <v>G158A (A;G) and C62T (C;T)</v>
      </c>
      <c r="C246" s="21" t="str">
        <f>CONCATENATE("&lt;# ",B246," #&gt;")</f>
        <v>&lt;# G158A (A;G) and C62T (C;T) #&gt;</v>
      </c>
      <c r="K246" s="21" t="str">
        <f t="shared" si="80"/>
        <v>G158A</v>
      </c>
      <c r="L246" s="21" t="str">
        <f t="shared" si="80"/>
        <v>C62T</v>
      </c>
      <c r="M246" s="21" t="str">
        <f t="shared" si="80"/>
        <v>T19943884C</v>
      </c>
      <c r="P246" s="28" t="s">
        <v>70</v>
      </c>
      <c r="Q246" s="20" t="str">
        <f>CONCATENATE(Q70," and ",Q114)</f>
        <v>T19960814C (C;C) and T19950010G (T;G)</v>
      </c>
      <c r="R246" s="21" t="str">
        <f>CONCATENATE("&lt;# ",Q246," #&gt;")</f>
        <v>&lt;# T19960814C (C;C) and T19950010G (T;G) #&gt;</v>
      </c>
      <c r="Z246" s="21" t="str">
        <f t="shared" ref="Z246:AB246" si="82">Z224</f>
        <v>T19960814C</v>
      </c>
      <c r="AA246" s="21" t="str">
        <f t="shared" si="82"/>
        <v>T19950010G</v>
      </c>
      <c r="AB246" s="21">
        <f t="shared" si="82"/>
        <v>0</v>
      </c>
    </row>
    <row r="247" spans="1:28" x14ac:dyDescent="0.25">
      <c r="A247" s="14" t="s">
        <v>21</v>
      </c>
      <c r="B247" s="15" t="str">
        <f>K118</f>
        <v>NC_000022.10:g.[19951271G&gt;A];[19951271=]</v>
      </c>
      <c r="K247" s="3" t="str">
        <f t="shared" si="80"/>
        <v>NC_000022.10:g.</v>
      </c>
      <c r="L247" s="3" t="str">
        <f t="shared" si="80"/>
        <v>NC_000022.10:g.</v>
      </c>
      <c r="M247" s="3" t="str">
        <f t="shared" si="80"/>
        <v>NC_000022.10:g.</v>
      </c>
      <c r="P247" s="14" t="s">
        <v>21</v>
      </c>
      <c r="Q247" s="15" t="str">
        <f>Z118</f>
        <v>NC_000022.10:g.[19948337T&gt;C];[19948337=]</v>
      </c>
      <c r="Z247" s="3" t="str">
        <f t="shared" ref="Z247:AB247" si="83">Z225</f>
        <v>NC_000022.10:g.</v>
      </c>
      <c r="AA247" s="3" t="str">
        <f t="shared" si="83"/>
        <v>NC_000022.10:g.</v>
      </c>
      <c r="AB247" s="3">
        <f t="shared" si="83"/>
        <v>0</v>
      </c>
    </row>
    <row r="248" spans="1:28" x14ac:dyDescent="0.25">
      <c r="A248" s="14" t="s">
        <v>72</v>
      </c>
      <c r="C248" s="3" t="str">
        <f>CONCATENATE("  &lt;Analysis name=",CHAR(34),B246,CHAR(34))</f>
        <v xml:space="preserve">  &lt;Analysis name="G158A (A;G) and C62T (C;T)"</v>
      </c>
      <c r="J248" s="3" t="str">
        <f t="shared" ref="J248:M255" si="84">J226</f>
        <v>Variant</v>
      </c>
      <c r="K248" s="3" t="str">
        <f t="shared" si="84"/>
        <v>[19951271G&gt;A]</v>
      </c>
      <c r="L248" s="3" t="str">
        <f t="shared" si="84"/>
        <v>[19950235C&gt;T]</v>
      </c>
      <c r="M248" s="3" t="str">
        <f t="shared" si="84"/>
        <v>[19931407T&gt;C]</v>
      </c>
      <c r="P248" s="14" t="s">
        <v>72</v>
      </c>
      <c r="Q248" s="15"/>
      <c r="R248" s="3" t="str">
        <f>CONCATENATE("  &lt;Analysis name=",CHAR(34),Q246,CHAR(34))</f>
        <v xml:space="preserve">  &lt;Analysis name="T19960814C (C;C) and T19950010G (T;G)"</v>
      </c>
      <c r="Y248" s="3" t="str">
        <f t="shared" ref="Y248:AB248" si="85">Y226</f>
        <v>Variant</v>
      </c>
      <c r="Z248" s="3" t="str">
        <f t="shared" si="85"/>
        <v>[19948337T&gt;C]</v>
      </c>
      <c r="AA248" s="3" t="str">
        <f t="shared" si="85"/>
        <v>[19937533T&gt;G]</v>
      </c>
      <c r="AB248" s="3">
        <f t="shared" si="85"/>
        <v>0</v>
      </c>
    </row>
    <row r="249" spans="1:28" x14ac:dyDescent="0.25">
      <c r="A249" s="26" t="s">
        <v>75</v>
      </c>
      <c r="B249" s="15" t="str">
        <f>CONCATENATE("People with this variant have one copy of the ",B22, ", and ",B31," variants. This substitution of a single nucleotide is known as a missense mutation.")</f>
        <v>People with this variant have one copy of the [G158A](https://www.ncbi.nlm.nih.gov/pubmed/21059181), and [C62T](https://www.ncbi.nlm.nih.gov/pubmed/26891941) variants. This substitution of a single nucleotide is known as a missense mutation.</v>
      </c>
      <c r="C249" s="3" t="str">
        <f>CONCATENATE("            case={  variantCall ",CHAR(40),CHAR(34),K250,CHAR(34),CHAR(41))</f>
        <v xml:space="preserve">            case={  variantCall ("NC_000022.10:g.[19951271G&gt;A];[19951271=]")</v>
      </c>
      <c r="J249" s="3" t="str">
        <f t="shared" si="84"/>
        <v>Wildtype</v>
      </c>
      <c r="K249" s="3" t="str">
        <f t="shared" si="84"/>
        <v>[19951271=]</v>
      </c>
      <c r="L249" s="3" t="str">
        <f t="shared" si="84"/>
        <v>[19950235=]</v>
      </c>
      <c r="M249" s="3" t="str">
        <f t="shared" si="84"/>
        <v>[19931407=]</v>
      </c>
      <c r="P249" s="26" t="s">
        <v>75</v>
      </c>
      <c r="Q249" s="15" t="str">
        <f>CONCATENATE("People with this variant have one copy of the ",Q22, ", and ",Q31," variants. This substitution of a single nucleotide is known as a missense mutation.")</f>
        <v>People with this variant have one copy of the [T19960814C](https://www.ncbi.nlm.nih.gov/pubmed/19772600), and [T19950010G](https://www.ncbi.nlm.nih.gov/pubmed/19540336) variants. This substitution of a single nucleotide is known as a missense mutation.</v>
      </c>
      <c r="R249" s="3" t="str">
        <f>CONCATENATE("            case={  variantCall ",CHAR(40),CHAR(34),Z250,CHAR(34),CHAR(41))</f>
        <v xml:space="preserve">            case={  variantCall ("NC_000022.10:g.[19948337T&gt;C];[19948337=]")</v>
      </c>
      <c r="Y249" s="3" t="str">
        <f t="shared" ref="Y249:AB249" si="86">Y227</f>
        <v>Wildtype</v>
      </c>
      <c r="Z249" s="3" t="str">
        <f t="shared" si="86"/>
        <v>[19948337=]</v>
      </c>
      <c r="AA249" s="3" t="str">
        <f t="shared" si="86"/>
        <v>[19937533=]</v>
      </c>
      <c r="AB249" s="3">
        <f t="shared" si="86"/>
        <v>0</v>
      </c>
    </row>
    <row r="250" spans="1:28" x14ac:dyDescent="0.25">
      <c r="A250" s="26" t="s">
        <v>28</v>
      </c>
      <c r="B250" s="15" t="s">
        <v>115</v>
      </c>
      <c r="C250" s="3" t="s">
        <v>71</v>
      </c>
      <c r="J250" s="3" t="str">
        <f t="shared" si="84"/>
        <v>Het</v>
      </c>
      <c r="K250" s="3" t="str">
        <f t="shared" si="84"/>
        <v>NC_000022.10:g.[19951271G&gt;A];[19951271=]</v>
      </c>
      <c r="L250" s="3" t="str">
        <f t="shared" si="84"/>
        <v>NC_000022.10:g.[19950235C&gt;T];[19950235=]</v>
      </c>
      <c r="M250" s="3" t="str">
        <f t="shared" si="84"/>
        <v>NC_000022.10:g.[19931407T&gt;C];[19931407=]</v>
      </c>
      <c r="P250" s="26" t="s">
        <v>28</v>
      </c>
      <c r="Q250" s="15" t="s">
        <v>115</v>
      </c>
      <c r="R250" s="3" t="s">
        <v>71</v>
      </c>
      <c r="Y250" s="3" t="str">
        <f t="shared" ref="Y250:AB250" si="87">Y228</f>
        <v>Het</v>
      </c>
      <c r="Z250" s="3" t="str">
        <f t="shared" si="87"/>
        <v>NC_000022.10:g.[19948337T&gt;C];[19948337=]</v>
      </c>
      <c r="AA250" s="3" t="str">
        <f t="shared" si="87"/>
        <v>NC_000022.10:g.[19937533T&gt;G];[19937533=]</v>
      </c>
      <c r="AB250" s="3" t="str">
        <f t="shared" si="87"/>
        <v>00;0</v>
      </c>
    </row>
    <row r="251" spans="1:28" x14ac:dyDescent="0.25">
      <c r="A251" s="26" t="s">
        <v>73</v>
      </c>
      <c r="C251" s="3" t="str">
        <f>CONCATENATE("                    variantCall ",CHAR(40),CHAR(34),L250,CHAR(34),CHAR(41))</f>
        <v xml:space="preserve">                    variantCall ("NC_000022.10:g.[19950235C&gt;T];[19950235=]")</v>
      </c>
      <c r="J251" s="3" t="str">
        <f t="shared" si="84"/>
        <v>Homo</v>
      </c>
      <c r="K251" s="3" t="str">
        <f t="shared" si="84"/>
        <v>NC_000022.10:g.[19951271G&gt;A];[19951271G&gt;A]</v>
      </c>
      <c r="L251" s="3" t="str">
        <f t="shared" si="84"/>
        <v>NC_000022.10:g.[19950235C&gt;T];[19950235C&gt;T]</v>
      </c>
      <c r="M251" s="3" t="str">
        <f t="shared" si="84"/>
        <v>NC_000022.10:g.[19931407T&gt;C];[19931407T&gt;C]</v>
      </c>
      <c r="P251" s="26" t="s">
        <v>73</v>
      </c>
      <c r="Q251" s="15"/>
      <c r="R251" s="3" t="str">
        <f>CONCATENATE("                    variantCall ",CHAR(40),CHAR(34),AA250,CHAR(34),CHAR(41))</f>
        <v xml:space="preserve">                    variantCall ("NC_000022.10:g.[19937533T&gt;G];[19937533=]")</v>
      </c>
      <c r="Y251" s="3" t="str">
        <f t="shared" ref="Y251:AB251" si="88">Y229</f>
        <v>Homo</v>
      </c>
      <c r="Z251" s="3" t="str">
        <f t="shared" si="88"/>
        <v>NC_000022.10:g.[19948337T&gt;C];[19948337T&gt;C]</v>
      </c>
      <c r="AA251" s="3" t="str">
        <f t="shared" si="88"/>
        <v>NC_000022.10:g.[19937533T&gt;G];[19937533T&gt;G]</v>
      </c>
      <c r="AB251" s="3" t="str">
        <f t="shared" si="88"/>
        <v>00;0</v>
      </c>
    </row>
    <row r="252" spans="1:28" x14ac:dyDescent="0.25">
      <c r="A252" s="26"/>
      <c r="C252" s="3" t="s">
        <v>71</v>
      </c>
      <c r="J252" s="3" t="str">
        <f t="shared" si="84"/>
        <v>Wildtype</v>
      </c>
      <c r="K252" s="3" t="str">
        <f t="shared" si="84"/>
        <v>NC_000022.10:g.[19951271=];[19951271=]</v>
      </c>
      <c r="L252" s="3" t="str">
        <f t="shared" si="84"/>
        <v>NC_000022.10:g.[19950235=];[19950235=]</v>
      </c>
      <c r="M252" s="3" t="str">
        <f t="shared" si="84"/>
        <v>NC_000022.10:g.[19931407=];[19931407=]</v>
      </c>
      <c r="P252" s="26"/>
      <c r="Q252" s="15"/>
      <c r="R252" s="3" t="s">
        <v>71</v>
      </c>
      <c r="Y252" s="3" t="str">
        <f t="shared" ref="Y252:AB252" si="89">Y230</f>
        <v>Wildtype</v>
      </c>
      <c r="Z252" s="3" t="str">
        <f t="shared" si="89"/>
        <v>NC_000022.10:g.[19948337=];[19948337=]</v>
      </c>
      <c r="AA252" s="3" t="str">
        <f t="shared" si="89"/>
        <v>NC_000022.10:g.[19937533=];[19937533=]</v>
      </c>
      <c r="AB252" s="3" t="str">
        <f t="shared" si="89"/>
        <v>00;0</v>
      </c>
    </row>
    <row r="253" spans="1:28" x14ac:dyDescent="0.25">
      <c r="A253" s="26"/>
      <c r="C253" s="3" t="str">
        <f>CONCATENATE("                    variantCall ",CHAR(40),CHAR(34),M250,CHAR(34),CHAR(41))</f>
        <v xml:space="preserve">                    variantCall ("NC_000022.10:g.[19931407T&gt;C];[19931407=]")</v>
      </c>
      <c r="J253" s="3" t="str">
        <f t="shared" si="84"/>
        <v>Het%</v>
      </c>
      <c r="K253" s="3">
        <f t="shared" si="84"/>
        <v>43</v>
      </c>
      <c r="L253" s="3">
        <f t="shared" si="84"/>
        <v>1.8</v>
      </c>
      <c r="M253" s="3">
        <f t="shared" si="84"/>
        <v>15.8</v>
      </c>
      <c r="P253" s="26"/>
      <c r="Q253" s="15"/>
      <c r="R253" s="3" t="str">
        <f>CONCATENATE("                    variantCall ",CHAR(40),CHAR(34),AB250,CHAR(34),CHAR(41))</f>
        <v xml:space="preserve">                    variantCall ("00;0")</v>
      </c>
      <c r="Y253" s="3" t="str">
        <f t="shared" ref="Y253:AB253" si="90">Y231</f>
        <v>Het%</v>
      </c>
      <c r="Z253" s="3">
        <f t="shared" si="90"/>
        <v>43</v>
      </c>
      <c r="AA253" s="3">
        <f t="shared" si="90"/>
        <v>1.8</v>
      </c>
      <c r="AB253" s="3">
        <f t="shared" si="90"/>
        <v>15.8</v>
      </c>
    </row>
    <row r="254" spans="1:28" x14ac:dyDescent="0.25">
      <c r="A254" s="26"/>
      <c r="C254" s="3" t="str">
        <f>CONCATENATE("                  } &gt; ")</f>
        <v xml:space="preserve">                  } &gt; </v>
      </c>
      <c r="J254" s="3" t="str">
        <f t="shared" si="84"/>
        <v>Homo%</v>
      </c>
      <c r="K254" s="3">
        <f t="shared" si="84"/>
        <v>19.899999999999999</v>
      </c>
      <c r="L254" s="3">
        <f t="shared" si="84"/>
        <v>0.5</v>
      </c>
      <c r="M254" s="3">
        <f t="shared" si="84"/>
        <v>4.7</v>
      </c>
      <c r="P254" s="26"/>
      <c r="Q254" s="15"/>
      <c r="R254" s="3" t="str">
        <f>CONCATENATE("                  } &gt; ")</f>
        <v xml:space="preserve">                  } &gt; </v>
      </c>
      <c r="Y254" s="3" t="str">
        <f t="shared" ref="Y254:AB254" si="91">Y232</f>
        <v>Homo%</v>
      </c>
      <c r="Z254" s="3">
        <f t="shared" si="91"/>
        <v>19.899999999999999</v>
      </c>
      <c r="AA254" s="3">
        <f t="shared" si="91"/>
        <v>0.5</v>
      </c>
      <c r="AB254" s="3">
        <f t="shared" si="91"/>
        <v>4.7</v>
      </c>
    </row>
    <row r="255" spans="1:28" x14ac:dyDescent="0.25">
      <c r="A255" s="14"/>
      <c r="J255" s="3" t="str">
        <f t="shared" si="84"/>
        <v>Wildtype%</v>
      </c>
      <c r="K255" s="3">
        <f t="shared" si="84"/>
        <v>37.1</v>
      </c>
      <c r="L255" s="3">
        <f t="shared" si="84"/>
        <v>97.8</v>
      </c>
      <c r="M255" s="3">
        <f t="shared" si="84"/>
        <v>79.5</v>
      </c>
      <c r="P255" s="14"/>
      <c r="Q255" s="15"/>
      <c r="Y255" s="3" t="str">
        <f t="shared" ref="Y255:AB255" si="92">Y233</f>
        <v>Wildtype%</v>
      </c>
      <c r="Z255" s="3">
        <f t="shared" si="92"/>
        <v>37.1</v>
      </c>
      <c r="AA255" s="3">
        <f t="shared" si="92"/>
        <v>97.8</v>
      </c>
      <c r="AB255" s="3">
        <f t="shared" si="92"/>
        <v>79.5</v>
      </c>
    </row>
    <row r="256" spans="1:28" x14ac:dyDescent="0.25">
      <c r="A256" s="14"/>
      <c r="C256" s="3" t="s">
        <v>26</v>
      </c>
      <c r="P256" s="14"/>
      <c r="Q256" s="15"/>
      <c r="R256" s="3" t="s">
        <v>26</v>
      </c>
    </row>
    <row r="257" spans="1:28" x14ac:dyDescent="0.25">
      <c r="A257" s="14"/>
      <c r="P257" s="14"/>
      <c r="Q257" s="15"/>
    </row>
    <row r="258" spans="1:28" x14ac:dyDescent="0.25">
      <c r="A258" s="14"/>
      <c r="C258" s="3" t="str">
        <f>CONCATENATE("    ",B249)</f>
        <v xml:space="preserve">    People with this variant have one copy of the [G158A](https://www.ncbi.nlm.nih.gov/pubmed/21059181), and [C62T](https://www.ncbi.nlm.nih.gov/pubmed/26891941) variants. This substitution of a single nucleotide is known as a missense mutation.</v>
      </c>
      <c r="P258" s="14"/>
      <c r="Q258" s="15"/>
      <c r="R258" s="3" t="str">
        <f>CONCATENATE("    ",Q249)</f>
        <v xml:space="preserve">    People with this variant have one copy of the [T19960814C](https://www.ncbi.nlm.nih.gov/pubmed/19772600), and [T19950010G](https://www.ncbi.nlm.nih.gov/pubmed/19540336) variants. This substitution of a single nucleotide is known as a missense mutation.</v>
      </c>
    </row>
    <row r="259" spans="1:28" x14ac:dyDescent="0.25">
      <c r="A259" s="14"/>
      <c r="P259" s="14"/>
      <c r="Q259" s="15"/>
    </row>
    <row r="260" spans="1:28" x14ac:dyDescent="0.25">
      <c r="A260" s="26"/>
      <c r="C260" s="3" t="s">
        <v>29</v>
      </c>
      <c r="P260" s="26"/>
      <c r="Q260" s="15"/>
      <c r="R260" s="3" t="s">
        <v>29</v>
      </c>
    </row>
    <row r="261" spans="1:28" x14ac:dyDescent="0.25">
      <c r="A261" s="26"/>
      <c r="P261" s="26"/>
      <c r="Q261" s="15"/>
    </row>
    <row r="262" spans="1:28" x14ac:dyDescent="0.25">
      <c r="A262" s="26"/>
      <c r="C262" s="3" t="str">
        <f>CONCATENATE(B250)</f>
        <v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c r="P262" s="26"/>
      <c r="Q262" s="15"/>
      <c r="R262" s="3" t="str">
        <f>CONCATENATE(Q250)</f>
        <v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263" spans="1:28" x14ac:dyDescent="0.25">
      <c r="A263" s="26"/>
      <c r="P263" s="26"/>
      <c r="Q263" s="15"/>
    </row>
    <row r="264" spans="1:28" x14ac:dyDescent="0.25">
      <c r="A264" s="26"/>
      <c r="C264" s="3" t="s">
        <v>30</v>
      </c>
      <c r="P264" s="26"/>
      <c r="Q264" s="15"/>
      <c r="R264" s="3" t="s">
        <v>30</v>
      </c>
    </row>
    <row r="265" spans="1:28" x14ac:dyDescent="0.25">
      <c r="A265" s="26"/>
      <c r="P265" s="26"/>
      <c r="Q265" s="15"/>
    </row>
    <row r="266" spans="1:28" x14ac:dyDescent="0.25">
      <c r="A266" s="26"/>
      <c r="C266" s="3" t="str">
        <f>CONCATENATE( "    &lt;piechart percentage=",B251," /&gt;")</f>
        <v xml:space="preserve">    &lt;piechart percentage= /&gt;</v>
      </c>
      <c r="P266" s="26"/>
      <c r="Q266" s="15"/>
      <c r="R266" s="3" t="str">
        <f>CONCATENATE( "    &lt;piechart percentage=",Q251," /&gt;")</f>
        <v xml:space="preserve">    &lt;piechart percentage= /&gt;</v>
      </c>
    </row>
    <row r="267" spans="1:28" x14ac:dyDescent="0.25">
      <c r="A267" s="26"/>
      <c r="C267" s="3" t="str">
        <f>"  &lt;/Analysis&gt;"</f>
        <v xml:space="preserve">  &lt;/Analysis&gt;</v>
      </c>
      <c r="K267" s="3" t="str">
        <f t="shared" ref="K267:M269" si="93">K245</f>
        <v>rs6691840</v>
      </c>
      <c r="L267" s="3" t="str">
        <f t="shared" si="93"/>
        <v>rs3913434</v>
      </c>
      <c r="M267" s="3" t="str">
        <f t="shared" si="93"/>
        <v>rs270838</v>
      </c>
      <c r="P267" s="26"/>
      <c r="Q267" s="15"/>
      <c r="R267" s="3" t="str">
        <f>"  &lt;/Analysis&gt;"</f>
        <v xml:space="preserve">  &lt;/Analysis&gt;</v>
      </c>
      <c r="Z267" s="3">
        <f t="shared" ref="Z267:AB267" si="94">Z245</f>
        <v>0</v>
      </c>
      <c r="AA267" s="3">
        <f t="shared" si="94"/>
        <v>0</v>
      </c>
      <c r="AB267" s="3">
        <f t="shared" si="94"/>
        <v>0</v>
      </c>
    </row>
    <row r="268" spans="1:28" s="21" customFormat="1" x14ac:dyDescent="0.25">
      <c r="A268" s="28" t="s">
        <v>70</v>
      </c>
      <c r="B268" s="20" t="str">
        <f>CONCATENATE(B70," and ",B158)</f>
        <v>G158A (A;G) and T19943884C (T;C)</v>
      </c>
      <c r="C268" s="21" t="str">
        <f>CONCATENATE("&lt;# ",B268," #&gt;")</f>
        <v>&lt;# G158A (A;G) and T19943884C (T;C) #&gt;</v>
      </c>
      <c r="K268" s="21" t="str">
        <f t="shared" si="93"/>
        <v>G158A</v>
      </c>
      <c r="L268" s="21" t="str">
        <f t="shared" si="93"/>
        <v>C62T</v>
      </c>
      <c r="M268" s="21" t="str">
        <f t="shared" si="93"/>
        <v>T19943884C</v>
      </c>
      <c r="P268" s="28" t="s">
        <v>70</v>
      </c>
      <c r="Q268" s="20"/>
      <c r="Z268" s="21" t="str">
        <f t="shared" ref="Z268:AB268" si="95">Z246</f>
        <v>T19960814C</v>
      </c>
      <c r="AA268" s="21" t="str">
        <f t="shared" si="95"/>
        <v>T19950010G</v>
      </c>
      <c r="AB268" s="21">
        <f t="shared" si="95"/>
        <v>0</v>
      </c>
    </row>
    <row r="269" spans="1:28" x14ac:dyDescent="0.25">
      <c r="A269" s="14" t="s">
        <v>21</v>
      </c>
      <c r="B269" s="15" t="str">
        <f>K162</f>
        <v>NC_000022.10:g.[19951271G&gt;A];[19951271=]</v>
      </c>
      <c r="K269" s="3" t="str">
        <f t="shared" si="93"/>
        <v>NC_000022.10:g.</v>
      </c>
      <c r="L269" s="3" t="str">
        <f t="shared" si="93"/>
        <v>NC_000022.10:g.</v>
      </c>
      <c r="M269" s="3" t="str">
        <f t="shared" si="93"/>
        <v>NC_000022.10:g.</v>
      </c>
      <c r="P269" s="14" t="s">
        <v>21</v>
      </c>
      <c r="Q269" s="15"/>
      <c r="Z269" s="3" t="str">
        <f t="shared" ref="Z269:AB269" si="96">Z247</f>
        <v>NC_000022.10:g.</v>
      </c>
      <c r="AA269" s="3" t="str">
        <f t="shared" si="96"/>
        <v>NC_000022.10:g.</v>
      </c>
      <c r="AB269" s="3">
        <f t="shared" si="96"/>
        <v>0</v>
      </c>
    </row>
    <row r="270" spans="1:28" x14ac:dyDescent="0.25">
      <c r="A270" s="14" t="s">
        <v>72</v>
      </c>
      <c r="C270" s="3" t="str">
        <f>CONCATENATE("  &lt;Analysis name=",CHAR(34),B268,CHAR(34))</f>
        <v xml:space="preserve">  &lt;Analysis name="G158A (A;G) and T19943884C (T;C)"</v>
      </c>
      <c r="J270" s="3" t="str">
        <f t="shared" ref="J270:M277" si="97">J248</f>
        <v>Variant</v>
      </c>
      <c r="K270" s="3" t="str">
        <f t="shared" si="97"/>
        <v>[19951271G&gt;A]</v>
      </c>
      <c r="L270" s="3" t="str">
        <f t="shared" si="97"/>
        <v>[19950235C&gt;T]</v>
      </c>
      <c r="M270" s="3" t="str">
        <f t="shared" si="97"/>
        <v>[19931407T&gt;C]</v>
      </c>
      <c r="P270" s="14" t="s">
        <v>72</v>
      </c>
      <c r="Q270" s="15"/>
      <c r="Y270" s="3" t="str">
        <f t="shared" ref="Y270:AB270" si="98">Y248</f>
        <v>Variant</v>
      </c>
      <c r="Z270" s="3" t="str">
        <f t="shared" si="98"/>
        <v>[19948337T&gt;C]</v>
      </c>
      <c r="AA270" s="3" t="str">
        <f t="shared" si="98"/>
        <v>[19937533T&gt;G]</v>
      </c>
      <c r="AB270" s="3">
        <f t="shared" si="98"/>
        <v>0</v>
      </c>
    </row>
    <row r="271" spans="1:28" x14ac:dyDescent="0.25">
      <c r="A271" s="26" t="s">
        <v>75</v>
      </c>
      <c r="B271" s="15" t="str">
        <f>CONCATENATE("People with this variant have one copy of the ",B22," and ",B40," variants. This substitution of a single nucleotide is known as a missense mutation.")</f>
        <v>People with this variant have one copy of the [G158A](https://www.ncbi.nlm.nih.gov/pubmed/21059181) and [T19943884C](https://www.ncbi.nlm.nih.gov/pubmed/19540336) variants. This substitution of a single nucleotide is known as a missense mutation.</v>
      </c>
      <c r="C271" s="3" t="str">
        <f>CONCATENATE("            case={  variantCall ",CHAR(40),CHAR(34),K272,CHAR(34),CHAR(41))</f>
        <v xml:space="preserve">            case={  variantCall ("NC_000022.10:g.[19951271G&gt;A];[19951271=]")</v>
      </c>
      <c r="J271" s="3" t="str">
        <f t="shared" si="97"/>
        <v>Wildtype</v>
      </c>
      <c r="K271" s="3" t="str">
        <f t="shared" si="97"/>
        <v>[19951271=]</v>
      </c>
      <c r="L271" s="3" t="str">
        <f t="shared" si="97"/>
        <v>[19950235=]</v>
      </c>
      <c r="M271" s="3" t="str">
        <f t="shared" si="97"/>
        <v>[19931407=]</v>
      </c>
      <c r="P271" s="26" t="s">
        <v>75</v>
      </c>
      <c r="Q271" s="15"/>
      <c r="Y271" s="3" t="str">
        <f t="shared" ref="Y271:AB271" si="99">Y249</f>
        <v>Wildtype</v>
      </c>
      <c r="Z271" s="3" t="str">
        <f t="shared" si="99"/>
        <v>[19948337=]</v>
      </c>
      <c r="AA271" s="3" t="str">
        <f t="shared" si="99"/>
        <v>[19937533=]</v>
      </c>
      <c r="AB271" s="3">
        <f t="shared" si="99"/>
        <v>0</v>
      </c>
    </row>
    <row r="272" spans="1:28" x14ac:dyDescent="0.25">
      <c r="A272" s="26" t="s">
        <v>28</v>
      </c>
      <c r="B272" s="15" t="s">
        <v>116</v>
      </c>
      <c r="C272" s="3" t="s">
        <v>71</v>
      </c>
      <c r="J272" s="3" t="str">
        <f t="shared" si="97"/>
        <v>Het</v>
      </c>
      <c r="K272" s="3" t="str">
        <f t="shared" si="97"/>
        <v>NC_000022.10:g.[19951271G&gt;A];[19951271=]</v>
      </c>
      <c r="L272" s="3" t="str">
        <f t="shared" si="97"/>
        <v>NC_000022.10:g.[19950235C&gt;T];[19950235=]</v>
      </c>
      <c r="M272" s="3" t="str">
        <f t="shared" si="97"/>
        <v>NC_000022.10:g.[19931407T&gt;C];[19931407=]</v>
      </c>
      <c r="P272" s="26" t="s">
        <v>28</v>
      </c>
      <c r="Q272" s="15"/>
      <c r="Y272" s="3" t="str">
        <f t="shared" ref="Y272:AB272" si="100">Y250</f>
        <v>Het</v>
      </c>
      <c r="Z272" s="3" t="str">
        <f t="shared" si="100"/>
        <v>NC_000022.10:g.[19948337T&gt;C];[19948337=]</v>
      </c>
      <c r="AA272" s="3" t="str">
        <f t="shared" si="100"/>
        <v>NC_000022.10:g.[19937533T&gt;G];[19937533=]</v>
      </c>
      <c r="AB272" s="3" t="str">
        <f t="shared" si="100"/>
        <v>00;0</v>
      </c>
    </row>
    <row r="273" spans="1:28" x14ac:dyDescent="0.25">
      <c r="A273" s="26" t="s">
        <v>73</v>
      </c>
      <c r="C273" s="3" t="str">
        <f>CONCATENATE("                    variantCall ",CHAR(40),CHAR(34),L272,CHAR(34),CHAR(41))</f>
        <v xml:space="preserve">                    variantCall ("NC_000022.10:g.[19950235C&gt;T];[19950235=]")</v>
      </c>
      <c r="J273" s="3" t="str">
        <f t="shared" si="97"/>
        <v>Homo</v>
      </c>
      <c r="K273" s="3" t="str">
        <f t="shared" si="97"/>
        <v>NC_000022.10:g.[19951271G&gt;A];[19951271G&gt;A]</v>
      </c>
      <c r="L273" s="3" t="str">
        <f t="shared" si="97"/>
        <v>NC_000022.10:g.[19950235C&gt;T];[19950235C&gt;T]</v>
      </c>
      <c r="M273" s="3" t="str">
        <f t="shared" si="97"/>
        <v>NC_000022.10:g.[19931407T&gt;C];[19931407T&gt;C]</v>
      </c>
      <c r="P273" s="26" t="s">
        <v>73</v>
      </c>
      <c r="Q273" s="15"/>
      <c r="Y273" s="3" t="str">
        <f t="shared" ref="Y273:AB273" si="101">Y251</f>
        <v>Homo</v>
      </c>
      <c r="Z273" s="3" t="str">
        <f t="shared" si="101"/>
        <v>NC_000022.10:g.[19948337T&gt;C];[19948337T&gt;C]</v>
      </c>
      <c r="AA273" s="3" t="str">
        <f t="shared" si="101"/>
        <v>NC_000022.10:g.[19937533T&gt;G];[19937533T&gt;G]</v>
      </c>
      <c r="AB273" s="3" t="str">
        <f t="shared" si="101"/>
        <v>00;0</v>
      </c>
    </row>
    <row r="274" spans="1:28" x14ac:dyDescent="0.25">
      <c r="A274" s="26"/>
      <c r="C274" s="3" t="s">
        <v>71</v>
      </c>
      <c r="J274" s="3" t="str">
        <f t="shared" si="97"/>
        <v>Wildtype</v>
      </c>
      <c r="K274" s="3" t="str">
        <f t="shared" si="97"/>
        <v>NC_000022.10:g.[19951271=];[19951271=]</v>
      </c>
      <c r="L274" s="3" t="str">
        <f t="shared" si="97"/>
        <v>NC_000022.10:g.[19950235=];[19950235=]</v>
      </c>
      <c r="M274" s="3" t="str">
        <f t="shared" si="97"/>
        <v>NC_000022.10:g.[19931407=];[19931407=]</v>
      </c>
      <c r="P274" s="26"/>
      <c r="Q274" s="15"/>
      <c r="Y274" s="3" t="str">
        <f t="shared" ref="Y274:AB274" si="102">Y252</f>
        <v>Wildtype</v>
      </c>
      <c r="Z274" s="3" t="str">
        <f t="shared" si="102"/>
        <v>NC_000022.10:g.[19948337=];[19948337=]</v>
      </c>
      <c r="AA274" s="3" t="str">
        <f t="shared" si="102"/>
        <v>NC_000022.10:g.[19937533=];[19937533=]</v>
      </c>
      <c r="AB274" s="3" t="str">
        <f t="shared" si="102"/>
        <v>00;0</v>
      </c>
    </row>
    <row r="275" spans="1:28" x14ac:dyDescent="0.25">
      <c r="A275" s="26"/>
      <c r="C275" s="3" t="str">
        <f>CONCATENATE("                    variantCall ",CHAR(40),CHAR(34),M272,CHAR(34),CHAR(41))</f>
        <v xml:space="preserve">                    variantCall ("NC_000022.10:g.[19931407T&gt;C];[19931407=]")</v>
      </c>
      <c r="J275" s="3" t="str">
        <f t="shared" si="97"/>
        <v>Het%</v>
      </c>
      <c r="K275" s="3">
        <f t="shared" si="97"/>
        <v>43</v>
      </c>
      <c r="L275" s="3">
        <f t="shared" si="97"/>
        <v>1.8</v>
      </c>
      <c r="M275" s="3">
        <f t="shared" si="97"/>
        <v>15.8</v>
      </c>
      <c r="P275" s="26"/>
      <c r="Q275" s="15"/>
      <c r="Y275" s="3" t="str">
        <f t="shared" ref="Y275:AB275" si="103">Y253</f>
        <v>Het%</v>
      </c>
      <c r="Z275" s="3">
        <f t="shared" si="103"/>
        <v>43</v>
      </c>
      <c r="AA275" s="3">
        <f t="shared" si="103"/>
        <v>1.8</v>
      </c>
      <c r="AB275" s="3">
        <f t="shared" si="103"/>
        <v>15.8</v>
      </c>
    </row>
    <row r="276" spans="1:28" x14ac:dyDescent="0.25">
      <c r="A276" s="26"/>
      <c r="C276" s="3" t="str">
        <f>CONCATENATE("                  } &gt; ")</f>
        <v xml:space="preserve">                  } &gt; </v>
      </c>
      <c r="J276" s="3" t="str">
        <f t="shared" si="97"/>
        <v>Homo%</v>
      </c>
      <c r="K276" s="3">
        <f t="shared" si="97"/>
        <v>19.899999999999999</v>
      </c>
      <c r="L276" s="3">
        <f t="shared" si="97"/>
        <v>0.5</v>
      </c>
      <c r="M276" s="3">
        <f t="shared" si="97"/>
        <v>4.7</v>
      </c>
      <c r="P276" s="26"/>
      <c r="Q276" s="15"/>
      <c r="Y276" s="3" t="str">
        <f t="shared" ref="Y276:AB276" si="104">Y254</f>
        <v>Homo%</v>
      </c>
      <c r="Z276" s="3">
        <f t="shared" si="104"/>
        <v>19.899999999999999</v>
      </c>
      <c r="AA276" s="3">
        <f t="shared" si="104"/>
        <v>0.5</v>
      </c>
      <c r="AB276" s="3">
        <f t="shared" si="104"/>
        <v>4.7</v>
      </c>
    </row>
    <row r="277" spans="1:28" x14ac:dyDescent="0.25">
      <c r="A277" s="14"/>
      <c r="J277" s="3" t="str">
        <f t="shared" si="97"/>
        <v>Wildtype%</v>
      </c>
      <c r="K277" s="3">
        <f t="shared" si="97"/>
        <v>37.1</v>
      </c>
      <c r="L277" s="3">
        <f t="shared" si="97"/>
        <v>97.8</v>
      </c>
      <c r="M277" s="3">
        <f t="shared" si="97"/>
        <v>79.5</v>
      </c>
      <c r="P277" s="14"/>
      <c r="Q277" s="15"/>
      <c r="Y277" s="3" t="str">
        <f t="shared" ref="Y277:AB277" si="105">Y255</f>
        <v>Wildtype%</v>
      </c>
      <c r="Z277" s="3">
        <f t="shared" si="105"/>
        <v>37.1</v>
      </c>
      <c r="AA277" s="3">
        <f t="shared" si="105"/>
        <v>97.8</v>
      </c>
      <c r="AB277" s="3">
        <f t="shared" si="105"/>
        <v>79.5</v>
      </c>
    </row>
    <row r="278" spans="1:28" x14ac:dyDescent="0.25">
      <c r="A278" s="14"/>
      <c r="C278" s="3" t="s">
        <v>26</v>
      </c>
      <c r="P278" s="14"/>
      <c r="Q278" s="15"/>
    </row>
    <row r="279" spans="1:28" x14ac:dyDescent="0.25">
      <c r="A279" s="14"/>
      <c r="P279" s="14"/>
      <c r="Q279" s="15"/>
    </row>
    <row r="280" spans="1:28" x14ac:dyDescent="0.25">
      <c r="A280" s="14"/>
      <c r="C280" s="3" t="str">
        <f>CONCATENATE("    ",B271)</f>
        <v xml:space="preserve">    People with this variant have one copy of the [G158A](https://www.ncbi.nlm.nih.gov/pubmed/21059181) and [T19943884C](https://www.ncbi.nlm.nih.gov/pubmed/19540336) variants. This substitution of a single nucleotide is known as a missense mutation.</v>
      </c>
      <c r="P280" s="14"/>
      <c r="Q280" s="15"/>
    </row>
    <row r="281" spans="1:28" x14ac:dyDescent="0.25">
      <c r="A281" s="14"/>
      <c r="P281" s="14"/>
      <c r="Q281" s="15"/>
    </row>
    <row r="282" spans="1:28" x14ac:dyDescent="0.25">
      <c r="A282" s="26"/>
      <c r="C282" s="3" t="s">
        <v>29</v>
      </c>
      <c r="P282" s="26"/>
      <c r="Q282" s="15"/>
    </row>
    <row r="283" spans="1:28" x14ac:dyDescent="0.25">
      <c r="A283" s="26"/>
      <c r="P283" s="26"/>
      <c r="Q283" s="15"/>
    </row>
    <row r="284" spans="1:28" x14ac:dyDescent="0.25">
      <c r="A284" s="26"/>
      <c r="C284" s="3" t="str">
        <f>CONCATENATE(B272)</f>
        <v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c r="P284" s="26"/>
      <c r="Q284" s="15"/>
    </row>
    <row r="285" spans="1:28" x14ac:dyDescent="0.25">
      <c r="A285" s="26"/>
      <c r="P285" s="26"/>
      <c r="Q285" s="15"/>
    </row>
    <row r="286" spans="1:28" x14ac:dyDescent="0.25">
      <c r="A286" s="26"/>
      <c r="C286" s="3" t="s">
        <v>30</v>
      </c>
      <c r="P286" s="26"/>
      <c r="Q286" s="15"/>
    </row>
    <row r="287" spans="1:28" x14ac:dyDescent="0.25">
      <c r="A287" s="26"/>
      <c r="P287" s="26"/>
      <c r="Q287" s="15"/>
    </row>
    <row r="288" spans="1:28" x14ac:dyDescent="0.25">
      <c r="A288" s="26"/>
      <c r="C288" s="3" t="str">
        <f>CONCATENATE( "    &lt;piechart percentage=",B273," /&gt;")</f>
        <v xml:space="preserve">    &lt;piechart percentage= /&gt;</v>
      </c>
      <c r="P288" s="26"/>
      <c r="Q288" s="15"/>
    </row>
    <row r="289" spans="1:28" x14ac:dyDescent="0.25">
      <c r="A289" s="26"/>
      <c r="C289" s="3" t="str">
        <f>"  &lt;/Analysis&gt;"</f>
        <v xml:space="preserve">  &lt;/Analysis&gt;</v>
      </c>
      <c r="K289" s="3" t="str">
        <f t="shared" ref="K289:M291" si="106">K267</f>
        <v>rs6691840</v>
      </c>
      <c r="L289" s="3" t="str">
        <f t="shared" si="106"/>
        <v>rs3913434</v>
      </c>
      <c r="M289" s="3" t="str">
        <f t="shared" si="106"/>
        <v>rs270838</v>
      </c>
      <c r="P289" s="26"/>
      <c r="Q289" s="15"/>
      <c r="Z289" s="3">
        <f t="shared" ref="Z289:AB289" si="107">Z267</f>
        <v>0</v>
      </c>
      <c r="AA289" s="3">
        <f t="shared" si="107"/>
        <v>0</v>
      </c>
      <c r="AB289" s="3">
        <f t="shared" si="107"/>
        <v>0</v>
      </c>
    </row>
    <row r="290" spans="1:28" s="21" customFormat="1" x14ac:dyDescent="0.25">
      <c r="A290" s="28" t="s">
        <v>70</v>
      </c>
      <c r="B290" s="20" t="str">
        <f>CONCATENATE(B92," and ",B114)</f>
        <v>G158A (A;A) and C62T (C;T)</v>
      </c>
      <c r="C290" s="21" t="str">
        <f>CONCATENATE("&lt;# ",B290," #&gt;")</f>
        <v>&lt;# G158A (A;A) and C62T (C;T) #&gt;</v>
      </c>
      <c r="K290" s="21" t="str">
        <f t="shared" si="106"/>
        <v>G158A</v>
      </c>
      <c r="L290" s="21" t="str">
        <f t="shared" si="106"/>
        <v>C62T</v>
      </c>
      <c r="M290" s="21" t="str">
        <f t="shared" si="106"/>
        <v>T19943884C</v>
      </c>
      <c r="P290" s="28" t="s">
        <v>70</v>
      </c>
      <c r="Q290" s="20" t="str">
        <f>CONCATENATE(Q92," and ",Q114)</f>
        <v>T19950010G (G;G) and T19950010G (T;G)</v>
      </c>
      <c r="R290" s="21" t="str">
        <f>CONCATENATE("&lt;# ",Q290," #&gt;")</f>
        <v>&lt;# T19950010G (G;G) and T19950010G (T;G) #&gt;</v>
      </c>
      <c r="Z290" s="21" t="str">
        <f t="shared" ref="Z290:AB290" si="108">Z268</f>
        <v>T19960814C</v>
      </c>
      <c r="AA290" s="21" t="str">
        <f t="shared" si="108"/>
        <v>T19950010G</v>
      </c>
      <c r="AB290" s="21">
        <f t="shared" si="108"/>
        <v>0</v>
      </c>
    </row>
    <row r="291" spans="1:28" x14ac:dyDescent="0.25">
      <c r="A291" s="14" t="s">
        <v>21</v>
      </c>
      <c r="B291" s="15" t="str">
        <f>K206</f>
        <v>NC_000022.10:g.[19951271G&gt;A];[19951271=]</v>
      </c>
      <c r="K291" s="3" t="str">
        <f t="shared" si="106"/>
        <v>NC_000022.10:g.</v>
      </c>
      <c r="L291" s="3" t="str">
        <f t="shared" si="106"/>
        <v>NC_000022.10:g.</v>
      </c>
      <c r="M291" s="3" t="str">
        <f t="shared" si="106"/>
        <v>NC_000022.10:g.</v>
      </c>
      <c r="P291" s="14" t="s">
        <v>21</v>
      </c>
      <c r="Q291" s="15" t="str">
        <f>Z206</f>
        <v>NC_000022.10:g.[19948337T&gt;C];[19948337=]</v>
      </c>
      <c r="Z291" s="3" t="str">
        <f t="shared" ref="Z291:AB291" si="109">Z269</f>
        <v>NC_000022.10:g.</v>
      </c>
      <c r="AA291" s="3" t="str">
        <f t="shared" si="109"/>
        <v>NC_000022.10:g.</v>
      </c>
      <c r="AB291" s="3">
        <f t="shared" si="109"/>
        <v>0</v>
      </c>
    </row>
    <row r="292" spans="1:28" x14ac:dyDescent="0.25">
      <c r="A292" s="14" t="s">
        <v>72</v>
      </c>
      <c r="C292" s="3" t="str">
        <f>CONCATENATE("  &lt;Analysis name=",CHAR(34),B290,CHAR(34))</f>
        <v xml:space="preserve">  &lt;Analysis name="G158A (A;A) and C62T (C;T)"</v>
      </c>
      <c r="J292" s="3" t="str">
        <f t="shared" ref="J292:M299" si="110">J270</f>
        <v>Variant</v>
      </c>
      <c r="K292" s="3" t="str">
        <f t="shared" si="110"/>
        <v>[19951271G&gt;A]</v>
      </c>
      <c r="L292" s="3" t="str">
        <f t="shared" si="110"/>
        <v>[19950235C&gt;T]</v>
      </c>
      <c r="M292" s="3" t="str">
        <f t="shared" si="110"/>
        <v>[19931407T&gt;C]</v>
      </c>
      <c r="P292" s="14" t="s">
        <v>72</v>
      </c>
      <c r="Q292" s="15"/>
      <c r="R292" s="3" t="str">
        <f>CONCATENATE("  &lt;Analysis name=",CHAR(34),Q290,CHAR(34))</f>
        <v xml:space="preserve">  &lt;Analysis name="T19950010G (G;G) and T19950010G (T;G)"</v>
      </c>
      <c r="Y292" s="3" t="str">
        <f t="shared" ref="Y292:AB292" si="111">Y270</f>
        <v>Variant</v>
      </c>
      <c r="Z292" s="3" t="str">
        <f t="shared" si="111"/>
        <v>[19948337T&gt;C]</v>
      </c>
      <c r="AA292" s="3" t="str">
        <f t="shared" si="111"/>
        <v>[19937533T&gt;G]</v>
      </c>
      <c r="AB292" s="3">
        <f t="shared" si="111"/>
        <v>0</v>
      </c>
    </row>
    <row r="293" spans="1:28" x14ac:dyDescent="0.25">
      <c r="A293" s="26" t="s">
        <v>75</v>
      </c>
      <c r="B293" s="15" t="str">
        <f>CONCATENATE("People with this variant have two copies of the ",B22," variant and one copy of the ",B31," variant. This substitution of a single nucleotide is known as a missense mutation.")</f>
        <v>People with this variant have two copies of the [G158A](https://www.ncbi.nlm.nih.gov/pubmed/21059181) variant and one copy of the [C62T](https://www.ncbi.nlm.nih.gov/pubmed/26891941) variant. This substitution of a single nucleotide is known as a missense mutation.</v>
      </c>
      <c r="C293" s="3" t="str">
        <f>CONCATENATE("            case={  variantCall ",CHAR(40),CHAR(34),K294,CHAR(34),CHAR(41))</f>
        <v xml:space="preserve">            case={  variantCall ("NC_000022.10:g.[19951271G&gt;A];[19951271=]")</v>
      </c>
      <c r="J293" s="3" t="str">
        <f t="shared" si="110"/>
        <v>Wildtype</v>
      </c>
      <c r="K293" s="3" t="str">
        <f t="shared" si="110"/>
        <v>[19951271=]</v>
      </c>
      <c r="L293" s="3" t="str">
        <f t="shared" si="110"/>
        <v>[19950235=]</v>
      </c>
      <c r="M293" s="3" t="str">
        <f t="shared" si="110"/>
        <v>[19931407=]</v>
      </c>
      <c r="P293" s="26" t="s">
        <v>75</v>
      </c>
      <c r="Q293" s="15" t="str">
        <f>CONCATENATE("People with this variant have two copies of the ",Q22," variant and one copy of the ",Q31," variant. This substitution of a single nucleotide is known as a missense mutation.")</f>
        <v>People with this variant have two copies of the [T19960814C](https://www.ncbi.nlm.nih.gov/pubmed/19772600) variant and one copy of the [T19950010G](https://www.ncbi.nlm.nih.gov/pubmed/19540336) variant. This substitution of a single nucleotide is known as a missense mutation.</v>
      </c>
      <c r="R293" s="3" t="str">
        <f>CONCATENATE("            case={  variantCall ",CHAR(40),CHAR(34),Z294,CHAR(34),CHAR(41))</f>
        <v xml:space="preserve">            case={  variantCall ("NC_000022.10:g.[19948337T&gt;C];[19948337=]")</v>
      </c>
      <c r="Y293" s="3" t="str">
        <f t="shared" ref="Y293:AB293" si="112">Y271</f>
        <v>Wildtype</v>
      </c>
      <c r="Z293" s="3" t="str">
        <f t="shared" si="112"/>
        <v>[19948337=]</v>
      </c>
      <c r="AA293" s="3" t="str">
        <f t="shared" si="112"/>
        <v>[19937533=]</v>
      </c>
      <c r="AB293" s="3">
        <f t="shared" si="112"/>
        <v>0</v>
      </c>
    </row>
    <row r="294" spans="1:28" x14ac:dyDescent="0.25">
      <c r="A294" s="26" t="s">
        <v>28</v>
      </c>
      <c r="B294" s="3" t="s">
        <v>117</v>
      </c>
      <c r="C294" s="3" t="s">
        <v>71</v>
      </c>
      <c r="J294" s="3" t="str">
        <f t="shared" si="110"/>
        <v>Het</v>
      </c>
      <c r="K294" s="3" t="str">
        <f t="shared" si="110"/>
        <v>NC_000022.10:g.[19951271G&gt;A];[19951271=]</v>
      </c>
      <c r="L294" s="3" t="str">
        <f t="shared" si="110"/>
        <v>NC_000022.10:g.[19950235C&gt;T];[19950235=]</v>
      </c>
      <c r="M294" s="3" t="str">
        <f t="shared" si="110"/>
        <v>NC_000022.10:g.[19931407T&gt;C];[19931407=]</v>
      </c>
      <c r="P294" s="26" t="s">
        <v>28</v>
      </c>
      <c r="Q294" s="3" t="s">
        <v>117</v>
      </c>
      <c r="R294" s="3" t="s">
        <v>71</v>
      </c>
      <c r="Y294" s="3" t="str">
        <f t="shared" ref="Y294:AB294" si="113">Y272</f>
        <v>Het</v>
      </c>
      <c r="Z294" s="3" t="str">
        <f t="shared" si="113"/>
        <v>NC_000022.10:g.[19948337T&gt;C];[19948337=]</v>
      </c>
      <c r="AA294" s="3" t="str">
        <f t="shared" si="113"/>
        <v>NC_000022.10:g.[19937533T&gt;G];[19937533=]</v>
      </c>
      <c r="AB294" s="3" t="str">
        <f t="shared" si="113"/>
        <v>00;0</v>
      </c>
    </row>
    <row r="295" spans="1:28" x14ac:dyDescent="0.25">
      <c r="A295" s="26" t="s">
        <v>73</v>
      </c>
      <c r="C295" s="3" t="str">
        <f>CONCATENATE("                    variantCall ",CHAR(40),CHAR(34),L294,CHAR(34),CHAR(41))</f>
        <v xml:space="preserve">                    variantCall ("NC_000022.10:g.[19950235C&gt;T];[19950235=]")</v>
      </c>
      <c r="J295" s="3" t="str">
        <f t="shared" si="110"/>
        <v>Homo</v>
      </c>
      <c r="K295" s="3" t="str">
        <f t="shared" si="110"/>
        <v>NC_000022.10:g.[19951271G&gt;A];[19951271G&gt;A]</v>
      </c>
      <c r="L295" s="3" t="str">
        <f t="shared" si="110"/>
        <v>NC_000022.10:g.[19950235C&gt;T];[19950235C&gt;T]</v>
      </c>
      <c r="M295" s="3" t="str">
        <f t="shared" si="110"/>
        <v>NC_000022.10:g.[19931407T&gt;C];[19931407T&gt;C]</v>
      </c>
      <c r="P295" s="26" t="s">
        <v>73</v>
      </c>
      <c r="Q295" s="15"/>
      <c r="R295" s="3" t="str">
        <f>CONCATENATE("                    variantCall ",CHAR(40),CHAR(34),AA294,CHAR(34),CHAR(41))</f>
        <v xml:space="preserve">                    variantCall ("NC_000022.10:g.[19937533T&gt;G];[19937533=]")</v>
      </c>
      <c r="Y295" s="3" t="str">
        <f t="shared" ref="Y295:AB295" si="114">Y273</f>
        <v>Homo</v>
      </c>
      <c r="Z295" s="3" t="str">
        <f t="shared" si="114"/>
        <v>NC_000022.10:g.[19948337T&gt;C];[19948337T&gt;C]</v>
      </c>
      <c r="AA295" s="3" t="str">
        <f t="shared" si="114"/>
        <v>NC_000022.10:g.[19937533T&gt;G];[19937533T&gt;G]</v>
      </c>
      <c r="AB295" s="3" t="str">
        <f t="shared" si="114"/>
        <v>00;0</v>
      </c>
    </row>
    <row r="296" spans="1:28" x14ac:dyDescent="0.25">
      <c r="A296" s="26"/>
      <c r="C296" s="3" t="s">
        <v>71</v>
      </c>
      <c r="J296" s="3" t="str">
        <f t="shared" si="110"/>
        <v>Wildtype</v>
      </c>
      <c r="K296" s="3" t="str">
        <f t="shared" si="110"/>
        <v>NC_000022.10:g.[19951271=];[19951271=]</v>
      </c>
      <c r="L296" s="3" t="str">
        <f t="shared" si="110"/>
        <v>NC_000022.10:g.[19950235=];[19950235=]</v>
      </c>
      <c r="M296" s="3" t="str">
        <f t="shared" si="110"/>
        <v>NC_000022.10:g.[19931407=];[19931407=]</v>
      </c>
      <c r="P296" s="26"/>
      <c r="Q296" s="15"/>
      <c r="R296" s="3" t="s">
        <v>71</v>
      </c>
      <c r="Y296" s="3" t="str">
        <f t="shared" ref="Y296:AB296" si="115">Y274</f>
        <v>Wildtype</v>
      </c>
      <c r="Z296" s="3" t="str">
        <f t="shared" si="115"/>
        <v>NC_000022.10:g.[19948337=];[19948337=]</v>
      </c>
      <c r="AA296" s="3" t="str">
        <f t="shared" si="115"/>
        <v>NC_000022.10:g.[19937533=];[19937533=]</v>
      </c>
      <c r="AB296" s="3" t="str">
        <f t="shared" si="115"/>
        <v>00;0</v>
      </c>
    </row>
    <row r="297" spans="1:28" x14ac:dyDescent="0.25">
      <c r="A297" s="26"/>
      <c r="C297" s="3" t="str">
        <f>CONCATENATE("                    variantCall ",CHAR(40),CHAR(34),M294,CHAR(34),CHAR(41))</f>
        <v xml:space="preserve">                    variantCall ("NC_000022.10:g.[19931407T&gt;C];[19931407=]")</v>
      </c>
      <c r="J297" s="3" t="str">
        <f t="shared" si="110"/>
        <v>Het%</v>
      </c>
      <c r="K297" s="3">
        <f t="shared" si="110"/>
        <v>43</v>
      </c>
      <c r="L297" s="3">
        <f t="shared" si="110"/>
        <v>1.8</v>
      </c>
      <c r="M297" s="3">
        <f t="shared" si="110"/>
        <v>15.8</v>
      </c>
      <c r="P297" s="26"/>
      <c r="Q297" s="15"/>
      <c r="R297" s="3" t="str">
        <f>CONCATENATE("                    variantCall ",CHAR(40),CHAR(34),AB294,CHAR(34),CHAR(41))</f>
        <v xml:space="preserve">                    variantCall ("00;0")</v>
      </c>
      <c r="Y297" s="3" t="str">
        <f t="shared" ref="Y297:AB297" si="116">Y275</f>
        <v>Het%</v>
      </c>
      <c r="Z297" s="3">
        <f t="shared" si="116"/>
        <v>43</v>
      </c>
      <c r="AA297" s="3">
        <f t="shared" si="116"/>
        <v>1.8</v>
      </c>
      <c r="AB297" s="3">
        <f t="shared" si="116"/>
        <v>15.8</v>
      </c>
    </row>
    <row r="298" spans="1:28" x14ac:dyDescent="0.25">
      <c r="A298" s="26"/>
      <c r="C298" s="3" t="str">
        <f>CONCATENATE("                  } &gt; ")</f>
        <v xml:space="preserve">                  } &gt; </v>
      </c>
      <c r="J298" s="3" t="str">
        <f t="shared" si="110"/>
        <v>Homo%</v>
      </c>
      <c r="K298" s="3">
        <f t="shared" si="110"/>
        <v>19.899999999999999</v>
      </c>
      <c r="L298" s="3">
        <f t="shared" si="110"/>
        <v>0.5</v>
      </c>
      <c r="M298" s="3">
        <f t="shared" si="110"/>
        <v>4.7</v>
      </c>
      <c r="P298" s="26"/>
      <c r="Q298" s="15"/>
      <c r="R298" s="3" t="str">
        <f>CONCATENATE("                  } &gt; ")</f>
        <v xml:space="preserve">                  } &gt; </v>
      </c>
      <c r="Y298" s="3" t="str">
        <f t="shared" ref="Y298:AB298" si="117">Y276</f>
        <v>Homo%</v>
      </c>
      <c r="Z298" s="3">
        <f t="shared" si="117"/>
        <v>19.899999999999999</v>
      </c>
      <c r="AA298" s="3">
        <f t="shared" si="117"/>
        <v>0.5</v>
      </c>
      <c r="AB298" s="3">
        <f t="shared" si="117"/>
        <v>4.7</v>
      </c>
    </row>
    <row r="299" spans="1:28" x14ac:dyDescent="0.25">
      <c r="A299" s="14"/>
      <c r="J299" s="3" t="str">
        <f t="shared" si="110"/>
        <v>Wildtype%</v>
      </c>
      <c r="K299" s="3">
        <f t="shared" si="110"/>
        <v>37.1</v>
      </c>
      <c r="L299" s="3">
        <f t="shared" si="110"/>
        <v>97.8</v>
      </c>
      <c r="M299" s="3">
        <f t="shared" si="110"/>
        <v>79.5</v>
      </c>
      <c r="P299" s="14"/>
      <c r="Q299" s="15"/>
      <c r="Y299" s="3" t="str">
        <f t="shared" ref="Y299:AB299" si="118">Y277</f>
        <v>Wildtype%</v>
      </c>
      <c r="Z299" s="3">
        <f t="shared" si="118"/>
        <v>37.1</v>
      </c>
      <c r="AA299" s="3">
        <f t="shared" si="118"/>
        <v>97.8</v>
      </c>
      <c r="AB299" s="3">
        <f t="shared" si="118"/>
        <v>79.5</v>
      </c>
    </row>
    <row r="300" spans="1:28" x14ac:dyDescent="0.25">
      <c r="A300" s="14"/>
      <c r="C300" s="3" t="s">
        <v>26</v>
      </c>
      <c r="P300" s="14"/>
      <c r="Q300" s="15"/>
      <c r="R300" s="3" t="s">
        <v>26</v>
      </c>
    </row>
    <row r="301" spans="1:28" x14ac:dyDescent="0.25">
      <c r="A301" s="14"/>
      <c r="P301" s="14"/>
      <c r="Q301" s="15"/>
    </row>
    <row r="302" spans="1:28" x14ac:dyDescent="0.25">
      <c r="A302" s="14"/>
      <c r="C302" s="3" t="str">
        <f>CONCATENATE("    ",B293)</f>
        <v xml:space="preserve">    People with this variant have two copies of the [G158A](https://www.ncbi.nlm.nih.gov/pubmed/21059181) variant and one copy of the [C62T](https://www.ncbi.nlm.nih.gov/pubmed/26891941) variant. This substitution of a single nucleotide is known as a missense mutation.</v>
      </c>
      <c r="P302" s="14"/>
      <c r="Q302" s="15"/>
      <c r="R302" s="3" t="str">
        <f>CONCATENATE("    ",Q293)</f>
        <v xml:space="preserve">    People with this variant have two copies of the [T19960814C](https://www.ncbi.nlm.nih.gov/pubmed/19772600) variant and one copy of the [T19950010G](https://www.ncbi.nlm.nih.gov/pubmed/19540336) variant. This substitution of a single nucleotide is known as a missense mutation.</v>
      </c>
    </row>
    <row r="303" spans="1:28" x14ac:dyDescent="0.25">
      <c r="A303" s="14"/>
      <c r="P303" s="14"/>
      <c r="Q303" s="15"/>
    </row>
    <row r="304" spans="1:28" x14ac:dyDescent="0.25">
      <c r="A304" s="26"/>
      <c r="C304" s="3" t="s">
        <v>29</v>
      </c>
      <c r="P304" s="26"/>
      <c r="Q304" s="15"/>
      <c r="R304" s="3" t="s">
        <v>29</v>
      </c>
    </row>
    <row r="305" spans="1:28" x14ac:dyDescent="0.25">
      <c r="A305" s="26"/>
      <c r="P305" s="26"/>
      <c r="Q305" s="15"/>
    </row>
    <row r="306" spans="1:28" x14ac:dyDescent="0.25">
      <c r="A306" s="26"/>
      <c r="C306" s="3" t="str">
        <f>CONCATENATE(B294)</f>
        <v xml:space="preserve">    There is currently no data on the interaction between these variants.  However, some information exists on the individual variants. 
    # What is the effect of T928G?
Two copies of T928G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c r="P306" s="26"/>
      <c r="Q306" s="15"/>
      <c r="R306" s="3" t="str">
        <f>CONCATENATE(Q294)</f>
        <v xml:space="preserve">    There is currently no data on the interaction between these variants.  However, some information exists on the individual variants. 
    # What is the effect of T928G?
Two copies of T928G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307" spans="1:28" x14ac:dyDescent="0.25">
      <c r="A307" s="26"/>
      <c r="P307" s="26"/>
      <c r="Q307" s="15"/>
    </row>
    <row r="308" spans="1:28" x14ac:dyDescent="0.25">
      <c r="A308" s="26"/>
      <c r="C308" s="3" t="s">
        <v>30</v>
      </c>
      <c r="P308" s="26"/>
      <c r="Q308" s="15"/>
      <c r="R308" s="3" t="s">
        <v>30</v>
      </c>
    </row>
    <row r="309" spans="1:28" x14ac:dyDescent="0.25">
      <c r="A309" s="26"/>
      <c r="P309" s="26"/>
      <c r="Q309" s="15"/>
    </row>
    <row r="310" spans="1:28" x14ac:dyDescent="0.25">
      <c r="A310" s="26"/>
      <c r="C310" s="3" t="str">
        <f>CONCATENATE( "    &lt;piechart percentage=",B295," /&gt;")</f>
        <v xml:space="preserve">    &lt;piechart percentage= /&gt;</v>
      </c>
      <c r="P310" s="26"/>
      <c r="Q310" s="15"/>
      <c r="R310" s="3" t="str">
        <f>CONCATENATE( "    &lt;piechart percentage=",Q295," /&gt;")</f>
        <v xml:space="preserve">    &lt;piechart percentage= /&gt;</v>
      </c>
    </row>
    <row r="311" spans="1:28" x14ac:dyDescent="0.25">
      <c r="A311" s="26"/>
      <c r="C311" s="3" t="str">
        <f>"  &lt;/Analysis&gt;"</f>
        <v xml:space="preserve">  &lt;/Analysis&gt;</v>
      </c>
      <c r="K311" s="3" t="str">
        <f t="shared" ref="K311:M313" si="119">K289</f>
        <v>rs6691840</v>
      </c>
      <c r="L311" s="3" t="str">
        <f t="shared" si="119"/>
        <v>rs3913434</v>
      </c>
      <c r="M311" s="3" t="str">
        <f t="shared" si="119"/>
        <v>rs270838</v>
      </c>
      <c r="P311" s="26"/>
      <c r="Q311" s="15"/>
      <c r="R311" s="3" t="str">
        <f>"  &lt;/Analysis&gt;"</f>
        <v xml:space="preserve">  &lt;/Analysis&gt;</v>
      </c>
      <c r="Z311" s="3">
        <f t="shared" ref="Z311:AB311" si="120">Z289</f>
        <v>0</v>
      </c>
      <c r="AA311" s="3">
        <f t="shared" si="120"/>
        <v>0</v>
      </c>
      <c r="AB311" s="3">
        <f t="shared" si="120"/>
        <v>0</v>
      </c>
    </row>
    <row r="312" spans="1:28" s="21" customFormat="1" x14ac:dyDescent="0.25">
      <c r="A312" s="28" t="s">
        <v>70</v>
      </c>
      <c r="B312" s="20" t="str">
        <f>CONCATENATE(B92," and ",B158)</f>
        <v>G158A (A;A) and T19943884C (T;C)</v>
      </c>
      <c r="C312" s="21" t="str">
        <f>CONCATENATE("&lt;# ",B312," #&gt;")</f>
        <v>&lt;# G158A (A;A) and T19943884C (T;C) #&gt;</v>
      </c>
      <c r="K312" s="21" t="str">
        <f t="shared" si="119"/>
        <v>G158A</v>
      </c>
      <c r="L312" s="21" t="str">
        <f t="shared" si="119"/>
        <v>C62T</v>
      </c>
      <c r="M312" s="21" t="str">
        <f t="shared" si="119"/>
        <v>T19943884C</v>
      </c>
      <c r="P312" s="28" t="s">
        <v>70</v>
      </c>
      <c r="Q312" s="20"/>
      <c r="Z312" s="21" t="str">
        <f t="shared" ref="Z312:AB312" si="121">Z290</f>
        <v>T19960814C</v>
      </c>
      <c r="AA312" s="21" t="str">
        <f t="shared" si="121"/>
        <v>T19950010G</v>
      </c>
      <c r="AB312" s="21">
        <f t="shared" si="121"/>
        <v>0</v>
      </c>
    </row>
    <row r="313" spans="1:28" x14ac:dyDescent="0.25">
      <c r="A313" s="14" t="s">
        <v>21</v>
      </c>
      <c r="B313" s="15" t="str">
        <f>K228</f>
        <v>NC_000022.10:g.[19951271G&gt;A];[19951271=]</v>
      </c>
      <c r="K313" s="3" t="str">
        <f t="shared" si="119"/>
        <v>NC_000022.10:g.</v>
      </c>
      <c r="L313" s="3" t="str">
        <f t="shared" si="119"/>
        <v>NC_000022.10:g.</v>
      </c>
      <c r="M313" s="3" t="str">
        <f t="shared" si="119"/>
        <v>NC_000022.10:g.</v>
      </c>
      <c r="P313" s="14" t="s">
        <v>21</v>
      </c>
      <c r="Q313" s="15"/>
      <c r="Z313" s="3" t="str">
        <f t="shared" ref="Z313:AB313" si="122">Z291</f>
        <v>NC_000022.10:g.</v>
      </c>
      <c r="AA313" s="3" t="str">
        <f t="shared" si="122"/>
        <v>NC_000022.10:g.</v>
      </c>
      <c r="AB313" s="3">
        <f t="shared" si="122"/>
        <v>0</v>
      </c>
    </row>
    <row r="314" spans="1:28" x14ac:dyDescent="0.25">
      <c r="A314" s="14" t="s">
        <v>72</v>
      </c>
      <c r="C314" s="3" t="str">
        <f>CONCATENATE("  &lt;Analysis name=",CHAR(34),B312,CHAR(34))</f>
        <v xml:space="preserve">  &lt;Analysis name="G158A (A;A) and T19943884C (T;C)"</v>
      </c>
      <c r="J314" s="3" t="str">
        <f t="shared" ref="J314:M321" si="123">J292</f>
        <v>Variant</v>
      </c>
      <c r="K314" s="3" t="str">
        <f t="shared" si="123"/>
        <v>[19951271G&gt;A]</v>
      </c>
      <c r="L314" s="3" t="str">
        <f t="shared" si="123"/>
        <v>[19950235C&gt;T]</v>
      </c>
      <c r="M314" s="3" t="str">
        <f t="shared" si="123"/>
        <v>[19931407T&gt;C]</v>
      </c>
      <c r="P314" s="14" t="s">
        <v>72</v>
      </c>
      <c r="Q314" s="15"/>
      <c r="Y314" s="3" t="str">
        <f t="shared" ref="Y314:AB314" si="124">Y292</f>
        <v>Variant</v>
      </c>
      <c r="Z314" s="3" t="str">
        <f t="shared" si="124"/>
        <v>[19948337T&gt;C]</v>
      </c>
      <c r="AA314" s="3" t="str">
        <f t="shared" si="124"/>
        <v>[19937533T&gt;G]</v>
      </c>
      <c r="AB314" s="3">
        <f t="shared" si="124"/>
        <v>0</v>
      </c>
    </row>
    <row r="315" spans="1:28" x14ac:dyDescent="0.25">
      <c r="A315" s="26" t="s">
        <v>75</v>
      </c>
      <c r="B315" s="15" t="str">
        <f>CONCATENATE("People with this variant have two copies of the ",B22," variant and one copy of the ",B40," variant. This substitution of a single nucleotide is known as a missense mutation.")</f>
        <v>People with this variant have two copies of the [G158A](https://www.ncbi.nlm.nih.gov/pubmed/21059181) variant and one copy of the [T19943884C](https://www.ncbi.nlm.nih.gov/pubmed/19540336) variant. This substitution of a single nucleotide is known as a missense mutation.</v>
      </c>
      <c r="C315" s="3" t="str">
        <f>CONCATENATE("            case={  variantCall ",CHAR(40),CHAR(34),K316,CHAR(34),CHAR(41))</f>
        <v xml:space="preserve">            case={  variantCall ("NC_000022.10:g.[19951271G&gt;A];[19951271=]")</v>
      </c>
      <c r="J315" s="3" t="str">
        <f t="shared" si="123"/>
        <v>Wildtype</v>
      </c>
      <c r="K315" s="3" t="str">
        <f t="shared" si="123"/>
        <v>[19951271=]</v>
      </c>
      <c r="L315" s="3" t="str">
        <f t="shared" si="123"/>
        <v>[19950235=]</v>
      </c>
      <c r="M315" s="3" t="str">
        <f t="shared" si="123"/>
        <v>[19931407=]</v>
      </c>
      <c r="P315" s="26" t="s">
        <v>75</v>
      </c>
      <c r="Q315" s="15"/>
      <c r="Y315" s="3" t="str">
        <f t="shared" ref="Y315:AB315" si="125">Y293</f>
        <v>Wildtype</v>
      </c>
      <c r="Z315" s="3" t="str">
        <f t="shared" si="125"/>
        <v>[19948337=]</v>
      </c>
      <c r="AA315" s="3" t="str">
        <f t="shared" si="125"/>
        <v>[19937533=]</v>
      </c>
      <c r="AB315" s="3">
        <f t="shared" si="125"/>
        <v>0</v>
      </c>
    </row>
    <row r="316" spans="1:28" x14ac:dyDescent="0.25">
      <c r="A316" s="26" t="s">
        <v>28</v>
      </c>
      <c r="B316" s="15" t="s">
        <v>118</v>
      </c>
      <c r="C316" s="3" t="s">
        <v>71</v>
      </c>
      <c r="J316" s="3" t="str">
        <f t="shared" si="123"/>
        <v>Het</v>
      </c>
      <c r="K316" s="3" t="str">
        <f t="shared" si="123"/>
        <v>NC_000022.10:g.[19951271G&gt;A];[19951271=]</v>
      </c>
      <c r="L316" s="3" t="str">
        <f t="shared" si="123"/>
        <v>NC_000022.10:g.[19950235C&gt;T];[19950235=]</v>
      </c>
      <c r="M316" s="3" t="str">
        <f t="shared" si="123"/>
        <v>NC_000022.10:g.[19931407T&gt;C];[19931407=]</v>
      </c>
      <c r="P316" s="26" t="s">
        <v>28</v>
      </c>
      <c r="Q316" s="15"/>
      <c r="Y316" s="3" t="str">
        <f t="shared" ref="Y316:AB316" si="126">Y294</f>
        <v>Het</v>
      </c>
      <c r="Z316" s="3" t="str">
        <f t="shared" si="126"/>
        <v>NC_000022.10:g.[19948337T&gt;C];[19948337=]</v>
      </c>
      <c r="AA316" s="3" t="str">
        <f t="shared" si="126"/>
        <v>NC_000022.10:g.[19937533T&gt;G];[19937533=]</v>
      </c>
      <c r="AB316" s="3" t="str">
        <f t="shared" si="126"/>
        <v>00;0</v>
      </c>
    </row>
    <row r="317" spans="1:28" x14ac:dyDescent="0.25">
      <c r="A317" s="26" t="s">
        <v>73</v>
      </c>
      <c r="C317" s="3" t="str">
        <f>CONCATENATE("                    variantCall ",CHAR(40),CHAR(34),L316,CHAR(34),CHAR(41))</f>
        <v xml:space="preserve">                    variantCall ("NC_000022.10:g.[19950235C&gt;T];[19950235=]")</v>
      </c>
      <c r="J317" s="3" t="str">
        <f t="shared" si="123"/>
        <v>Homo</v>
      </c>
      <c r="K317" s="3" t="str">
        <f t="shared" si="123"/>
        <v>NC_000022.10:g.[19951271G&gt;A];[19951271G&gt;A]</v>
      </c>
      <c r="L317" s="3" t="str">
        <f t="shared" si="123"/>
        <v>NC_000022.10:g.[19950235C&gt;T];[19950235C&gt;T]</v>
      </c>
      <c r="M317" s="3" t="str">
        <f t="shared" si="123"/>
        <v>NC_000022.10:g.[19931407T&gt;C];[19931407T&gt;C]</v>
      </c>
      <c r="P317" s="26" t="s">
        <v>73</v>
      </c>
      <c r="Q317" s="15"/>
      <c r="Y317" s="3" t="str">
        <f t="shared" ref="Y317:AB317" si="127">Y295</f>
        <v>Homo</v>
      </c>
      <c r="Z317" s="3" t="str">
        <f t="shared" si="127"/>
        <v>NC_000022.10:g.[19948337T&gt;C];[19948337T&gt;C]</v>
      </c>
      <c r="AA317" s="3" t="str">
        <f t="shared" si="127"/>
        <v>NC_000022.10:g.[19937533T&gt;G];[19937533T&gt;G]</v>
      </c>
      <c r="AB317" s="3" t="str">
        <f t="shared" si="127"/>
        <v>00;0</v>
      </c>
    </row>
    <row r="318" spans="1:28" x14ac:dyDescent="0.25">
      <c r="A318" s="26"/>
      <c r="C318" s="3" t="s">
        <v>71</v>
      </c>
      <c r="J318" s="3" t="str">
        <f t="shared" si="123"/>
        <v>Wildtype</v>
      </c>
      <c r="K318" s="3" t="str">
        <f t="shared" si="123"/>
        <v>NC_000022.10:g.[19951271=];[19951271=]</v>
      </c>
      <c r="L318" s="3" t="str">
        <f t="shared" si="123"/>
        <v>NC_000022.10:g.[19950235=];[19950235=]</v>
      </c>
      <c r="M318" s="3" t="str">
        <f t="shared" si="123"/>
        <v>NC_000022.10:g.[19931407=];[19931407=]</v>
      </c>
      <c r="P318" s="26"/>
      <c r="Q318" s="15"/>
      <c r="Y318" s="3" t="str">
        <f t="shared" ref="Y318:AB318" si="128">Y296</f>
        <v>Wildtype</v>
      </c>
      <c r="Z318" s="3" t="str">
        <f t="shared" si="128"/>
        <v>NC_000022.10:g.[19948337=];[19948337=]</v>
      </c>
      <c r="AA318" s="3" t="str">
        <f t="shared" si="128"/>
        <v>NC_000022.10:g.[19937533=];[19937533=]</v>
      </c>
      <c r="AB318" s="3" t="str">
        <f t="shared" si="128"/>
        <v>00;0</v>
      </c>
    </row>
    <row r="319" spans="1:28" x14ac:dyDescent="0.25">
      <c r="A319" s="26"/>
      <c r="C319" s="3" t="str">
        <f>CONCATENATE("                    variantCall ",CHAR(40),CHAR(34),M316,CHAR(34),CHAR(41))</f>
        <v xml:space="preserve">                    variantCall ("NC_000022.10:g.[19931407T&gt;C];[19931407=]")</v>
      </c>
      <c r="J319" s="3" t="str">
        <f t="shared" si="123"/>
        <v>Het%</v>
      </c>
      <c r="K319" s="3">
        <f t="shared" si="123"/>
        <v>43</v>
      </c>
      <c r="L319" s="3">
        <f t="shared" si="123"/>
        <v>1.8</v>
      </c>
      <c r="M319" s="3">
        <f t="shared" si="123"/>
        <v>15.8</v>
      </c>
      <c r="P319" s="26"/>
      <c r="Q319" s="15"/>
      <c r="Y319" s="3" t="str">
        <f t="shared" ref="Y319:AB319" si="129">Y297</f>
        <v>Het%</v>
      </c>
      <c r="Z319" s="3">
        <f t="shared" si="129"/>
        <v>43</v>
      </c>
      <c r="AA319" s="3">
        <f t="shared" si="129"/>
        <v>1.8</v>
      </c>
      <c r="AB319" s="3">
        <f t="shared" si="129"/>
        <v>15.8</v>
      </c>
    </row>
    <row r="320" spans="1:28" x14ac:dyDescent="0.25">
      <c r="A320" s="26"/>
      <c r="C320" s="3" t="str">
        <f>CONCATENATE("                  } &gt; ")</f>
        <v xml:space="preserve">                  } &gt; </v>
      </c>
      <c r="J320" s="3" t="str">
        <f t="shared" si="123"/>
        <v>Homo%</v>
      </c>
      <c r="K320" s="3">
        <f t="shared" si="123"/>
        <v>19.899999999999999</v>
      </c>
      <c r="L320" s="3">
        <f t="shared" si="123"/>
        <v>0.5</v>
      </c>
      <c r="M320" s="3">
        <f t="shared" si="123"/>
        <v>4.7</v>
      </c>
      <c r="P320" s="26"/>
      <c r="Q320" s="15"/>
      <c r="Y320" s="3" t="str">
        <f t="shared" ref="Y320:AB320" si="130">Y298</f>
        <v>Homo%</v>
      </c>
      <c r="Z320" s="3">
        <f t="shared" si="130"/>
        <v>19.899999999999999</v>
      </c>
      <c r="AA320" s="3">
        <f t="shared" si="130"/>
        <v>0.5</v>
      </c>
      <c r="AB320" s="3">
        <f t="shared" si="130"/>
        <v>4.7</v>
      </c>
    </row>
    <row r="321" spans="1:28" x14ac:dyDescent="0.25">
      <c r="A321" s="14"/>
      <c r="J321" s="3" t="str">
        <f t="shared" si="123"/>
        <v>Wildtype%</v>
      </c>
      <c r="K321" s="3">
        <f t="shared" si="123"/>
        <v>37.1</v>
      </c>
      <c r="L321" s="3">
        <f t="shared" si="123"/>
        <v>97.8</v>
      </c>
      <c r="M321" s="3">
        <f t="shared" si="123"/>
        <v>79.5</v>
      </c>
      <c r="P321" s="14"/>
      <c r="Q321" s="15"/>
      <c r="Y321" s="3" t="str">
        <f t="shared" ref="Y321:AB321" si="131">Y299</f>
        <v>Wildtype%</v>
      </c>
      <c r="Z321" s="3">
        <f t="shared" si="131"/>
        <v>37.1</v>
      </c>
      <c r="AA321" s="3">
        <f t="shared" si="131"/>
        <v>97.8</v>
      </c>
      <c r="AB321" s="3">
        <f t="shared" si="131"/>
        <v>79.5</v>
      </c>
    </row>
    <row r="322" spans="1:28" x14ac:dyDescent="0.25">
      <c r="A322" s="14"/>
      <c r="C322" s="3" t="s">
        <v>26</v>
      </c>
      <c r="P322" s="14"/>
      <c r="Q322" s="15"/>
    </row>
    <row r="323" spans="1:28" x14ac:dyDescent="0.25">
      <c r="A323" s="14"/>
      <c r="P323" s="14"/>
      <c r="Q323" s="15"/>
    </row>
    <row r="324" spans="1:28" x14ac:dyDescent="0.25">
      <c r="A324" s="14"/>
      <c r="C324" s="3" t="str">
        <f>CONCATENATE("    ",B315)</f>
        <v xml:space="preserve">    People with this variant have two copies of the [G158A](https://www.ncbi.nlm.nih.gov/pubmed/21059181) variant and one copy of the [T19943884C](https://www.ncbi.nlm.nih.gov/pubmed/19540336) variant. This substitution of a single nucleotide is known as a missense mutation.</v>
      </c>
      <c r="P324" s="14"/>
      <c r="Q324" s="15"/>
    </row>
    <row r="325" spans="1:28" x14ac:dyDescent="0.25">
      <c r="A325" s="14"/>
      <c r="P325" s="14"/>
      <c r="Q325" s="15"/>
    </row>
    <row r="326" spans="1:28" x14ac:dyDescent="0.25">
      <c r="A326" s="26"/>
      <c r="C326" s="3" t="s">
        <v>29</v>
      </c>
      <c r="P326" s="26"/>
      <c r="Q326" s="15"/>
    </row>
    <row r="327" spans="1:28" x14ac:dyDescent="0.25">
      <c r="A327" s="26"/>
      <c r="P327" s="26"/>
      <c r="Q327" s="15"/>
    </row>
    <row r="328" spans="1:28" x14ac:dyDescent="0.25">
      <c r="A328" s="26"/>
      <c r="C328" s="3" t="str">
        <f>CONCATENATE(B316)</f>
        <v xml:space="preserve">    There is currently no data on the interaction between these variants.  However, some information exists on the individual variants. 
    # What is the effect of T928G?
Two copies of T928G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c r="P328" s="26"/>
      <c r="Q328" s="15"/>
    </row>
    <row r="329" spans="1:28" x14ac:dyDescent="0.25">
      <c r="A329" s="26"/>
      <c r="P329" s="26"/>
      <c r="Q329" s="15"/>
    </row>
    <row r="330" spans="1:28" x14ac:dyDescent="0.25">
      <c r="A330" s="26"/>
      <c r="C330" s="3" t="s">
        <v>30</v>
      </c>
      <c r="P330" s="26"/>
      <c r="Q330" s="15"/>
    </row>
    <row r="331" spans="1:28" x14ac:dyDescent="0.25">
      <c r="A331" s="26"/>
      <c r="P331" s="26"/>
      <c r="Q331" s="15"/>
    </row>
    <row r="332" spans="1:28" x14ac:dyDescent="0.25">
      <c r="A332" s="26"/>
      <c r="C332" s="3" t="str">
        <f>CONCATENATE( "    &lt;piechart percentage=",B317," /&gt;")</f>
        <v xml:space="preserve">    &lt;piechart percentage= /&gt;</v>
      </c>
      <c r="P332" s="26"/>
      <c r="Q332" s="15"/>
    </row>
    <row r="333" spans="1:28" x14ac:dyDescent="0.25">
      <c r="A333" s="26"/>
      <c r="C333" s="3" t="str">
        <f>"  &lt;/Analysis&gt;"</f>
        <v xml:space="preserve">  &lt;/Analysis&gt;</v>
      </c>
      <c r="K333" s="3" t="str">
        <f t="shared" ref="K333:M335" si="132">K311</f>
        <v>rs6691840</v>
      </c>
      <c r="L333" s="3" t="str">
        <f t="shared" si="132"/>
        <v>rs3913434</v>
      </c>
      <c r="M333" s="3" t="str">
        <f t="shared" si="132"/>
        <v>rs270838</v>
      </c>
      <c r="P333" s="26"/>
      <c r="Q333" s="15"/>
      <c r="Z333" s="3">
        <f t="shared" ref="Z333:AB333" si="133">Z311</f>
        <v>0</v>
      </c>
      <c r="AA333" s="3">
        <f t="shared" si="133"/>
        <v>0</v>
      </c>
      <c r="AB333" s="3">
        <f t="shared" si="133"/>
        <v>0</v>
      </c>
    </row>
    <row r="334" spans="1:28" s="21" customFormat="1" x14ac:dyDescent="0.25">
      <c r="A334" s="28" t="s">
        <v>70</v>
      </c>
      <c r="B334" s="20" t="str">
        <f>CONCATENATE(B114," and ",B158)</f>
        <v>C62T (C;T) and T19943884C (T;C)</v>
      </c>
      <c r="C334" s="21" t="str">
        <f>CONCATENATE("&lt;# ",B334," #&gt;")</f>
        <v>&lt;# C62T (C;T) and T19943884C (T;C) #&gt;</v>
      </c>
      <c r="K334" s="21" t="str">
        <f t="shared" si="132"/>
        <v>G158A</v>
      </c>
      <c r="L334" s="21" t="str">
        <f t="shared" si="132"/>
        <v>C62T</v>
      </c>
      <c r="M334" s="21" t="str">
        <f t="shared" si="132"/>
        <v>T19943884C</v>
      </c>
      <c r="P334" s="28" t="s">
        <v>70</v>
      </c>
      <c r="Q334" s="20"/>
      <c r="Z334" s="21" t="str">
        <f t="shared" ref="Z334:AB334" si="134">Z312</f>
        <v>T19960814C</v>
      </c>
      <c r="AA334" s="21" t="str">
        <f t="shared" si="134"/>
        <v>T19950010G</v>
      </c>
      <c r="AB334" s="21">
        <f t="shared" si="134"/>
        <v>0</v>
      </c>
    </row>
    <row r="335" spans="1:28" x14ac:dyDescent="0.25">
      <c r="A335" s="14" t="s">
        <v>21</v>
      </c>
      <c r="B335" s="15" t="str">
        <f>K250</f>
        <v>NC_000022.10:g.[19951271G&gt;A];[19951271=]</v>
      </c>
      <c r="K335" s="3" t="str">
        <f t="shared" si="132"/>
        <v>NC_000022.10:g.</v>
      </c>
      <c r="L335" s="3" t="str">
        <f t="shared" si="132"/>
        <v>NC_000022.10:g.</v>
      </c>
      <c r="M335" s="3" t="str">
        <f t="shared" si="132"/>
        <v>NC_000022.10:g.</v>
      </c>
      <c r="P335" s="14" t="s">
        <v>21</v>
      </c>
      <c r="Q335" s="15"/>
      <c r="Z335" s="3" t="str">
        <f t="shared" ref="Z335:AB335" si="135">Z313</f>
        <v>NC_000022.10:g.</v>
      </c>
      <c r="AA335" s="3" t="str">
        <f t="shared" si="135"/>
        <v>NC_000022.10:g.</v>
      </c>
      <c r="AB335" s="3">
        <f t="shared" si="135"/>
        <v>0</v>
      </c>
    </row>
    <row r="336" spans="1:28" x14ac:dyDescent="0.25">
      <c r="A336" s="14" t="s">
        <v>72</v>
      </c>
      <c r="C336" s="3" t="str">
        <f>CONCATENATE("  &lt;Analysis name=",CHAR(34),B334,CHAR(34))</f>
        <v xml:space="preserve">  &lt;Analysis name="C62T (C;T) and T19943884C (T;C)"</v>
      </c>
      <c r="J336" s="3" t="str">
        <f t="shared" ref="J336:M343" si="136">J314</f>
        <v>Variant</v>
      </c>
      <c r="K336" s="3" t="str">
        <f t="shared" si="136"/>
        <v>[19951271G&gt;A]</v>
      </c>
      <c r="L336" s="3" t="str">
        <f t="shared" si="136"/>
        <v>[19950235C&gt;T]</v>
      </c>
      <c r="M336" s="3" t="str">
        <f t="shared" si="136"/>
        <v>[19931407T&gt;C]</v>
      </c>
      <c r="P336" s="14" t="s">
        <v>72</v>
      </c>
      <c r="Q336" s="15"/>
      <c r="Y336" s="3" t="str">
        <f t="shared" ref="Y336:AB336" si="137">Y314</f>
        <v>Variant</v>
      </c>
      <c r="Z336" s="3" t="str">
        <f t="shared" si="137"/>
        <v>[19948337T&gt;C]</v>
      </c>
      <c r="AA336" s="3" t="str">
        <f t="shared" si="137"/>
        <v>[19937533T&gt;G]</v>
      </c>
      <c r="AB336" s="3">
        <f t="shared" si="137"/>
        <v>0</v>
      </c>
    </row>
    <row r="337" spans="1:28" x14ac:dyDescent="0.25">
      <c r="A337" s="26" t="s">
        <v>75</v>
      </c>
      <c r="B337" s="15" t="str">
        <f>CONCATENATE("People with this variant have one copy of the ",B31," and ",B40," variants. This substitution of a single nucleotide is known as a missense mutation.")</f>
        <v>People with this variant have one copy of the [C62T](https://www.ncbi.nlm.nih.gov/pubmed/26891941) and [T19943884C](https://www.ncbi.nlm.nih.gov/pubmed/19540336) variants. This substitution of a single nucleotide is known as a missense mutation.</v>
      </c>
      <c r="C337" s="3" t="str">
        <f>CONCATENATE("            case={  variantCall ",CHAR(40),CHAR(34),L338,CHAR(34),CHAR(41))</f>
        <v xml:space="preserve">            case={  variantCall ("NC_000022.10:g.[19950235C&gt;T];[19950235=]")</v>
      </c>
      <c r="J337" s="3" t="str">
        <f t="shared" si="136"/>
        <v>Wildtype</v>
      </c>
      <c r="K337" s="3" t="str">
        <f t="shared" si="136"/>
        <v>[19951271=]</v>
      </c>
      <c r="L337" s="3" t="str">
        <f t="shared" si="136"/>
        <v>[19950235=]</v>
      </c>
      <c r="M337" s="3" t="str">
        <f t="shared" si="136"/>
        <v>[19931407=]</v>
      </c>
      <c r="P337" s="26" t="s">
        <v>75</v>
      </c>
      <c r="Q337" s="15"/>
      <c r="Y337" s="3" t="str">
        <f t="shared" ref="Y337:AB337" si="138">Y315</f>
        <v>Wildtype</v>
      </c>
      <c r="Z337" s="3" t="str">
        <f t="shared" si="138"/>
        <v>[19948337=]</v>
      </c>
      <c r="AA337" s="3" t="str">
        <f t="shared" si="138"/>
        <v>[19937533=]</v>
      </c>
      <c r="AB337" s="3">
        <f t="shared" si="138"/>
        <v>0</v>
      </c>
    </row>
    <row r="338" spans="1:28" ht="409.5" x14ac:dyDescent="0.25">
      <c r="A338" s="26" t="s">
        <v>28</v>
      </c>
      <c r="B338" s="36" t="s">
        <v>119</v>
      </c>
      <c r="C338" s="3" t="s">
        <v>71</v>
      </c>
      <c r="J338" s="3" t="str">
        <f t="shared" si="136"/>
        <v>Het</v>
      </c>
      <c r="K338" s="3" t="str">
        <f t="shared" si="136"/>
        <v>NC_000022.10:g.[19951271G&gt;A];[19951271=]</v>
      </c>
      <c r="L338" s="3" t="str">
        <f t="shared" si="136"/>
        <v>NC_000022.10:g.[19950235C&gt;T];[19950235=]</v>
      </c>
      <c r="M338" s="3" t="str">
        <f t="shared" si="136"/>
        <v>NC_000022.10:g.[19931407T&gt;C];[19931407=]</v>
      </c>
      <c r="P338" s="26" t="s">
        <v>28</v>
      </c>
      <c r="Q338" s="15"/>
      <c r="Y338" s="3" t="str">
        <f t="shared" ref="Y338:AB338" si="139">Y316</f>
        <v>Het</v>
      </c>
      <c r="Z338" s="3" t="str">
        <f t="shared" si="139"/>
        <v>NC_000022.10:g.[19948337T&gt;C];[19948337=]</v>
      </c>
      <c r="AA338" s="3" t="str">
        <f t="shared" si="139"/>
        <v>NC_000022.10:g.[19937533T&gt;G];[19937533=]</v>
      </c>
      <c r="AB338" s="3" t="str">
        <f t="shared" si="139"/>
        <v>00;0</v>
      </c>
    </row>
    <row r="339" spans="1:28" x14ac:dyDescent="0.25">
      <c r="A339" s="26" t="s">
        <v>73</v>
      </c>
      <c r="C339" s="3" t="str">
        <f>CONCATENATE("                    variantCall ",CHAR(40),CHAR(34),M338,CHAR(34),CHAR(41))</f>
        <v xml:space="preserve">                    variantCall ("NC_000022.10:g.[19931407T&gt;C];[19931407=]")</v>
      </c>
      <c r="J339" s="3" t="str">
        <f t="shared" si="136"/>
        <v>Homo</v>
      </c>
      <c r="K339" s="3" t="str">
        <f t="shared" si="136"/>
        <v>NC_000022.10:g.[19951271G&gt;A];[19951271G&gt;A]</v>
      </c>
      <c r="L339" s="3" t="str">
        <f t="shared" si="136"/>
        <v>NC_000022.10:g.[19950235C&gt;T];[19950235C&gt;T]</v>
      </c>
      <c r="M339" s="3" t="str">
        <f t="shared" si="136"/>
        <v>NC_000022.10:g.[19931407T&gt;C];[19931407T&gt;C]</v>
      </c>
      <c r="P339" s="26" t="s">
        <v>73</v>
      </c>
      <c r="Q339" s="15"/>
      <c r="Y339" s="3" t="str">
        <f t="shared" ref="Y339:AB339" si="140">Y317</f>
        <v>Homo</v>
      </c>
      <c r="Z339" s="3" t="str">
        <f t="shared" si="140"/>
        <v>NC_000022.10:g.[19948337T&gt;C];[19948337T&gt;C]</v>
      </c>
      <c r="AA339" s="3" t="str">
        <f t="shared" si="140"/>
        <v>NC_000022.10:g.[19937533T&gt;G];[19937533T&gt;G]</v>
      </c>
      <c r="AB339" s="3" t="str">
        <f t="shared" si="140"/>
        <v>00;0</v>
      </c>
    </row>
    <row r="340" spans="1:28" x14ac:dyDescent="0.25">
      <c r="A340" s="26"/>
      <c r="J340" s="3" t="str">
        <f t="shared" si="136"/>
        <v>Wildtype</v>
      </c>
      <c r="K340" s="3" t="str">
        <f t="shared" si="136"/>
        <v>NC_000022.10:g.[19951271=];[19951271=]</v>
      </c>
      <c r="L340" s="3" t="str">
        <f t="shared" si="136"/>
        <v>NC_000022.10:g.[19950235=];[19950235=]</v>
      </c>
      <c r="M340" s="3" t="str">
        <f t="shared" si="136"/>
        <v>NC_000022.10:g.[19931407=];[19931407=]</v>
      </c>
      <c r="P340" s="26"/>
      <c r="Q340" s="15"/>
      <c r="Y340" s="3" t="str">
        <f t="shared" ref="Y340:AB340" si="141">Y318</f>
        <v>Wildtype</v>
      </c>
      <c r="Z340" s="3" t="str">
        <f t="shared" si="141"/>
        <v>NC_000022.10:g.[19948337=];[19948337=]</v>
      </c>
      <c r="AA340" s="3" t="str">
        <f t="shared" si="141"/>
        <v>NC_000022.10:g.[19937533=];[19937533=]</v>
      </c>
      <c r="AB340" s="3" t="str">
        <f t="shared" si="141"/>
        <v>00;0</v>
      </c>
    </row>
    <row r="341" spans="1:28" x14ac:dyDescent="0.25">
      <c r="A341" s="26"/>
      <c r="J341" s="3" t="str">
        <f t="shared" si="136"/>
        <v>Het%</v>
      </c>
      <c r="K341" s="3">
        <f t="shared" si="136"/>
        <v>43</v>
      </c>
      <c r="L341" s="3">
        <f t="shared" si="136"/>
        <v>1.8</v>
      </c>
      <c r="M341" s="3">
        <f t="shared" si="136"/>
        <v>15.8</v>
      </c>
      <c r="P341" s="26"/>
      <c r="Q341" s="15"/>
      <c r="Y341" s="3" t="str">
        <f t="shared" ref="Y341:AB341" si="142">Y319</f>
        <v>Het%</v>
      </c>
      <c r="Z341" s="3">
        <f t="shared" si="142"/>
        <v>43</v>
      </c>
      <c r="AA341" s="3">
        <f t="shared" si="142"/>
        <v>1.8</v>
      </c>
      <c r="AB341" s="3">
        <f t="shared" si="142"/>
        <v>15.8</v>
      </c>
    </row>
    <row r="342" spans="1:28" x14ac:dyDescent="0.25">
      <c r="A342" s="26"/>
      <c r="C342" s="3" t="str">
        <f>CONCATENATE("                  } &gt; ")</f>
        <v xml:space="preserve">                  } &gt; </v>
      </c>
      <c r="J342" s="3" t="str">
        <f t="shared" si="136"/>
        <v>Homo%</v>
      </c>
      <c r="K342" s="3">
        <f t="shared" si="136"/>
        <v>19.899999999999999</v>
      </c>
      <c r="L342" s="3">
        <f t="shared" si="136"/>
        <v>0.5</v>
      </c>
      <c r="M342" s="3">
        <f t="shared" si="136"/>
        <v>4.7</v>
      </c>
      <c r="P342" s="26"/>
      <c r="Q342" s="15"/>
      <c r="Y342" s="3" t="str">
        <f t="shared" ref="Y342:AB342" si="143">Y320</f>
        <v>Homo%</v>
      </c>
      <c r="Z342" s="3">
        <f t="shared" si="143"/>
        <v>19.899999999999999</v>
      </c>
      <c r="AA342" s="3">
        <f t="shared" si="143"/>
        <v>0.5</v>
      </c>
      <c r="AB342" s="3">
        <f t="shared" si="143"/>
        <v>4.7</v>
      </c>
    </row>
    <row r="343" spans="1:28" x14ac:dyDescent="0.25">
      <c r="A343" s="14"/>
      <c r="J343" s="3" t="str">
        <f t="shared" si="136"/>
        <v>Wildtype%</v>
      </c>
      <c r="K343" s="3">
        <f t="shared" si="136"/>
        <v>37.1</v>
      </c>
      <c r="L343" s="3">
        <f t="shared" si="136"/>
        <v>97.8</v>
      </c>
      <c r="M343" s="3">
        <f t="shared" si="136"/>
        <v>79.5</v>
      </c>
      <c r="P343" s="14"/>
      <c r="Q343" s="15"/>
      <c r="Y343" s="3" t="str">
        <f t="shared" ref="Y343:AB343" si="144">Y321</f>
        <v>Wildtype%</v>
      </c>
      <c r="Z343" s="3">
        <f t="shared" si="144"/>
        <v>37.1</v>
      </c>
      <c r="AA343" s="3">
        <f t="shared" si="144"/>
        <v>97.8</v>
      </c>
      <c r="AB343" s="3">
        <f t="shared" si="144"/>
        <v>79.5</v>
      </c>
    </row>
    <row r="344" spans="1:28" x14ac:dyDescent="0.25">
      <c r="A344" s="14"/>
      <c r="C344" s="3" t="s">
        <v>26</v>
      </c>
      <c r="P344" s="14"/>
      <c r="Q344" s="15"/>
    </row>
    <row r="345" spans="1:28" x14ac:dyDescent="0.25">
      <c r="A345" s="14"/>
      <c r="P345" s="14"/>
      <c r="Q345" s="15"/>
    </row>
    <row r="346" spans="1:28" x14ac:dyDescent="0.25">
      <c r="A346" s="14"/>
      <c r="C346" s="3" t="str">
        <f>CONCATENATE("    ",B337)</f>
        <v xml:space="preserve">    People with this variant have one copy of the [C62T](https://www.ncbi.nlm.nih.gov/pubmed/26891941) and [T19943884C](https://www.ncbi.nlm.nih.gov/pubmed/19540336) variants. This substitution of a single nucleotide is known as a missense mutation.</v>
      </c>
      <c r="P346" s="14"/>
      <c r="Q346" s="15"/>
    </row>
    <row r="347" spans="1:28" x14ac:dyDescent="0.25">
      <c r="A347" s="14"/>
      <c r="P347" s="14"/>
      <c r="Q347" s="15"/>
    </row>
    <row r="348" spans="1:28" x14ac:dyDescent="0.25">
      <c r="A348" s="26"/>
      <c r="C348" s="3" t="s">
        <v>29</v>
      </c>
      <c r="P348" s="26"/>
      <c r="Q348" s="15"/>
    </row>
    <row r="349" spans="1:28" x14ac:dyDescent="0.25">
      <c r="A349" s="26"/>
      <c r="P349" s="26"/>
      <c r="Q349" s="15"/>
    </row>
    <row r="350" spans="1:28" x14ac:dyDescent="0.25">
      <c r="A350" s="26"/>
      <c r="C350" s="3" t="str">
        <f>CONCATENATE(B338)</f>
        <v xml:space="preserve">    There is currently no data on the interaction between these variants.  However, some information exists on the individual variants.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c r="P350" s="26"/>
      <c r="Q350" s="15"/>
    </row>
    <row r="351" spans="1:28" x14ac:dyDescent="0.25">
      <c r="A351" s="26"/>
      <c r="P351" s="26"/>
      <c r="Q351" s="15"/>
    </row>
    <row r="352" spans="1:28" x14ac:dyDescent="0.25">
      <c r="A352" s="26"/>
      <c r="C352" s="3" t="s">
        <v>30</v>
      </c>
      <c r="P352" s="26"/>
      <c r="Q352" s="15"/>
    </row>
    <row r="353" spans="1:28" x14ac:dyDescent="0.25">
      <c r="A353" s="26"/>
      <c r="P353" s="26"/>
      <c r="Q353" s="15"/>
    </row>
    <row r="354" spans="1:28" x14ac:dyDescent="0.25">
      <c r="A354" s="26"/>
      <c r="C354" s="3" t="str">
        <f>CONCATENATE( "    &lt;piechart percentage=",B339," /&gt;")</f>
        <v xml:space="preserve">    &lt;piechart percentage= /&gt;</v>
      </c>
      <c r="P354" s="26"/>
      <c r="Q354" s="15"/>
    </row>
    <row r="355" spans="1:28" x14ac:dyDescent="0.25">
      <c r="A355" s="26"/>
      <c r="C355" s="3" t="str">
        <f>"  &lt;/Analysis&gt;"</f>
        <v xml:space="preserve">  &lt;/Analysis&gt;</v>
      </c>
      <c r="K355" s="3" t="str">
        <f>K179</f>
        <v>rs6691840</v>
      </c>
      <c r="L355" s="3" t="str">
        <f>L179</f>
        <v>rs3913434</v>
      </c>
      <c r="M355" s="3" t="str">
        <f>M179</f>
        <v>rs270838</v>
      </c>
      <c r="P355" s="26"/>
      <c r="Q355" s="15"/>
      <c r="Z355" s="3">
        <f t="shared" ref="Z355:AB355" si="145">Z179</f>
        <v>0</v>
      </c>
      <c r="AA355" s="3">
        <f t="shared" si="145"/>
        <v>0</v>
      </c>
      <c r="AB355" s="3">
        <f t="shared" si="145"/>
        <v>0</v>
      </c>
    </row>
    <row r="356" spans="1:28" s="21" customFormat="1" x14ac:dyDescent="0.25">
      <c r="A356" s="28" t="s">
        <v>70</v>
      </c>
      <c r="B356" s="20" t="s">
        <v>85</v>
      </c>
      <c r="C356" s="21" t="str">
        <f>CONCATENATE("&lt;# ",B356," #&gt;")</f>
        <v>&lt;# Wild type #&gt;</v>
      </c>
      <c r="K356" s="21" t="str">
        <f t="shared" ref="K356:M357" si="146">K202</f>
        <v>G158A</v>
      </c>
      <c r="L356" s="21" t="str">
        <f t="shared" si="146"/>
        <v>C62T</v>
      </c>
      <c r="M356" s="21" t="str">
        <f t="shared" si="146"/>
        <v>T19943884C</v>
      </c>
      <c r="P356" s="28" t="s">
        <v>70</v>
      </c>
      <c r="Q356" s="20" t="s">
        <v>85</v>
      </c>
      <c r="R356" s="21" t="str">
        <f>CONCATENATE("&lt;# ",Q356," #&gt;")</f>
        <v>&lt;# Wild type #&gt;</v>
      </c>
      <c r="Z356" s="21" t="str">
        <f t="shared" ref="Z356:AB356" si="147">Z202</f>
        <v>T19960814C</v>
      </c>
      <c r="AA356" s="21" t="str">
        <f t="shared" si="147"/>
        <v>T19950010G</v>
      </c>
      <c r="AB356" s="21">
        <f t="shared" si="147"/>
        <v>0</v>
      </c>
    </row>
    <row r="357" spans="1:28" x14ac:dyDescent="0.25">
      <c r="A357" s="14" t="s">
        <v>21</v>
      </c>
      <c r="B357" s="15" t="str">
        <f>K76</f>
        <v>NC_000022.10:g.[19951271=];[19951271=]</v>
      </c>
      <c r="K357" s="3" t="str">
        <f t="shared" si="146"/>
        <v>NC_000022.10:g.</v>
      </c>
      <c r="L357" s="3" t="str">
        <f t="shared" si="146"/>
        <v>NC_000022.10:g.</v>
      </c>
      <c r="M357" s="3" t="str">
        <f t="shared" si="146"/>
        <v>NC_000022.10:g.</v>
      </c>
      <c r="P357" s="14" t="s">
        <v>21</v>
      </c>
      <c r="Q357" s="15" t="str">
        <f>Z76</f>
        <v>NC_000022.10:g.[19948337=];[19948337=]</v>
      </c>
      <c r="Z357" s="3" t="str">
        <f t="shared" ref="Z357:AB357" si="148">Z203</f>
        <v>NC_000022.10:g.</v>
      </c>
      <c r="AA357" s="3" t="str">
        <f t="shared" si="148"/>
        <v>NC_000022.10:g.</v>
      </c>
      <c r="AB357" s="3">
        <f t="shared" si="148"/>
        <v>0</v>
      </c>
    </row>
    <row r="358" spans="1:28" x14ac:dyDescent="0.25">
      <c r="A358" s="14" t="s">
        <v>72</v>
      </c>
      <c r="B358" s="15" t="str">
        <f>L76</f>
        <v>NC_000022.10:g.[19950235=];[19950235=]</v>
      </c>
      <c r="C358" s="3" t="str">
        <f>CONCATENATE("  &lt;Analysis name=",CHAR(34),B356,CHAR(34))</f>
        <v xml:space="preserve">  &lt;Analysis name="Wild type"</v>
      </c>
      <c r="J358" s="3" t="str">
        <f t="shared" ref="J358:M365" si="149">J204</f>
        <v>Variant</v>
      </c>
      <c r="K358" s="3" t="str">
        <f t="shared" si="149"/>
        <v>[19951271G&gt;A]</v>
      </c>
      <c r="L358" s="3" t="str">
        <f t="shared" si="149"/>
        <v>[19950235C&gt;T]</v>
      </c>
      <c r="M358" s="3" t="str">
        <f t="shared" si="149"/>
        <v>[19931407T&gt;C]</v>
      </c>
      <c r="P358" s="14" t="s">
        <v>72</v>
      </c>
      <c r="Q358" s="15" t="str">
        <f>AA76</f>
        <v>NC_000022.10:g.[19937533=];[19937533=]</v>
      </c>
      <c r="R358" s="3" t="str">
        <f>CONCATENATE("  &lt;Analysis name=",CHAR(34),Q356,CHAR(34))</f>
        <v xml:space="preserve">  &lt;Analysis name="Wild type"</v>
      </c>
      <c r="Y358" s="3" t="str">
        <f t="shared" ref="Y358:AB358" si="150">Y204</f>
        <v>Variant</v>
      </c>
      <c r="Z358" s="3" t="str">
        <f t="shared" si="150"/>
        <v>[19948337T&gt;C]</v>
      </c>
      <c r="AA358" s="3" t="str">
        <f t="shared" si="150"/>
        <v>[19937533T&gt;G]</v>
      </c>
      <c r="AB358" s="3">
        <f t="shared" si="150"/>
        <v>0</v>
      </c>
    </row>
    <row r="359" spans="1:28" x14ac:dyDescent="0.25">
      <c r="A359" s="26" t="s">
        <v>75</v>
      </c>
      <c r="B359" s="15" t="str">
        <f>CONCATENATE("Your ",B12," gene has no variants. A normal gene is referred to as a ",CHAR(34),"wild-type",CHAR(34)," gene.")</f>
        <v>Your COMT gene has no variants. A normal gene is referred to as a "wild-type" gene.</v>
      </c>
      <c r="C359" s="3" t="str">
        <f>CONCATENATE("            case={  variantCall ",CHAR(40),CHAR(34),B357,CHAR(34),CHAR(41))</f>
        <v xml:space="preserve">            case={  variantCall ("NC_000022.10:g.[19951271=];[19951271=]")</v>
      </c>
      <c r="J359" s="3" t="str">
        <f t="shared" si="149"/>
        <v>Wildtype</v>
      </c>
      <c r="K359" s="3" t="str">
        <f t="shared" si="149"/>
        <v>[19951271=]</v>
      </c>
      <c r="L359" s="3" t="str">
        <f t="shared" si="149"/>
        <v>[19950235=]</v>
      </c>
      <c r="M359" s="3" t="str">
        <f t="shared" si="149"/>
        <v>[19931407=]</v>
      </c>
      <c r="P359" s="26" t="s">
        <v>75</v>
      </c>
      <c r="Q359" s="15" t="str">
        <f>CONCATENATE("Your ",Q12," gene has no variants. A normal gene is referred to as a ",CHAR(34),"wild-type",CHAR(34)," gene.")</f>
        <v>Your  gene has no variants. A normal gene is referred to as a "wild-type" gene.</v>
      </c>
      <c r="R359" s="3" t="str">
        <f>CONCATENATE("            case={  variantCall ",CHAR(40),CHAR(34),Q357,CHAR(34),CHAR(41))</f>
        <v xml:space="preserve">            case={  variantCall ("NC_000022.10:g.[19948337=];[19948337=]")</v>
      </c>
      <c r="Y359" s="3" t="str">
        <f t="shared" ref="Y359:AB359" si="151">Y205</f>
        <v>Wildtype</v>
      </c>
      <c r="Z359" s="3" t="str">
        <f t="shared" si="151"/>
        <v>[19948337=]</v>
      </c>
      <c r="AA359" s="3" t="str">
        <f t="shared" si="151"/>
        <v>[19937533=]</v>
      </c>
      <c r="AB359" s="3">
        <f t="shared" si="151"/>
        <v>0</v>
      </c>
    </row>
    <row r="360" spans="1:28" x14ac:dyDescent="0.25">
      <c r="A360" s="26" t="s">
        <v>28</v>
      </c>
      <c r="C360" s="3" t="s">
        <v>71</v>
      </c>
      <c r="J360" s="3" t="str">
        <f t="shared" si="149"/>
        <v>Het</v>
      </c>
      <c r="K360" s="3" t="str">
        <f t="shared" si="149"/>
        <v>NC_000022.10:g.[19951271G&gt;A];[19951271=]</v>
      </c>
      <c r="L360" s="3" t="str">
        <f t="shared" si="149"/>
        <v>NC_000022.10:g.[19950235C&gt;T];[19950235=]</v>
      </c>
      <c r="M360" s="3" t="str">
        <f t="shared" si="149"/>
        <v>NC_000022.10:g.[19931407T&gt;C];[19931407=]</v>
      </c>
      <c r="P360" s="26" t="s">
        <v>28</v>
      </c>
      <c r="Q360" s="15"/>
      <c r="R360" s="3" t="s">
        <v>71</v>
      </c>
      <c r="Y360" s="3" t="str">
        <f t="shared" ref="Y360:AB360" si="152">Y206</f>
        <v>Het</v>
      </c>
      <c r="Z360" s="3" t="str">
        <f t="shared" si="152"/>
        <v>NC_000022.10:g.[19948337T&gt;C];[19948337=]</v>
      </c>
      <c r="AA360" s="3" t="str">
        <f t="shared" si="152"/>
        <v>NC_000022.10:g.[19937533T&gt;G];[19937533=]</v>
      </c>
      <c r="AB360" s="3" t="str">
        <f t="shared" si="152"/>
        <v>00;0</v>
      </c>
    </row>
    <row r="361" spans="1:28" x14ac:dyDescent="0.25">
      <c r="A361" s="26" t="s">
        <v>73</v>
      </c>
      <c r="C361" s="3" t="str">
        <f>CONCATENATE("                    ",CHAR(40),"variantCall ",CHAR(40),CHAR(34),L361,CHAR(34),CHAR(41)," or variantCall ",CHAR(40),CHAR(34),L362,CHAR(34),CHAR(41),CHAR(41))</f>
        <v xml:space="preserve">                    (variantCall ("NC_000022.10:g.[19950235C&gt;T];[19950235C&gt;T]") or variantCall ("NC_000022.10:g.[19950235=];[19950235=]"))</v>
      </c>
      <c r="J361" s="3" t="str">
        <f t="shared" si="149"/>
        <v>Homo</v>
      </c>
      <c r="K361" s="3" t="str">
        <f t="shared" si="149"/>
        <v>NC_000022.10:g.[19951271G&gt;A];[19951271G&gt;A]</v>
      </c>
      <c r="L361" s="3" t="str">
        <f t="shared" si="149"/>
        <v>NC_000022.10:g.[19950235C&gt;T];[19950235C&gt;T]</v>
      </c>
      <c r="M361" s="3" t="str">
        <f t="shared" si="149"/>
        <v>NC_000022.10:g.[19931407T&gt;C];[19931407T&gt;C]</v>
      </c>
      <c r="P361" s="26" t="s">
        <v>73</v>
      </c>
      <c r="Q361" s="15"/>
      <c r="R361" s="3" t="str">
        <f>CONCATENATE("                    ",CHAR(40),"variantCall ",CHAR(40),CHAR(34),AA361,CHAR(34),CHAR(41)," or variantCall ",CHAR(40),CHAR(34),AA362,CHAR(34),CHAR(41),CHAR(41))</f>
        <v xml:space="preserve">                    (variantCall ("NC_000022.10:g.[19937533T&gt;G];[19937533T&gt;G]") or variantCall ("NC_000022.10:g.[19937533=];[19937533=]"))</v>
      </c>
      <c r="Y361" s="3" t="str">
        <f t="shared" ref="Y361:AB361" si="153">Y207</f>
        <v>Homo</v>
      </c>
      <c r="Z361" s="3" t="str">
        <f t="shared" si="153"/>
        <v>NC_000022.10:g.[19948337T&gt;C];[19948337T&gt;C]</v>
      </c>
      <c r="AA361" s="3" t="str">
        <f t="shared" si="153"/>
        <v>NC_000022.10:g.[19937533T&gt;G];[19937533T&gt;G]</v>
      </c>
      <c r="AB361" s="3" t="str">
        <f t="shared" si="153"/>
        <v>00;0</v>
      </c>
    </row>
    <row r="362" spans="1:28" x14ac:dyDescent="0.25">
      <c r="A362" s="26"/>
      <c r="C362" s="3" t="s">
        <v>71</v>
      </c>
      <c r="J362" s="3" t="str">
        <f t="shared" si="149"/>
        <v>Wildtype</v>
      </c>
      <c r="K362" s="3" t="str">
        <f t="shared" si="149"/>
        <v>NC_000022.10:g.[19951271=];[19951271=]</v>
      </c>
      <c r="L362" s="3" t="str">
        <f t="shared" si="149"/>
        <v>NC_000022.10:g.[19950235=];[19950235=]</v>
      </c>
      <c r="M362" s="3" t="str">
        <f t="shared" si="149"/>
        <v>NC_000022.10:g.[19931407=];[19931407=]</v>
      </c>
      <c r="P362" s="26"/>
      <c r="Q362" s="15"/>
      <c r="R362" s="3" t="s">
        <v>71</v>
      </c>
      <c r="Y362" s="3" t="str">
        <f t="shared" ref="Y362:AB362" si="154">Y208</f>
        <v>Wildtype</v>
      </c>
      <c r="Z362" s="3" t="str">
        <f t="shared" si="154"/>
        <v>NC_000022.10:g.[19948337=];[19948337=]</v>
      </c>
      <c r="AA362" s="3" t="str">
        <f t="shared" si="154"/>
        <v>NC_000022.10:g.[19937533=];[19937533=]</v>
      </c>
      <c r="AB362" s="3" t="str">
        <f t="shared" si="154"/>
        <v>00;0</v>
      </c>
    </row>
    <row r="363" spans="1:28" x14ac:dyDescent="0.25">
      <c r="A363" s="26"/>
      <c r="C363" s="3" t="str">
        <f>CONCATENATE("                    ",CHAR(40),"variantCall ",CHAR(40),CHAR(34),M361,CHAR(34),CHAR(41)," or variantCall ",CHAR(40),CHAR(34),M362,CHAR(34),CHAR(41),CHAR(41))</f>
        <v xml:space="preserve">                    (variantCall ("NC_000022.10:g.[19931407T&gt;C];[19931407T&gt;C]") or variantCall ("NC_000022.10:g.[19931407=];[19931407=]"))</v>
      </c>
      <c r="J363" s="3" t="str">
        <f t="shared" si="149"/>
        <v>Het%</v>
      </c>
      <c r="K363" s="3">
        <f t="shared" si="149"/>
        <v>43</v>
      </c>
      <c r="L363" s="3">
        <f t="shared" si="149"/>
        <v>1.8</v>
      </c>
      <c r="M363" s="3">
        <f t="shared" si="149"/>
        <v>15.8</v>
      </c>
      <c r="P363" s="26"/>
      <c r="Q363" s="15"/>
      <c r="R363" s="3" t="str">
        <f>CONCATENATE("                    ",CHAR(40),"variantCall ",CHAR(40),CHAR(34),AB361,CHAR(34),CHAR(41)," or variantCall ",CHAR(40),CHAR(34),AB362,CHAR(34),CHAR(41),CHAR(41))</f>
        <v xml:space="preserve">                    (variantCall ("00;0") or variantCall ("00;0"))</v>
      </c>
      <c r="Y363" s="3" t="str">
        <f t="shared" ref="Y363:AB363" si="155">Y209</f>
        <v>Het%</v>
      </c>
      <c r="Z363" s="3">
        <f t="shared" si="155"/>
        <v>43</v>
      </c>
      <c r="AA363" s="3">
        <f t="shared" si="155"/>
        <v>1.8</v>
      </c>
      <c r="AB363" s="3">
        <f t="shared" si="155"/>
        <v>15.8</v>
      </c>
    </row>
    <row r="364" spans="1:28" x14ac:dyDescent="0.25">
      <c r="A364" s="26"/>
      <c r="C364" s="3" t="str">
        <f>CONCATENATE("                  } &gt; ")</f>
        <v xml:space="preserve">                  } &gt; </v>
      </c>
      <c r="J364" s="3" t="str">
        <f t="shared" si="149"/>
        <v>Homo%</v>
      </c>
      <c r="K364" s="3">
        <f t="shared" si="149"/>
        <v>19.899999999999999</v>
      </c>
      <c r="L364" s="3">
        <f t="shared" si="149"/>
        <v>0.5</v>
      </c>
      <c r="M364" s="3">
        <f t="shared" si="149"/>
        <v>4.7</v>
      </c>
      <c r="P364" s="26"/>
      <c r="Q364" s="15"/>
      <c r="R364" s="3" t="str">
        <f>CONCATENATE("                  } &gt; ")</f>
        <v xml:space="preserve">                  } &gt; </v>
      </c>
      <c r="Y364" s="3" t="str">
        <f t="shared" ref="Y364:AB364" si="156">Y210</f>
        <v>Homo%</v>
      </c>
      <c r="Z364" s="3">
        <f t="shared" si="156"/>
        <v>19.899999999999999</v>
      </c>
      <c r="AA364" s="3">
        <f t="shared" si="156"/>
        <v>0.5</v>
      </c>
      <c r="AB364" s="3">
        <f t="shared" si="156"/>
        <v>4.7</v>
      </c>
    </row>
    <row r="365" spans="1:28" x14ac:dyDescent="0.25">
      <c r="A365" s="14"/>
      <c r="J365" s="3" t="str">
        <f t="shared" si="149"/>
        <v>Wildtype%</v>
      </c>
      <c r="K365" s="3">
        <f t="shared" si="149"/>
        <v>37.1</v>
      </c>
      <c r="L365" s="3">
        <f t="shared" si="149"/>
        <v>97.8</v>
      </c>
      <c r="M365" s="3">
        <f t="shared" si="149"/>
        <v>79.5</v>
      </c>
      <c r="P365" s="14"/>
      <c r="Q365" s="15"/>
      <c r="Y365" s="3" t="str">
        <f t="shared" ref="Y365:AB365" si="157">Y211</f>
        <v>Wildtype%</v>
      </c>
      <c r="Z365" s="3">
        <f t="shared" si="157"/>
        <v>37.1</v>
      </c>
      <c r="AA365" s="3">
        <f t="shared" si="157"/>
        <v>97.8</v>
      </c>
      <c r="AB365" s="3">
        <f t="shared" si="157"/>
        <v>79.5</v>
      </c>
    </row>
    <row r="366" spans="1:28" x14ac:dyDescent="0.25">
      <c r="A366" s="14"/>
      <c r="C366" s="3" t="s">
        <v>26</v>
      </c>
      <c r="P366" s="14"/>
      <c r="Q366" s="15"/>
      <c r="R366" s="3" t="s">
        <v>26</v>
      </c>
    </row>
    <row r="367" spans="1:28" x14ac:dyDescent="0.25">
      <c r="A367" s="14"/>
      <c r="P367" s="14"/>
      <c r="Q367" s="15"/>
    </row>
    <row r="368" spans="1:28" x14ac:dyDescent="0.25">
      <c r="A368" s="26"/>
      <c r="C368" s="3" t="str">
        <f>CONCATENATE("    ",B359)</f>
        <v xml:space="preserve">    Your COMT gene has no variants. A normal gene is referred to as a "wild-type" gene.</v>
      </c>
      <c r="P368" s="26"/>
      <c r="Q368" s="15"/>
      <c r="R368" s="3" t="str">
        <f>CONCATENATE("    ",Q359)</f>
        <v xml:space="preserve">    Your  gene has no variants. A normal gene is referred to as a "wild-type" gene.</v>
      </c>
    </row>
    <row r="369" spans="1:18" x14ac:dyDescent="0.25">
      <c r="A369" s="26"/>
      <c r="P369" s="26"/>
      <c r="Q369" s="15"/>
    </row>
    <row r="370" spans="1:18" x14ac:dyDescent="0.25">
      <c r="A370" s="26"/>
      <c r="C370" s="3" t="s">
        <v>30</v>
      </c>
      <c r="P370" s="26"/>
      <c r="Q370" s="15"/>
      <c r="R370" s="3" t="s">
        <v>30</v>
      </c>
    </row>
    <row r="371" spans="1:18" x14ac:dyDescent="0.25">
      <c r="A371" s="26"/>
      <c r="P371" s="26"/>
      <c r="Q371" s="15"/>
    </row>
    <row r="372" spans="1:18" x14ac:dyDescent="0.25">
      <c r="A372" s="26"/>
      <c r="C372" s="3" t="str">
        <f>CONCATENATE( "    &lt;piechart percentage=",B361," /&gt;")</f>
        <v xml:space="preserve">    &lt;piechart percentage= /&gt;</v>
      </c>
      <c r="P372" s="26"/>
      <c r="Q372" s="15"/>
      <c r="R372" s="3" t="str">
        <f>CONCATENATE( "    &lt;piechart percentage=",Q361," /&gt;")</f>
        <v xml:space="preserve">    &lt;piechart percentage= /&gt;</v>
      </c>
    </row>
    <row r="373" spans="1:18" x14ac:dyDescent="0.25">
      <c r="A373" s="26"/>
      <c r="C373" s="3" t="str">
        <f>"  &lt;/Analysis&gt;"</f>
        <v xml:space="preserve">  &lt;/Analysis&gt;</v>
      </c>
      <c r="P373" s="26"/>
      <c r="Q373" s="15"/>
      <c r="R373" s="3" t="str">
        <f>"  &lt;/Analysis&gt;"</f>
        <v xml:space="preserve">  &lt;/Analysis&gt;</v>
      </c>
    </row>
    <row r="374" spans="1:18" s="21" customFormat="1" x14ac:dyDescent="0.25">
      <c r="A374" s="28" t="s">
        <v>70</v>
      </c>
      <c r="B374" s="20" t="s">
        <v>86</v>
      </c>
      <c r="C374" s="21" t="str">
        <f>CONCATENATE("&lt;# ",B374," #&gt;")</f>
        <v>&lt;# Unknown #&gt;</v>
      </c>
      <c r="P374" s="28" t="s">
        <v>70</v>
      </c>
      <c r="Q374" s="20" t="s">
        <v>86</v>
      </c>
      <c r="R374" s="21" t="str">
        <f>CONCATENATE("&lt;# ",Q374," #&gt;")</f>
        <v>&lt;# Unknown #&gt;</v>
      </c>
    </row>
    <row r="375" spans="1:18" x14ac:dyDescent="0.25">
      <c r="A375" s="14" t="s">
        <v>21</v>
      </c>
      <c r="B375" s="15" t="str">
        <f>K94</f>
        <v>[19951271G&gt;A]</v>
      </c>
      <c r="P375" s="14" t="s">
        <v>21</v>
      </c>
      <c r="Q375" s="15" t="str">
        <f>Z94</f>
        <v>[19948337T&gt;C]</v>
      </c>
    </row>
    <row r="376" spans="1:18" x14ac:dyDescent="0.25">
      <c r="A376" s="14" t="s">
        <v>72</v>
      </c>
      <c r="C376" s="3" t="str">
        <f>CONCATENATE("  &lt;Analysis name=",CHAR(34),B374,CHAR(34), " case=true&gt;")</f>
        <v xml:space="preserve">  &lt;Analysis name="Unknown" case=true&gt;</v>
      </c>
      <c r="P376" s="14" t="s">
        <v>72</v>
      </c>
      <c r="Q376" s="15"/>
      <c r="R376" s="3" t="str">
        <f>CONCATENATE("  &lt;Analysis name=",CHAR(34),Q374,CHAR(34), " case=true&gt;")</f>
        <v xml:space="preserve">  &lt;Analysis name="Unknown" case=true&gt;</v>
      </c>
    </row>
    <row r="377" spans="1:18" x14ac:dyDescent="0.25">
      <c r="A377" s="26" t="s">
        <v>75</v>
      </c>
      <c r="B377" s="15" t="s">
        <v>31</v>
      </c>
      <c r="P377" s="26" t="s">
        <v>75</v>
      </c>
      <c r="Q377" s="15" t="s">
        <v>31</v>
      </c>
    </row>
    <row r="378" spans="1:18" x14ac:dyDescent="0.25">
      <c r="A378" s="26" t="s">
        <v>73</v>
      </c>
      <c r="C378" s="3" t="s">
        <v>26</v>
      </c>
      <c r="P378" s="26" t="s">
        <v>73</v>
      </c>
      <c r="Q378" s="15">
        <v>0</v>
      </c>
      <c r="R378" s="3" t="s">
        <v>26</v>
      </c>
    </row>
    <row r="379" spans="1:18" x14ac:dyDescent="0.25">
      <c r="A379" s="26"/>
      <c r="P379" s="26"/>
      <c r="Q379" s="15"/>
    </row>
    <row r="380" spans="1:18" x14ac:dyDescent="0.25">
      <c r="A380" s="14"/>
      <c r="C380" s="3" t="str">
        <f>CONCATENATE("    ",B377)</f>
        <v xml:space="preserve">    The effect is unknown.</v>
      </c>
      <c r="P380" s="14"/>
      <c r="Q380" s="15"/>
      <c r="R380" s="3" t="str">
        <f>CONCATENATE("    ",Q377)</f>
        <v xml:space="preserve">    The effect is unknown.</v>
      </c>
    </row>
    <row r="381" spans="1:18" x14ac:dyDescent="0.25">
      <c r="A381" s="14"/>
      <c r="P381" s="14"/>
      <c r="Q381" s="15"/>
    </row>
    <row r="382" spans="1:18" x14ac:dyDescent="0.25">
      <c r="A382" s="14"/>
      <c r="C382" s="3" t="s">
        <v>30</v>
      </c>
      <c r="P382" s="14"/>
      <c r="Q382" s="15"/>
      <c r="R382" s="3" t="s">
        <v>30</v>
      </c>
    </row>
    <row r="383" spans="1:18" x14ac:dyDescent="0.25">
      <c r="A383" s="26"/>
      <c r="P383" s="26"/>
      <c r="Q383" s="15"/>
    </row>
    <row r="384" spans="1:18" x14ac:dyDescent="0.25">
      <c r="A384" s="26"/>
      <c r="C384" s="3" t="str">
        <f>CONCATENATE( "    &lt;piechart percentage=",B378," /&gt;")</f>
        <v xml:space="preserve">    &lt;piechart percentage= /&gt;</v>
      </c>
      <c r="P384" s="26"/>
      <c r="Q384" s="15"/>
      <c r="R384" s="3" t="str">
        <f>CONCATENATE( "    &lt;piechart percentage=",Q378," /&gt;")</f>
        <v xml:space="preserve">    &lt;piechart percentage=0 /&gt;</v>
      </c>
    </row>
    <row r="385" spans="1:18" x14ac:dyDescent="0.25">
      <c r="A385" s="26"/>
      <c r="C385" s="3" t="str">
        <f>"  &lt;/Analysis&gt;"</f>
        <v xml:space="preserve">  &lt;/Analysis&gt;</v>
      </c>
      <c r="P385" s="26"/>
      <c r="Q385" s="15"/>
      <c r="R385" s="3" t="str">
        <f>"  &lt;/Analysis&gt;"</f>
        <v xml:space="preserve">  &lt;/Analysis&gt;</v>
      </c>
    </row>
    <row r="386" spans="1:18" x14ac:dyDescent="0.25">
      <c r="A386" s="14"/>
      <c r="C386" s="31" t="s">
        <v>78</v>
      </c>
      <c r="P386" s="14"/>
      <c r="Q386" s="15"/>
      <c r="R386" s="31" t="s">
        <v>78</v>
      </c>
    </row>
    <row r="387" spans="1:18" s="21" customFormat="1" x14ac:dyDescent="0.25">
      <c r="A387" s="19"/>
      <c r="B387" s="20"/>
      <c r="C387" s="35"/>
      <c r="P387" s="19"/>
      <c r="Q387" s="20"/>
      <c r="R387" s="35"/>
    </row>
    <row r="388" spans="1:18" x14ac:dyDescent="0.25">
      <c r="A388" s="14" t="s">
        <v>79</v>
      </c>
      <c r="B388" s="15" t="s">
        <v>125</v>
      </c>
      <c r="C388" s="10" t="str">
        <f>CONCATENATE("&lt;# ",A388," ",B388," #&gt;")</f>
        <v>&lt;# Tissues brain D001921 #&gt;</v>
      </c>
      <c r="P388" s="14" t="s">
        <v>79</v>
      </c>
      <c r="Q388" s="15" t="s">
        <v>125</v>
      </c>
      <c r="R388" s="10" t="str">
        <f>CONCATENATE("&lt;# ",P388," ",Q388," #&gt;")</f>
        <v>&lt;# Tissues brain D001921 #&gt;</v>
      </c>
    </row>
    <row r="389" spans="1:18" x14ac:dyDescent="0.25">
      <c r="A389" s="14"/>
      <c r="P389" s="14"/>
      <c r="Q389" s="15"/>
    </row>
    <row r="390" spans="1:18" x14ac:dyDescent="0.25">
      <c r="A390" s="14"/>
      <c r="B390" s="15" t="s">
        <v>126</v>
      </c>
      <c r="C390" s="31" t="str">
        <f>CONCATENATE("&lt;TopicBar ",B390," /&gt;")</f>
        <v>&lt;TopicBar brain /&gt;</v>
      </c>
      <c r="P390" s="14"/>
      <c r="Q390" s="15" t="s">
        <v>126</v>
      </c>
      <c r="R390" s="31" t="str">
        <f>CONCATENATE("&lt;TopicBar ",Q390," /&gt;")</f>
        <v>&lt;TopicBar brain /&gt;</v>
      </c>
    </row>
    <row r="391" spans="1:18" x14ac:dyDescent="0.25">
      <c r="A391" s="14"/>
      <c r="P391" s="14"/>
      <c r="Q391" s="15"/>
    </row>
    <row r="392" spans="1:18" x14ac:dyDescent="0.25">
      <c r="A392" s="14" t="s">
        <v>32</v>
      </c>
      <c r="B392" s="15" t="s">
        <v>121</v>
      </c>
      <c r="C392" s="10" t="str">
        <f>CONCATENATE("&lt;# ",A392," ",B392," #&gt;")</f>
        <v>&lt;# Symptoms depression, stress, problems with thinking or memory, brain fog, pain #&gt;</v>
      </c>
      <c r="P392" s="14" t="s">
        <v>32</v>
      </c>
      <c r="Q392" s="15" t="s">
        <v>121</v>
      </c>
      <c r="R392" s="10" t="str">
        <f>CONCATENATE("&lt;# ",P392," ",Q392," #&gt;")</f>
        <v>&lt;# Symptoms depression, stress, problems with thinking or memory, brain fog, pain #&gt;</v>
      </c>
    </row>
    <row r="393" spans="1:18" x14ac:dyDescent="0.25">
      <c r="A393" s="14"/>
      <c r="P393" s="14"/>
      <c r="Q393" s="15"/>
    </row>
    <row r="394" spans="1:18" x14ac:dyDescent="0.25">
      <c r="A394" s="14"/>
      <c r="B394" s="15" t="s">
        <v>122</v>
      </c>
      <c r="C394" s="31" t="str">
        <f>CONCATENATE("&lt;TopicBar ",B394," /&gt;")</f>
        <v>&lt;TopicBar mesh_D003863 mesh_D040701 mesh_D008569 mesh_D010146 /&gt;</v>
      </c>
      <c r="P394" s="14"/>
      <c r="Q394" s="15" t="s">
        <v>122</v>
      </c>
      <c r="R394" s="31" t="str">
        <f>CONCATENATE("&lt;TopicBar ",Q394," /&gt;")</f>
        <v>&lt;TopicBar mesh_D003863 mesh_D040701 mesh_D008569 mesh_D010146 /&gt;</v>
      </c>
    </row>
    <row r="395" spans="1:18" x14ac:dyDescent="0.25">
      <c r="A395" s="14"/>
      <c r="C395" s="31"/>
      <c r="P395" s="14"/>
      <c r="Q395" s="15"/>
      <c r="R395" s="31"/>
    </row>
    <row r="396" spans="1:18" x14ac:dyDescent="0.25">
      <c r="A396" s="14" t="s">
        <v>48</v>
      </c>
      <c r="B396" s="15" t="s">
        <v>123</v>
      </c>
      <c r="C396" s="10" t="str">
        <f>CONCATENATE("&lt;# ",A396," ",B396," #&gt;")</f>
        <v>&lt;# Diseases schizophrenia D012559; major depressive disorder D003866; ME/CFS D015673;  #&gt;</v>
      </c>
      <c r="P396" s="14" t="s">
        <v>48</v>
      </c>
      <c r="Q396" s="15" t="s">
        <v>123</v>
      </c>
      <c r="R396" s="10" t="str">
        <f>CONCATENATE("&lt;# ",P396," ",Q396," #&gt;")</f>
        <v>&lt;# Diseases schizophrenia D012559; major depressive disorder D003866; ME/CFS D015673;  #&gt;</v>
      </c>
    </row>
    <row r="397" spans="1:18" x14ac:dyDescent="0.25">
      <c r="A397" s="14"/>
      <c r="P397" s="14"/>
      <c r="Q397" s="15"/>
    </row>
    <row r="398" spans="1:18" x14ac:dyDescent="0.25">
      <c r="A398" s="14"/>
      <c r="B398" s="15" t="s">
        <v>124</v>
      </c>
      <c r="C398" s="31" t="str">
        <f>CONCATENATE("&lt;TopicBar ",B398," /&gt;")</f>
        <v>&lt;TopicBar mesh_D012559 mesh_D003866 mesh_D015673 /&gt;</v>
      </c>
      <c r="P398" s="14"/>
      <c r="Q398" s="15" t="s">
        <v>124</v>
      </c>
      <c r="R398" s="31" t="str">
        <f>CONCATENATE("&lt;TopicBar ",Q398," /&gt;")</f>
        <v>&lt;TopicBar mesh_D012559 mesh_D003866 mesh_D015673 /&gt;</v>
      </c>
    </row>
    <row r="399" spans="1:18" x14ac:dyDescent="0.25">
      <c r="A399" s="14"/>
      <c r="P399" s="14"/>
      <c r="Q399" s="15"/>
    </row>
    <row r="400" spans="1:18" s="21" customFormat="1" x14ac:dyDescent="0.25">
      <c r="A400" s="28"/>
      <c r="B400" s="20"/>
      <c r="P400" s="28"/>
      <c r="Q400" s="20"/>
    </row>
    <row r="401" spans="2:2" x14ac:dyDescent="0.25">
      <c r="B401" s="30"/>
    </row>
    <row r="403" spans="2:2" x14ac:dyDescent="0.25">
      <c r="B403" s="30"/>
    </row>
    <row r="405" spans="2:2" x14ac:dyDescent="0.25">
      <c r="B405" s="30"/>
    </row>
    <row r="407" spans="2:2" x14ac:dyDescent="0.25">
      <c r="B407" s="30"/>
    </row>
    <row r="409" spans="2:2" x14ac:dyDescent="0.25">
      <c r="B409" s="3"/>
    </row>
    <row r="411" spans="2:2" x14ac:dyDescent="0.25">
      <c r="B411" s="3"/>
    </row>
    <row r="1083" spans="3:3" x14ac:dyDescent="0.25">
      <c r="C1083" s="3" t="str">
        <f>CONCATENATE("    This variant is a change at a specific point in the ",B1074," gene from ",B1083," to ",B1084," resulting in incorrect ",B1077,"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89" spans="3:3" x14ac:dyDescent="0.25">
      <c r="C1089" s="3" t="str">
        <f>CONCATENATE("    This variant is a change at a specific point in the ",B1074," gene from ",B1089," to ",B1090," resulting in incorrect ",B1077,"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19" spans="3:3" x14ac:dyDescent="0.25">
      <c r="C1219" s="3" t="str">
        <f>CONCATENATE("    This variant is a change at a specific point in the ",B1210," gene from ",B1219," to ",B1220," resulting in incorrect ",B1213,"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25" spans="3:3" x14ac:dyDescent="0.25">
      <c r="C1225" s="3" t="str">
        <f>CONCATENATE("    This variant is a change at a specific point in the ",B1210," gene from ",B1225," to ",B1226," resulting in incorrect ",B1213,"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27" spans="3:3" x14ac:dyDescent="0.25">
      <c r="C1627" s="3" t="str">
        <f>CONCATENATE("    This variant is a change at a specific point in the ",B1618," gene from ",B1627," to ",B1628," resulting in incorrect ",B1621,"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33" spans="3:3" x14ac:dyDescent="0.25">
      <c r="C1633" s="3" t="str">
        <f>CONCATENATE("    This variant is a change at a specific point in the ",B1618," gene from ",B1633," to ",B1634," resulting in incorrect ",B1621,"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63" spans="3:3" x14ac:dyDescent="0.25">
      <c r="C1763" s="3" t="str">
        <f>CONCATENATE("    This variant is a change at a specific point in the ",B1754," gene from ",B1763," to ",B1764," resulting in incorrect ",B1757,"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69" spans="3:3" x14ac:dyDescent="0.25">
      <c r="C1769" s="3" t="str">
        <f>CONCATENATE("    This variant is a change at a specific point in the ",B1754," gene from ",B1769," to ",B1770," resulting in incorrect ",B1757,"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99" spans="3:3" x14ac:dyDescent="0.25">
      <c r="C1899" s="3" t="str">
        <f>CONCATENATE("    This variant is a change at a specific point in the ",B1890," gene from ",B1899," to ",B1900," resulting in incorrect ",B1893,"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05" spans="3:3" x14ac:dyDescent="0.25">
      <c r="C1905" s="3" t="str">
        <f>CONCATENATE("    This variant is a change at a specific point in the ",B1890," gene from ",B1905," to ",B1906," resulting in incorrect ",B1893,"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35" spans="3:3" x14ac:dyDescent="0.25">
      <c r="C2035" s="3" t="str">
        <f>CONCATENATE("    This variant is a change at a specific point in the ",B2026," gene from ",B2035," to ",B2036," resulting in incorrect ",B2029,"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1" spans="3:3" x14ac:dyDescent="0.25">
      <c r="C2041" s="3" t="str">
        <f>CONCATENATE("    This variant is a change at a specific point in the ",B2026," gene from ",B2041," to ",B2042," resulting in incorrect ",B2029,"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71" spans="3:3" x14ac:dyDescent="0.25">
      <c r="C2171" s="3" t="str">
        <f>CONCATENATE("    This variant is a change at a specific point in the ",B2162," gene from ",B2171," to ",B2172," resulting in incorrect ",B2165,"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77" spans="3:3" x14ac:dyDescent="0.25">
      <c r="C2177" s="3" t="str">
        <f>CONCATENATE("    This variant is a change at a specific point in the ",B2162," gene from ",B2177," to ",B2178," resulting in incorrect ",B2165,"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07" spans="3:3" x14ac:dyDescent="0.25">
      <c r="C2307" s="3" t="str">
        <f>CONCATENATE("    This variant is a change at a specific point in the ",B2298," gene from ",B2307," to ",B2308," resulting in incorrect ",B2301,"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13" spans="3:3" x14ac:dyDescent="0.25">
      <c r="C2313" s="3" t="str">
        <f>CONCATENATE("    This variant is a change at a specific point in the ",B2298," gene from ",B2313," to ",B2314," resulting in incorrect ",B2301,"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43" spans="3:3" x14ac:dyDescent="0.25">
      <c r="C2443" s="3" t="str">
        <f>CONCATENATE("    This variant is a change at a specific point in the ",B2434," gene from ",B2443," to ",B2444," resulting in incorrect ",B2437,"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49" spans="3:3" x14ac:dyDescent="0.25">
      <c r="C2449" s="3" t="str">
        <f>CONCATENATE("    This variant is a change at a specific point in the ",B2434," gene from ",B2449," to ",B2450," resulting in incorrect ",B2437,"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79" spans="3:3" x14ac:dyDescent="0.25">
      <c r="C2579" s="3" t="str">
        <f>CONCATENATE("    This variant is a change at a specific point in the ",B2570," gene from ",B2579," to ",B2580," resulting in incorrect ",B2573,"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85" spans="3:3" x14ac:dyDescent="0.25">
      <c r="C2585" s="3" t="str">
        <f>CONCATENATE("    This variant is a change at a specific point in the ",B2570," gene from ",B2585," to ",B2586," resulting in incorrect ",B2573,"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72913-4D6D-48FF-8B0A-1F43D27DCA12}">
  <dimension ref="A1:AJ2510"/>
  <sheetViews>
    <sheetView topLeftCell="A280" workbookViewId="0">
      <selection activeCell="B46" sqref="B46"/>
    </sheetView>
  </sheetViews>
  <sheetFormatPr defaultRowHeight="15.75" x14ac:dyDescent="0.25"/>
  <cols>
    <col min="1" max="1" width="16.28515625" style="3" customWidth="1"/>
    <col min="2" max="2" width="58.28515625" style="15" customWidth="1"/>
    <col min="3" max="6" width="9.140625" style="3"/>
    <col min="7" max="7" width="10.28515625" style="3" bestFit="1" customWidth="1"/>
    <col min="8" max="8" width="13" style="3" customWidth="1"/>
    <col min="9" max="9" width="13.4257812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8" t="s">
        <v>0</v>
      </c>
      <c r="B1" s="9" t="s">
        <v>1</v>
      </c>
      <c r="C1" s="8" t="s">
        <v>2</v>
      </c>
      <c r="H1" s="10"/>
      <c r="I1" s="11"/>
      <c r="J1" s="10"/>
      <c r="K1" s="10"/>
      <c r="L1" s="10"/>
      <c r="Y1" s="12"/>
      <c r="AC1" s="12"/>
      <c r="AF1" s="13"/>
      <c r="AG1" s="13"/>
      <c r="AJ1" s="13"/>
    </row>
    <row r="2" spans="1:36" x14ac:dyDescent="0.25">
      <c r="A2" s="14" t="s">
        <v>35</v>
      </c>
      <c r="B2" t="s">
        <v>87</v>
      </c>
      <c r="C2" s="3" t="str">
        <f>CONCATENATE("&lt;",A2," ",B2," /&gt;")</f>
        <v>&lt;Gene_Name GRIK3 /&gt;</v>
      </c>
      <c r="D2" s="15"/>
      <c r="H2" s="10"/>
      <c r="I2" s="11"/>
      <c r="J2" s="10"/>
      <c r="K2" s="10"/>
      <c r="L2" s="10"/>
      <c r="Y2" s="12"/>
      <c r="AC2" s="12"/>
      <c r="AF2" s="13"/>
      <c r="AG2" s="13"/>
      <c r="AJ2" s="13"/>
    </row>
    <row r="3" spans="1:36" x14ac:dyDescent="0.25">
      <c r="A3" s="8"/>
      <c r="B3" s="9"/>
      <c r="C3" s="8"/>
      <c r="D3" s="15"/>
      <c r="H3" s="10"/>
      <c r="I3" s="11"/>
      <c r="J3" s="10"/>
      <c r="K3" s="10"/>
      <c r="L3" s="10"/>
      <c r="Y3" s="12"/>
      <c r="AC3" s="12"/>
      <c r="AF3" s="13"/>
      <c r="AG3" s="13"/>
      <c r="AJ3" s="13"/>
    </row>
    <row r="4" spans="1:36" x14ac:dyDescent="0.25">
      <c r="A4" s="14" t="s">
        <v>37</v>
      </c>
      <c r="B4" s="15" t="s">
        <v>88</v>
      </c>
      <c r="C4" s="3" t="str">
        <f>CONCATENATE("&lt;",A4," ",B4," /&gt;")</f>
        <v>&lt;GeneName_full Glutamate receptor ionotropic, kainate 3 /&gt;</v>
      </c>
      <c r="D4" s="15"/>
      <c r="H4" s="10"/>
      <c r="I4" s="11"/>
      <c r="J4" s="10"/>
      <c r="K4" s="10"/>
      <c r="L4" s="10"/>
      <c r="Y4" s="12"/>
      <c r="AC4" s="12"/>
      <c r="AF4" s="13"/>
      <c r="AG4" s="13"/>
      <c r="AJ4" s="13"/>
    </row>
    <row r="5" spans="1:36" x14ac:dyDescent="0.25">
      <c r="A5" s="14"/>
      <c r="B5" s="9"/>
      <c r="C5" s="8"/>
      <c r="D5" s="15"/>
      <c r="H5" s="10"/>
      <c r="I5" s="11"/>
      <c r="J5" s="10"/>
      <c r="K5" s="10"/>
      <c r="L5" s="10"/>
      <c r="Y5" s="12"/>
      <c r="AC5" s="12"/>
      <c r="AF5" s="13"/>
      <c r="AG5" s="13"/>
      <c r="AJ5" s="13"/>
    </row>
    <row r="6" spans="1:36" x14ac:dyDescent="0.25">
      <c r="A6" s="14"/>
      <c r="B6" s="3"/>
      <c r="C6" s="3" t="str">
        <f>CONCATENATE("# What does the ",B2," gene do?")</f>
        <v># What does the GRIK3 gene do?</v>
      </c>
      <c r="H6" s="10"/>
      <c r="I6" s="11"/>
      <c r="J6" s="10"/>
      <c r="K6" s="10"/>
      <c r="L6" s="10"/>
      <c r="Y6" s="16"/>
      <c r="Z6" s="16"/>
      <c r="AA6" s="16"/>
      <c r="AC6" s="16"/>
      <c r="AF6" s="13"/>
      <c r="AJ6" s="13"/>
    </row>
    <row r="7" spans="1:36" x14ac:dyDescent="0.25">
      <c r="A7" s="14"/>
      <c r="I7" s="17"/>
      <c r="Y7" s="16"/>
      <c r="Z7" s="16"/>
      <c r="AA7" s="16"/>
      <c r="AC7" s="16"/>
      <c r="AF7" s="13"/>
      <c r="AJ7" s="13"/>
    </row>
    <row r="8" spans="1:36" x14ac:dyDescent="0.25">
      <c r="A8" s="14" t="s">
        <v>5</v>
      </c>
      <c r="B8" s="37" t="s">
        <v>89</v>
      </c>
      <c r="C8" s="3" t="str">
        <f>CONCATENATE(B8," This gene is located on chromosome ",B9,".")</f>
        <v>The GRIK3 gene creates a protein that helps form receptors for the neurotransmitter [glutamate](https://www.nimh.nih.gov/health/educational-resources/brain-basics/brain-basics.shtml). It increases the chance neurons will fire and enhances the electrical flow among brain cells, but elevated levels of glutamate are toxic to neurons. Problems creating or absorbing glutamate are linked to ME/CFS, [major](https://www.ncbi.nlm.nih.gov/pubmed/16958029) [depressive disorder](https://www.ncbi.nlm.nih.gov/pubmed/19221446/), [schizophrenia](https://www.ncbi.nlm.nih.gov/pubmed/19921975/), [and memory problems](https://www.nimh.nih.gov/health/educational-resources/brain-basics/brain-basics.shtml). This gene is located on chromosome 1.</v>
      </c>
      <c r="I8" s="17"/>
      <c r="X8" s="18"/>
      <c r="Y8" s="16"/>
      <c r="Z8" s="16"/>
      <c r="AA8" s="16"/>
      <c r="AC8" s="16"/>
    </row>
    <row r="9" spans="1:36" x14ac:dyDescent="0.25">
      <c r="A9" s="14" t="s">
        <v>6</v>
      </c>
      <c r="B9" s="2">
        <v>1</v>
      </c>
      <c r="I9" s="17"/>
      <c r="Y9" s="16"/>
      <c r="Z9" s="16"/>
      <c r="AA9" s="16"/>
      <c r="AC9" s="16"/>
    </row>
    <row r="10" spans="1:36" x14ac:dyDescent="0.25">
      <c r="A10" s="14" t="s">
        <v>7</v>
      </c>
      <c r="B10" s="2" t="s">
        <v>40</v>
      </c>
      <c r="Y10" s="12"/>
      <c r="AC10" s="16"/>
    </row>
    <row r="11" spans="1:36" s="21" customFormat="1" ht="16.5" thickBot="1" x14ac:dyDescent="0.3">
      <c r="A11" s="19"/>
      <c r="B11" s="20"/>
    </row>
    <row r="12" spans="1:36" ht="16.5" thickBot="1" x14ac:dyDescent="0.3">
      <c r="A12" s="14" t="s">
        <v>3</v>
      </c>
      <c r="B12" t="s">
        <v>87</v>
      </c>
      <c r="C12" s="3" t="str">
        <f>CONCATENATE("&lt;GeneMap name= ",CHAR(34),B12,CHAR(34)," interval=",CHAR(34),B13,"=",CHAR(34),"&gt;")</f>
        <v>&lt;GeneMap name= "GRIK3" interval="NC000001_1.11:g.1111_9999="&gt;</v>
      </c>
      <c r="J12" s="23"/>
      <c r="K12" s="23"/>
      <c r="L12" s="23"/>
      <c r="M12" s="23"/>
      <c r="N12" s="23"/>
      <c r="O12" s="24"/>
      <c r="P12" s="25"/>
      <c r="Q12" s="24"/>
      <c r="R12" s="24"/>
      <c r="S12" s="25"/>
      <c r="T12" s="25"/>
      <c r="U12" s="24"/>
      <c r="V12" s="24"/>
      <c r="W12" s="25"/>
      <c r="X12" s="25"/>
      <c r="Y12" s="25"/>
      <c r="Z12" s="25"/>
    </row>
    <row r="13" spans="1:36" x14ac:dyDescent="0.25">
      <c r="A13" s="14" t="s">
        <v>9</v>
      </c>
      <c r="B13" t="s">
        <v>90</v>
      </c>
      <c r="J13" s="15"/>
      <c r="K13" s="15"/>
      <c r="L13" s="15"/>
      <c r="M13" s="15"/>
      <c r="N13" s="15"/>
      <c r="O13" s="15"/>
      <c r="P13" s="15"/>
      <c r="Q13" s="15"/>
      <c r="R13" s="15"/>
      <c r="S13" s="15"/>
      <c r="T13" s="15"/>
      <c r="U13" s="15"/>
      <c r="V13" s="15"/>
      <c r="W13" s="15"/>
      <c r="X13" s="15"/>
      <c r="Y13" s="15"/>
      <c r="Z13" s="15"/>
    </row>
    <row r="14" spans="1:36" x14ac:dyDescent="0.25">
      <c r="A14" s="14" t="s">
        <v>11</v>
      </c>
      <c r="B14" t="s">
        <v>12</v>
      </c>
      <c r="C14" s="3" t="str">
        <f>CONCATENATE("# What are some common variants of ",B12,"?")</f>
        <v># What are some common variants of GRIK3?</v>
      </c>
      <c r="J14" s="15"/>
      <c r="K14" s="15"/>
      <c r="L14" s="15"/>
      <c r="M14" s="15"/>
      <c r="N14" s="15"/>
      <c r="O14" s="15"/>
      <c r="P14" s="15"/>
      <c r="Q14" s="15"/>
      <c r="R14" s="15"/>
      <c r="S14" s="15"/>
      <c r="T14" s="15"/>
      <c r="U14" s="15"/>
      <c r="V14" s="15"/>
      <c r="W14" s="15"/>
      <c r="X14" s="15"/>
      <c r="Y14" s="15"/>
      <c r="Z14" s="15"/>
    </row>
    <row r="15" spans="1:36" x14ac:dyDescent="0.25">
      <c r="A15" s="14"/>
      <c r="B15" s="2"/>
      <c r="C15" s="3" t="s">
        <v>13</v>
      </c>
      <c r="J15" s="15"/>
      <c r="K15" s="15"/>
      <c r="L15" s="15"/>
      <c r="M15" s="15"/>
      <c r="N15" s="15"/>
      <c r="O15" s="15"/>
      <c r="P15" s="15"/>
      <c r="Q15" s="15"/>
      <c r="R15" s="15"/>
      <c r="S15" s="15"/>
      <c r="T15" s="15"/>
      <c r="U15" s="15"/>
      <c r="V15" s="15"/>
      <c r="W15" s="15"/>
      <c r="X15" s="15"/>
      <c r="Y15" s="15"/>
      <c r="Z15" s="15"/>
    </row>
    <row r="16" spans="1:36" x14ac:dyDescent="0.25">
      <c r="B16" s="2"/>
      <c r="C16" s="3" t="str">
        <f>CONCATENATE("A variant is a change at a specific point in the gene from the expected nucleotide sequence to another, resulting in incorrect ", B10," function. There are ",B14," common variants in ",B12,": ",B22," and ",B31,".")</f>
        <v>A variant is a change at a specific point in the gene from the expected nucleotide sequence to another, resulting in incorrect protein function. There are two common variants in GRIK3: [T928G](https://www.ncbi.nlm.nih.gov/projects/SNP/snp_ref.cgi?rs=6691840)[(Ser310Ala)](https://www.ncbi.nlm.nih.gov/pubmed/11986986) and [C36983994T](https://www.ncbi.nlm.nih.gov/projects/SNP/snp_ref.cgi?rs=3913434).</v>
      </c>
      <c r="J16" s="15"/>
      <c r="K16" s="15"/>
      <c r="L16" s="15"/>
      <c r="M16" s="15"/>
      <c r="N16" s="15"/>
      <c r="O16" s="15"/>
      <c r="P16" s="15"/>
      <c r="Q16" s="15"/>
      <c r="R16" s="15"/>
      <c r="S16" s="15"/>
      <c r="T16" s="15"/>
      <c r="U16" s="15"/>
      <c r="V16" s="15"/>
      <c r="W16" s="15"/>
      <c r="X16" s="15"/>
      <c r="Y16" s="15"/>
      <c r="Z16" s="15"/>
    </row>
    <row r="17" spans="1:26" x14ac:dyDescent="0.25">
      <c r="B17" s="2"/>
      <c r="J17" s="15"/>
      <c r="K17" s="15"/>
      <c r="L17" s="15"/>
      <c r="M17" s="15"/>
      <c r="N17" s="15"/>
      <c r="O17" s="15"/>
      <c r="P17" s="15"/>
      <c r="Q17" s="15"/>
      <c r="R17" s="15"/>
      <c r="S17" s="15"/>
      <c r="T17" s="15"/>
      <c r="U17" s="15"/>
      <c r="V17" s="15"/>
      <c r="W17" s="15"/>
      <c r="X17" s="15"/>
      <c r="Y17" s="15"/>
      <c r="Z17" s="15"/>
    </row>
    <row r="18" spans="1:26" x14ac:dyDescent="0.25">
      <c r="A18" s="14" t="s">
        <v>14</v>
      </c>
      <c r="B18" s="6" t="s">
        <v>98</v>
      </c>
      <c r="C18" s="3" t="str">
        <f>CONCATENATE("&lt;# ",B19," #&gt;")</f>
        <v>&lt;# T928G #&gt;</v>
      </c>
      <c r="J18" s="15"/>
      <c r="K18" s="15"/>
      <c r="L18" s="15"/>
      <c r="M18" s="15"/>
      <c r="N18" s="15"/>
      <c r="O18" s="15"/>
      <c r="P18" s="15"/>
      <c r="Q18" s="15"/>
      <c r="R18" s="15"/>
      <c r="S18" s="15"/>
      <c r="T18" s="15"/>
      <c r="U18" s="15"/>
      <c r="V18" s="15"/>
      <c r="W18" s="15"/>
      <c r="X18" s="15"/>
      <c r="Y18" s="15"/>
      <c r="Z18" s="15"/>
    </row>
    <row r="19" spans="1:26" x14ac:dyDescent="0.25">
      <c r="A19" s="26" t="s">
        <v>15</v>
      </c>
      <c r="B19" t="s">
        <v>92</v>
      </c>
      <c r="J19" s="6"/>
      <c r="K19" s="15"/>
      <c r="L19" s="15"/>
      <c r="M19" s="15"/>
      <c r="N19" s="15"/>
      <c r="O19" s="15"/>
      <c r="P19" s="15"/>
      <c r="Q19" s="15"/>
      <c r="R19" s="15"/>
      <c r="S19" s="15"/>
      <c r="T19" s="15"/>
      <c r="U19" s="15"/>
      <c r="V19" s="15"/>
      <c r="W19" s="15"/>
      <c r="X19" s="15"/>
      <c r="Y19" s="15"/>
      <c r="Z19" s="15"/>
    </row>
    <row r="20" spans="1:26" x14ac:dyDescent="0.25">
      <c r="A20" s="26" t="s">
        <v>17</v>
      </c>
      <c r="B20" t="s">
        <v>20</v>
      </c>
      <c r="C20" s="3" t="str">
        <f>CONCATENATE("  &lt;Variant hgvs=",CHAR(34),B18,CHAR(34)," name=",CHAR(34),B19,CHAR(34),"&gt; ")</f>
        <v xml:space="preserve">  &lt;Variant hgvs="NC_000001.10:g.37325477A&gt;G" name="T928G"&gt; </v>
      </c>
      <c r="J20" s="2"/>
      <c r="K20" s="15"/>
      <c r="L20" s="15"/>
      <c r="M20" s="15"/>
      <c r="N20" s="15"/>
      <c r="O20" s="15"/>
      <c r="P20" s="15"/>
      <c r="Q20" s="15"/>
      <c r="R20" s="15"/>
      <c r="S20" s="15"/>
      <c r="T20" s="15"/>
      <c r="U20" s="15"/>
      <c r="V20" s="15"/>
      <c r="W20" s="15"/>
      <c r="X20" s="15"/>
      <c r="Y20" s="15"/>
      <c r="Z20" s="15"/>
    </row>
    <row r="21" spans="1:26" x14ac:dyDescent="0.25">
      <c r="A21" s="26" t="s">
        <v>19</v>
      </c>
      <c r="B21" t="s">
        <v>44</v>
      </c>
      <c r="H21" s="15"/>
      <c r="I21" s="15"/>
      <c r="J21" s="2"/>
      <c r="K21" s="15"/>
      <c r="L21" s="15"/>
      <c r="M21" s="15"/>
      <c r="N21" s="15"/>
      <c r="O21" s="15"/>
      <c r="P21" s="15"/>
      <c r="Q21" s="15"/>
      <c r="R21" s="15"/>
      <c r="S21" s="15"/>
      <c r="T21" s="15"/>
      <c r="U21" s="15"/>
      <c r="V21" s="15"/>
      <c r="W21" s="15"/>
      <c r="X21" s="15"/>
      <c r="Y21" s="15"/>
      <c r="Z21" s="15"/>
    </row>
    <row r="22" spans="1:26" x14ac:dyDescent="0.25">
      <c r="A22" s="26" t="s">
        <v>21</v>
      </c>
      <c r="B22" t="s">
        <v>93</v>
      </c>
      <c r="C22" s="3" t="str">
        <f>CONCATENATE("    Instead of ",B20,", there is a ",B21," nucleotide.")</f>
        <v xml:space="preserve">    Instead of thymine (T), there is a guanine (G) nucleotide.</v>
      </c>
      <c r="H22" s="15"/>
      <c r="I22" s="15"/>
      <c r="J22" s="7"/>
      <c r="K22" s="15"/>
      <c r="L22" s="15"/>
      <c r="M22" s="15"/>
      <c r="N22" s="15"/>
      <c r="O22" s="15"/>
      <c r="P22" s="15"/>
      <c r="Q22" s="15"/>
      <c r="R22" s="15"/>
      <c r="S22" s="15"/>
      <c r="T22" s="15"/>
      <c r="U22" s="15"/>
      <c r="V22" s="15"/>
      <c r="W22" s="15"/>
      <c r="X22" s="15"/>
      <c r="Y22" s="15"/>
      <c r="Z22" s="15"/>
    </row>
    <row r="23" spans="1:26" x14ac:dyDescent="0.25">
      <c r="A23" s="3" t="s">
        <v>65</v>
      </c>
      <c r="B23" s="3" t="s">
        <v>66</v>
      </c>
      <c r="H23" s="2"/>
      <c r="I23" s="2"/>
      <c r="J23" s="15"/>
      <c r="K23" s="15"/>
      <c r="L23" s="15"/>
      <c r="M23" s="15"/>
      <c r="N23" s="15"/>
      <c r="O23" s="15"/>
      <c r="P23" s="15"/>
      <c r="Q23" s="15"/>
      <c r="R23" s="15"/>
      <c r="S23" s="15"/>
      <c r="T23" s="15"/>
      <c r="U23" s="15"/>
      <c r="V23" s="15"/>
      <c r="W23" s="15"/>
      <c r="X23" s="15"/>
      <c r="Y23" s="15"/>
      <c r="Z23" s="15"/>
    </row>
    <row r="24" spans="1:26" x14ac:dyDescent="0.25">
      <c r="A24" s="3" t="s">
        <v>51</v>
      </c>
      <c r="B24" s="7" t="s">
        <v>99</v>
      </c>
      <c r="C24" s="3" t="str">
        <f>"  &lt;/Variant&gt;"</f>
        <v xml:space="preserve">  &lt;/Variant&gt;</v>
      </c>
      <c r="H24" s="2"/>
      <c r="I24" s="2"/>
      <c r="J24" s="15"/>
      <c r="K24" s="15"/>
      <c r="L24" s="15"/>
      <c r="M24" s="15"/>
      <c r="N24" s="15"/>
      <c r="O24" s="15"/>
      <c r="P24" s="15"/>
      <c r="Q24" s="15"/>
      <c r="R24" s="15"/>
      <c r="S24" s="15"/>
      <c r="T24" s="15"/>
      <c r="U24" s="15"/>
      <c r="V24" s="15"/>
      <c r="W24" s="15"/>
      <c r="X24" s="15"/>
      <c r="Y24" s="15"/>
      <c r="Z24" s="15"/>
    </row>
    <row r="25" spans="1:26" x14ac:dyDescent="0.25">
      <c r="A25" s="26" t="s">
        <v>52</v>
      </c>
      <c r="B25" s="7" t="s">
        <v>100</v>
      </c>
      <c r="J25" s="6"/>
    </row>
    <row r="26" spans="1:26" x14ac:dyDescent="0.25">
      <c r="A26" s="26"/>
      <c r="B26" s="7"/>
      <c r="J26" s="6"/>
    </row>
    <row r="27" spans="1:26" x14ac:dyDescent="0.25">
      <c r="A27" s="14" t="s">
        <v>14</v>
      </c>
      <c r="B27" s="6" t="s">
        <v>102</v>
      </c>
      <c r="C27" s="3" t="str">
        <f>CONCATENATE("&lt;# ",B28," #&gt;")</f>
        <v>&lt;# C36983994T #&gt;</v>
      </c>
      <c r="J27" s="6"/>
    </row>
    <row r="28" spans="1:26" x14ac:dyDescent="0.25">
      <c r="A28" s="26" t="s">
        <v>15</v>
      </c>
      <c r="B28" t="s">
        <v>94</v>
      </c>
      <c r="J28" s="2"/>
    </row>
    <row r="29" spans="1:26" x14ac:dyDescent="0.25">
      <c r="A29" s="26" t="s">
        <v>17</v>
      </c>
      <c r="B29" t="str">
        <f>"cytosine (C)"</f>
        <v>cytosine (C)</v>
      </c>
      <c r="C29" s="3" t="str">
        <f>CONCATENATE("  &lt;Variant hgvs=",CHAR(34),B27,CHAR(34)," name=",CHAR(34),B28,CHAR(34),"&gt; ")</f>
        <v xml:space="preserve">  &lt;Variant hgvs="NC_000001.10:g.37449595C&gt;T" name="C36983994T"&gt; </v>
      </c>
      <c r="J29" s="2"/>
    </row>
    <row r="30" spans="1:26" x14ac:dyDescent="0.25">
      <c r="A30" s="26" t="s">
        <v>19</v>
      </c>
      <c r="B30" t="s">
        <v>20</v>
      </c>
      <c r="J30" s="7"/>
    </row>
    <row r="31" spans="1:26" x14ac:dyDescent="0.25">
      <c r="A31" s="26" t="s">
        <v>21</v>
      </c>
      <c r="B31" t="s">
        <v>95</v>
      </c>
      <c r="C31" s="3" t="str">
        <f>CONCATENATE("    Instead of ",B29,", there is a ",B30," nucleotide.")</f>
        <v xml:space="preserve">    Instead of cytosine (C), there is a thymine (T) nucleotide.</v>
      </c>
    </row>
    <row r="32" spans="1:26" x14ac:dyDescent="0.25">
      <c r="A32" s="3" t="s">
        <v>65</v>
      </c>
      <c r="B32" s="3" t="s">
        <v>66</v>
      </c>
      <c r="J32" s="7"/>
    </row>
    <row r="33" spans="1:13" x14ac:dyDescent="0.25">
      <c r="A33" s="3" t="s">
        <v>51</v>
      </c>
      <c r="B33" s="3" t="s">
        <v>103</v>
      </c>
      <c r="C33" s="3" t="str">
        <f>"  &lt;/Variant&gt;"</f>
        <v xml:space="preserve">  &lt;/Variant&gt;</v>
      </c>
      <c r="J33" s="7"/>
    </row>
    <row r="34" spans="1:13" x14ac:dyDescent="0.25">
      <c r="A34" s="26" t="s">
        <v>52</v>
      </c>
      <c r="B34" s="7" t="s">
        <v>104</v>
      </c>
    </row>
    <row r="35" spans="1:13" x14ac:dyDescent="0.25">
      <c r="B35" s="3"/>
    </row>
    <row r="36" spans="1:13" s="21" customFormat="1" x14ac:dyDescent="0.25">
      <c r="A36" s="28"/>
      <c r="B36" s="20"/>
    </row>
    <row r="37" spans="1:13" s="10" customFormat="1" x14ac:dyDescent="0.25">
      <c r="A37" s="32"/>
      <c r="B37" s="33"/>
      <c r="C37" s="34" t="s">
        <v>62</v>
      </c>
      <c r="L37" s="38"/>
    </row>
    <row r="38" spans="1:13" s="10" customFormat="1" x14ac:dyDescent="0.25">
      <c r="A38" s="32"/>
      <c r="B38" s="33"/>
      <c r="K38" s="10" t="s">
        <v>108</v>
      </c>
      <c r="L38" s="38" t="s">
        <v>110</v>
      </c>
      <c r="M38" s="11" t="s">
        <v>109</v>
      </c>
    </row>
    <row r="39" spans="1:13" s="21" customFormat="1" x14ac:dyDescent="0.25">
      <c r="A39" s="28" t="s">
        <v>70</v>
      </c>
      <c r="B39" s="20" t="str">
        <f>CONCATENATE(B19," (T;G)")</f>
        <v>T928G (T;G)</v>
      </c>
      <c r="C39" s="21" t="str">
        <f>CONCATENATE("&lt;# ",B39," #&gt;")</f>
        <v>&lt;# T928G (T;G) #&gt;</v>
      </c>
      <c r="K39" s="21" t="str">
        <f>B19</f>
        <v>T928G</v>
      </c>
      <c r="L39" s="21" t="str">
        <f>B28</f>
        <v>C36983994T</v>
      </c>
      <c r="M39" s="21" t="e">
        <f>#REF!</f>
        <v>#REF!</v>
      </c>
    </row>
    <row r="40" spans="1:13" s="10" customFormat="1" x14ac:dyDescent="0.25">
      <c r="A40" s="3" t="s">
        <v>21</v>
      </c>
      <c r="B40" s="29" t="str">
        <f>K43</f>
        <v>NC_000001.10:g.[37325477A&gt;G];[37325477=]</v>
      </c>
      <c r="J40" s="3"/>
      <c r="K40" s="22" t="str">
        <f>B23</f>
        <v>NC_000001.10:g.</v>
      </c>
      <c r="L40" s="22" t="str">
        <f>B32</f>
        <v>NC_000001.10:g.</v>
      </c>
      <c r="M40" s="10" t="e">
        <f>#REF!</f>
        <v>#REF!</v>
      </c>
    </row>
    <row r="41" spans="1:13" x14ac:dyDescent="0.25">
      <c r="B41" s="29"/>
      <c r="C41" s="3" t="str">
        <f>CONCATENATE("  &lt;Analysis name=",CHAR(34),B39,CHAR(34))</f>
        <v xml:space="preserve">  &lt;Analysis name="T928G (T;G)"</v>
      </c>
      <c r="J41" s="3" t="s">
        <v>21</v>
      </c>
      <c r="K41" s="15" t="str">
        <f>B24</f>
        <v>[37325477A&gt;G]</v>
      </c>
      <c r="L41" s="22" t="str">
        <f>B33</f>
        <v>[37449595C&gt;T]</v>
      </c>
      <c r="M41" s="10" t="e">
        <f>#REF!</f>
        <v>#REF!</v>
      </c>
    </row>
    <row r="42" spans="1:13" x14ac:dyDescent="0.25">
      <c r="A42" s="5" t="s">
        <v>27</v>
      </c>
      <c r="B42" s="2" t="str">
        <f>CONCATENATE("People with this variant have one copy of the ",B22," variant. This substitution of a single nucleotide is known as a missense mutation.")</f>
        <v>People with this variant have one copy of the [T928G](https://www.ncbi.nlm.nih.gov/projects/SNP/snp_ref.cgi?rs=6691840)[(Ser310Ala)](https://www.ncbi.nlm.nih.gov/pubmed/11986986) variant. This substitution of a single nucleotide is known as a missense mutation.</v>
      </c>
      <c r="C42" s="3" t="str">
        <f>CONCATENATE("            case={  variantCall ",CHAR(40),CHAR(34),K43,CHAR(34),CHAR(41))</f>
        <v xml:space="preserve">            case={  variantCall ("NC_000001.10:g.[37325477A&gt;G];[37325477=]")</v>
      </c>
      <c r="J42" s="3" t="s">
        <v>52</v>
      </c>
      <c r="K42" s="15" t="str">
        <f>B25</f>
        <v>[37325477=]</v>
      </c>
      <c r="L42" s="22" t="str">
        <f>B34</f>
        <v>[37449595=]</v>
      </c>
      <c r="M42" s="10" t="e">
        <f>#REF!</f>
        <v>#REF!</v>
      </c>
    </row>
    <row r="43" spans="1:13" x14ac:dyDescent="0.25">
      <c r="A43" s="1" t="s">
        <v>28</v>
      </c>
      <c r="B43" s="29" t="s">
        <v>112</v>
      </c>
      <c r="C43" s="3" t="s">
        <v>71</v>
      </c>
      <c r="J43" s="3" t="s">
        <v>63</v>
      </c>
      <c r="K43" s="15" t="str">
        <f>CONCATENATE(K40,K41,";",K42)</f>
        <v>NC_000001.10:g.[37325477A&gt;G];[37325477=]</v>
      </c>
      <c r="L43" s="15" t="str">
        <f>CONCATENATE(L40,L41,";",L42)</f>
        <v>NC_000001.10:g.[37449595C&gt;T];[37449595=]</v>
      </c>
      <c r="M43" s="15" t="e">
        <f>CONCATENATE(M40,M41,";",M42)</f>
        <v>#REF!</v>
      </c>
    </row>
    <row r="44" spans="1:13" x14ac:dyDescent="0.25">
      <c r="A44" s="3" t="s">
        <v>73</v>
      </c>
      <c r="B44" s="29">
        <f>K46</f>
        <v>43</v>
      </c>
      <c r="C44" s="3" t="str">
        <f>CONCATENATE("                    ",CHAR(40),"variantCall ",CHAR(40),CHAR(34),L44,CHAR(34),CHAR(41)," or variantCall ",CHAR(40),CHAR(34),L45,CHAR(34),CHAR(41),CHAR(41))</f>
        <v xml:space="preserve">                    (variantCall ("NC_000001.10:g.[37449595C&gt;T];[37449595C&gt;T]") or variantCall ("NC_000001.10:g.[37449595=];[37449595=]"))</v>
      </c>
      <c r="J44" s="3" t="s">
        <v>64</v>
      </c>
      <c r="K44" s="15" t="str">
        <f>CONCATENATE(K40,K41,";",K41)</f>
        <v>NC_000001.10:g.[37325477A&gt;G];[37325477A&gt;G]</v>
      </c>
      <c r="L44" s="15" t="str">
        <f>CONCATENATE(L40,L41,";",L41)</f>
        <v>NC_000001.10:g.[37449595C&gt;T];[37449595C&gt;T]</v>
      </c>
      <c r="M44" s="15" t="e">
        <f>CONCATENATE(M40,M41,";",M41)</f>
        <v>#REF!</v>
      </c>
    </row>
    <row r="45" spans="1:13" x14ac:dyDescent="0.25">
      <c r="J45" s="3" t="s">
        <v>52</v>
      </c>
      <c r="K45" s="2" t="str">
        <f>CONCATENATE(K40,K42,";",K42)</f>
        <v>NC_000001.10:g.[37325477=];[37325477=]</v>
      </c>
      <c r="L45" s="2" t="str">
        <f>CONCATENATE(L40,L42,";",L42)</f>
        <v>NC_000001.10:g.[37449595=];[37449595=]</v>
      </c>
      <c r="M45" s="2" t="e">
        <f>CONCATENATE(M40,M42,";",M42)</f>
        <v>#REF!</v>
      </c>
    </row>
    <row r="46" spans="1:13" x14ac:dyDescent="0.25">
      <c r="J46" s="3" t="s">
        <v>67</v>
      </c>
      <c r="K46">
        <v>43</v>
      </c>
      <c r="L46" s="2">
        <v>1.8</v>
      </c>
      <c r="M46" s="2">
        <v>15.8</v>
      </c>
    </row>
    <row r="47" spans="1:13" x14ac:dyDescent="0.25">
      <c r="A47" s="14"/>
      <c r="C47" s="3" t="str">
        <f>CONCATENATE("                  } &gt; ")</f>
        <v xml:space="preserve">                  } &gt; </v>
      </c>
      <c r="J47" s="3" t="s">
        <v>68</v>
      </c>
      <c r="K47">
        <v>19.899999999999999</v>
      </c>
      <c r="L47" s="2">
        <v>0.5</v>
      </c>
      <c r="M47" s="2">
        <v>4.7</v>
      </c>
    </row>
    <row r="48" spans="1:13" x14ac:dyDescent="0.25">
      <c r="A48" s="26"/>
      <c r="J48" s="3" t="s">
        <v>69</v>
      </c>
      <c r="K48" s="2">
        <v>37.1</v>
      </c>
      <c r="L48" s="2">
        <v>97.8</v>
      </c>
      <c r="M48" s="2">
        <v>79.5</v>
      </c>
    </row>
    <row r="49" spans="1:13" x14ac:dyDescent="0.25">
      <c r="A49" s="14"/>
      <c r="C49" s="3" t="s">
        <v>26</v>
      </c>
      <c r="K49"/>
      <c r="L49" s="2"/>
      <c r="M49" s="2"/>
    </row>
    <row r="50" spans="1:13" x14ac:dyDescent="0.25">
      <c r="A50" s="14"/>
      <c r="K50" s="15"/>
      <c r="L50" s="15"/>
      <c r="M50" s="15"/>
    </row>
    <row r="51" spans="1:13" x14ac:dyDescent="0.25">
      <c r="A51" s="26"/>
      <c r="C51" s="3" t="str">
        <f>CONCATENATE("    ",B42)</f>
        <v xml:space="preserve">    People with this variant have one copy of the [T928G](https://www.ncbi.nlm.nih.gov/projects/SNP/snp_ref.cgi?rs=6691840)[(Ser310Ala)](https://www.ncbi.nlm.nih.gov/pubmed/11986986) variant. This substitution of a single nucleotide is known as a missense mutation.</v>
      </c>
      <c r="K51" s="15"/>
      <c r="L51" s="15"/>
      <c r="M51" s="15"/>
    </row>
    <row r="52" spans="1:13" x14ac:dyDescent="0.25">
      <c r="A52" s="14"/>
      <c r="K52" s="2"/>
      <c r="L52" s="2"/>
      <c r="M52" s="2"/>
    </row>
    <row r="53" spans="1:13" x14ac:dyDescent="0.25">
      <c r="A53" s="14"/>
      <c r="C53" s="3" t="s">
        <v>29</v>
      </c>
    </row>
    <row r="54" spans="1:13" x14ac:dyDescent="0.25">
      <c r="A54" s="14"/>
    </row>
    <row r="55" spans="1:13" x14ac:dyDescent="0.25">
      <c r="A55" s="14"/>
      <c r="C55" s="3" t="str">
        <f>CONCATENATE(B43)</f>
        <v>Having one copy of this variant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v>
      </c>
    </row>
    <row r="56" spans="1:13" x14ac:dyDescent="0.25">
      <c r="A56" s="26"/>
    </row>
    <row r="57" spans="1:13" x14ac:dyDescent="0.25">
      <c r="A57" s="26"/>
      <c r="C57" s="3" t="s">
        <v>30</v>
      </c>
    </row>
    <row r="58" spans="1:13" x14ac:dyDescent="0.25">
      <c r="A58" s="26"/>
    </row>
    <row r="59" spans="1:13" x14ac:dyDescent="0.25">
      <c r="A59" s="26"/>
      <c r="C59" s="3" t="str">
        <f>CONCATENATE( "    &lt;piechart percentage=",B44," /&gt;")</f>
        <v xml:space="preserve">    &lt;piechart percentage=43 /&gt;</v>
      </c>
    </row>
    <row r="60" spans="1:13" x14ac:dyDescent="0.25">
      <c r="A60" s="26"/>
      <c r="C60" s="3" t="str">
        <f>"  &lt;/Analysis&gt;"</f>
        <v xml:space="preserve">  &lt;/Analysis&gt;</v>
      </c>
      <c r="K60" s="3" t="str">
        <f t="shared" ref="K60:M60" si="0">K38</f>
        <v>rs6691840</v>
      </c>
      <c r="L60" s="3" t="str">
        <f t="shared" si="0"/>
        <v>rs3913434</v>
      </c>
      <c r="M60" s="3" t="str">
        <f t="shared" si="0"/>
        <v>rs270838</v>
      </c>
    </row>
    <row r="61" spans="1:13" s="21" customFormat="1" x14ac:dyDescent="0.25">
      <c r="A61" s="28" t="s">
        <v>70</v>
      </c>
      <c r="B61" s="20" t="str">
        <f>CONCATENATE(B19," (G;G)")</f>
        <v>T928G (G;G)</v>
      </c>
      <c r="C61" s="21" t="str">
        <f>CONCATENATE("&lt;# ",B61," #&gt;")</f>
        <v>&lt;# T928G (G;G) #&gt;</v>
      </c>
      <c r="K61" s="21" t="str">
        <f t="shared" ref="K61:M62" si="1">K39</f>
        <v>T928G</v>
      </c>
      <c r="L61" s="21" t="str">
        <f t="shared" si="1"/>
        <v>C36983994T</v>
      </c>
      <c r="M61" s="21" t="e">
        <f t="shared" si="1"/>
        <v>#REF!</v>
      </c>
    </row>
    <row r="62" spans="1:13" x14ac:dyDescent="0.25">
      <c r="A62" s="3" t="s">
        <v>21</v>
      </c>
      <c r="B62" s="29" t="str">
        <f>K44</f>
        <v>NC_000001.10:g.[37325477A&gt;G];[37325477A&gt;G]</v>
      </c>
      <c r="C62" s="10"/>
      <c r="K62" s="3" t="str">
        <f t="shared" si="1"/>
        <v>NC_000001.10:g.</v>
      </c>
      <c r="L62" s="3" t="str">
        <f t="shared" si="1"/>
        <v>NC_000001.10:g.</v>
      </c>
      <c r="M62" s="3" t="e">
        <f t="shared" si="1"/>
        <v>#REF!</v>
      </c>
    </row>
    <row r="63" spans="1:13" x14ac:dyDescent="0.25">
      <c r="B63" s="29"/>
      <c r="C63" s="3" t="str">
        <f>CONCATENATE("  &lt;Analysis name=",CHAR(34),B61,CHAR(34))</f>
        <v xml:space="preserve">  &lt;Analysis name="T928G (G;G)"</v>
      </c>
      <c r="J63" s="3" t="str">
        <f t="shared" ref="J63:M70" si="2">J41</f>
        <v>Variant</v>
      </c>
      <c r="K63" s="3" t="str">
        <f t="shared" si="2"/>
        <v>[37325477A&gt;G]</v>
      </c>
      <c r="L63" s="3" t="str">
        <f t="shared" si="2"/>
        <v>[37449595C&gt;T]</v>
      </c>
      <c r="M63" s="3" t="e">
        <f t="shared" si="2"/>
        <v>#REF!</v>
      </c>
    </row>
    <row r="64" spans="1:13" x14ac:dyDescent="0.25">
      <c r="A64" s="5" t="s">
        <v>75</v>
      </c>
      <c r="B64" s="2" t="str">
        <f>CONCATENATE("People with this variant have two copies of the ",B22," variant. This substitution of a single nucleotide is known as a missense mutation.")</f>
        <v>People with this variant have two copies of the [T928G](https://www.ncbi.nlm.nih.gov/projects/SNP/snp_ref.cgi?rs=6691840)[(Ser310Ala)](https://www.ncbi.nlm.nih.gov/pubmed/11986986) variant. This substitution of a single nucleotide is known as a missense mutation.</v>
      </c>
      <c r="C64" s="3" t="str">
        <f>CONCATENATE("            case={  variantCall ",CHAR(40),CHAR(34),B62,CHAR(34),CHAR(41))</f>
        <v xml:space="preserve">            case={  variantCall ("NC_000001.10:g.[37325477A&gt;G];[37325477A&gt;G]")</v>
      </c>
      <c r="J64" s="3" t="str">
        <f t="shared" si="2"/>
        <v>Wildtype</v>
      </c>
      <c r="K64" s="3" t="str">
        <f t="shared" si="2"/>
        <v>[37325477=]</v>
      </c>
      <c r="L64" s="3" t="str">
        <f t="shared" si="2"/>
        <v>[37449595=]</v>
      </c>
      <c r="M64" s="3" t="e">
        <f t="shared" si="2"/>
        <v>#REF!</v>
      </c>
    </row>
    <row r="65" spans="1:13" x14ac:dyDescent="0.25">
      <c r="A65" s="1" t="s">
        <v>28</v>
      </c>
      <c r="B65" s="29" t="s">
        <v>111</v>
      </c>
      <c r="C65" s="3" t="s">
        <v>71</v>
      </c>
      <c r="J65" s="3" t="str">
        <f t="shared" si="2"/>
        <v>Het</v>
      </c>
      <c r="K65" s="3" t="str">
        <f t="shared" si="2"/>
        <v>NC_000001.10:g.[37325477A&gt;G];[37325477=]</v>
      </c>
      <c r="L65" s="3" t="str">
        <f t="shared" si="2"/>
        <v>NC_000001.10:g.[37449595C&gt;T];[37449595=]</v>
      </c>
      <c r="M65" s="3" t="e">
        <f t="shared" si="2"/>
        <v>#REF!</v>
      </c>
    </row>
    <row r="66" spans="1:13" x14ac:dyDescent="0.25">
      <c r="A66" s="3" t="s">
        <v>73</v>
      </c>
      <c r="B66" s="29">
        <f>K47</f>
        <v>19.899999999999999</v>
      </c>
      <c r="C66" s="3" t="str">
        <f>CONCATENATE("                    ",CHAR(40),"variantCall ",CHAR(40),CHAR(34),L66,CHAR(34),CHAR(41)," or variantCall ",CHAR(40),CHAR(34),L67,CHAR(34),CHAR(41),CHAR(41))</f>
        <v xml:space="preserve">                    (variantCall ("NC_000001.10:g.[37449595C&gt;T];[37449595C&gt;T]") or variantCall ("NC_000001.10:g.[37449595=];[37449595=]"))</v>
      </c>
      <c r="J66" s="3" t="str">
        <f t="shared" si="2"/>
        <v>Homo</v>
      </c>
      <c r="K66" s="3" t="str">
        <f t="shared" si="2"/>
        <v>NC_000001.10:g.[37325477A&gt;G];[37325477A&gt;G]</v>
      </c>
      <c r="L66" s="3" t="str">
        <f t="shared" si="2"/>
        <v>NC_000001.10:g.[37449595C&gt;T];[37449595C&gt;T]</v>
      </c>
      <c r="M66" s="3" t="e">
        <f t="shared" si="2"/>
        <v>#REF!</v>
      </c>
    </row>
    <row r="67" spans="1:13" x14ac:dyDescent="0.25">
      <c r="J67" s="3" t="str">
        <f t="shared" si="2"/>
        <v>Wildtype</v>
      </c>
      <c r="K67" s="3" t="str">
        <f t="shared" si="2"/>
        <v>NC_000001.10:g.[37325477=];[37325477=]</v>
      </c>
      <c r="L67" s="3" t="str">
        <f t="shared" si="2"/>
        <v>NC_000001.10:g.[37449595=];[37449595=]</v>
      </c>
      <c r="M67" s="3" t="e">
        <f t="shared" si="2"/>
        <v>#REF!</v>
      </c>
    </row>
    <row r="68" spans="1:13" x14ac:dyDescent="0.25">
      <c r="J68" s="3" t="str">
        <f t="shared" si="2"/>
        <v>Het%</v>
      </c>
      <c r="K68" s="3">
        <f t="shared" si="2"/>
        <v>43</v>
      </c>
      <c r="L68" s="3">
        <f t="shared" si="2"/>
        <v>1.8</v>
      </c>
      <c r="M68" s="3">
        <f t="shared" si="2"/>
        <v>15.8</v>
      </c>
    </row>
    <row r="69" spans="1:13" x14ac:dyDescent="0.25">
      <c r="A69" s="14"/>
      <c r="C69" s="3" t="str">
        <f>CONCATENATE("                  } &gt; ")</f>
        <v xml:space="preserve">                  } &gt; </v>
      </c>
      <c r="J69" s="3" t="str">
        <f t="shared" si="2"/>
        <v>Homo%</v>
      </c>
      <c r="K69" s="3">
        <f t="shared" si="2"/>
        <v>19.899999999999999</v>
      </c>
      <c r="L69" s="3">
        <f t="shared" si="2"/>
        <v>0.5</v>
      </c>
      <c r="M69" s="3">
        <f t="shared" si="2"/>
        <v>4.7</v>
      </c>
    </row>
    <row r="70" spans="1:13" x14ac:dyDescent="0.25">
      <c r="A70" s="26"/>
      <c r="J70" s="3" t="str">
        <f t="shared" si="2"/>
        <v>Wildtype%</v>
      </c>
      <c r="K70" s="3">
        <f t="shared" si="2"/>
        <v>37.1</v>
      </c>
      <c r="L70" s="3">
        <f t="shared" si="2"/>
        <v>97.8</v>
      </c>
      <c r="M70" s="3">
        <f t="shared" si="2"/>
        <v>79.5</v>
      </c>
    </row>
    <row r="71" spans="1:13" x14ac:dyDescent="0.25">
      <c r="A71" s="14"/>
      <c r="C71" s="3" t="s">
        <v>26</v>
      </c>
    </row>
    <row r="72" spans="1:13" x14ac:dyDescent="0.25">
      <c r="A72" s="14"/>
    </row>
    <row r="73" spans="1:13" x14ac:dyDescent="0.25">
      <c r="A73" s="26"/>
      <c r="C73" s="3" t="str">
        <f>CONCATENATE("    ",B64)</f>
        <v xml:space="preserve">    People with this variant have two copies of the [T928G](https://www.ncbi.nlm.nih.gov/projects/SNP/snp_ref.cgi?rs=6691840)[(Ser310Ala)](https://www.ncbi.nlm.nih.gov/pubmed/11986986) variant. This substitution of a single nucleotide is known as a missense mutation.</v>
      </c>
    </row>
    <row r="74" spans="1:13" x14ac:dyDescent="0.25">
      <c r="A74" s="14"/>
    </row>
    <row r="75" spans="1:13" x14ac:dyDescent="0.25">
      <c r="A75" s="14"/>
      <c r="C75" s="3" t="s">
        <v>29</v>
      </c>
    </row>
    <row r="76" spans="1:13" x14ac:dyDescent="0.25">
      <c r="A76" s="14"/>
    </row>
    <row r="77" spans="1:13" x14ac:dyDescent="0.25">
      <c r="A77" s="14"/>
      <c r="C77" s="3" t="str">
        <f>CONCATENATE(B65)</f>
        <v>This variant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v>
      </c>
    </row>
    <row r="78" spans="1:13" x14ac:dyDescent="0.25">
      <c r="A78" s="26"/>
    </row>
    <row r="79" spans="1:13" x14ac:dyDescent="0.25">
      <c r="A79" s="26"/>
      <c r="C79" s="3" t="s">
        <v>30</v>
      </c>
    </row>
    <row r="80" spans="1:13" x14ac:dyDescent="0.25">
      <c r="A80" s="26"/>
    </row>
    <row r="81" spans="1:13" x14ac:dyDescent="0.25">
      <c r="A81" s="26"/>
      <c r="C81" s="3" t="str">
        <f>CONCATENATE( "    &lt;piechart percentage=",B66," /&gt;")</f>
        <v xml:space="preserve">    &lt;piechart percentage=19.9 /&gt;</v>
      </c>
    </row>
    <row r="82" spans="1:13" x14ac:dyDescent="0.25">
      <c r="A82" s="26"/>
      <c r="C82" s="3" t="str">
        <f>"  &lt;/Analysis&gt;"</f>
        <v xml:space="preserve">  &lt;/Analysis&gt;</v>
      </c>
      <c r="K82" s="3" t="str">
        <f t="shared" ref="K82:M84" si="3">K60</f>
        <v>rs6691840</v>
      </c>
      <c r="L82" s="3" t="str">
        <f t="shared" si="3"/>
        <v>rs3913434</v>
      </c>
      <c r="M82" s="3" t="str">
        <f t="shared" si="3"/>
        <v>rs270838</v>
      </c>
    </row>
    <row r="83" spans="1:13" s="21" customFormat="1" x14ac:dyDescent="0.25">
      <c r="A83" s="28" t="s">
        <v>70</v>
      </c>
      <c r="B83" s="20" t="str">
        <f>CONCATENATE(B28," (C;T)")</f>
        <v>C36983994T (C;T)</v>
      </c>
      <c r="C83" s="21" t="str">
        <f>CONCATENATE("&lt;# ",B83," #&gt;")</f>
        <v>&lt;# C36983994T (C;T) #&gt;</v>
      </c>
      <c r="K83" s="21" t="str">
        <f t="shared" si="3"/>
        <v>T928G</v>
      </c>
      <c r="L83" s="21" t="str">
        <f t="shared" si="3"/>
        <v>C36983994T</v>
      </c>
      <c r="M83" s="21" t="e">
        <f t="shared" si="3"/>
        <v>#REF!</v>
      </c>
    </row>
    <row r="84" spans="1:13" s="10" customFormat="1" x14ac:dyDescent="0.25">
      <c r="A84" s="3" t="s">
        <v>21</v>
      </c>
      <c r="B84" s="29" t="str">
        <f>L87</f>
        <v>NC_000001.10:g.[37449595C&gt;T];[37449595=]</v>
      </c>
      <c r="J84" s="3"/>
      <c r="K84" s="22" t="str">
        <f t="shared" si="3"/>
        <v>NC_000001.10:g.</v>
      </c>
      <c r="L84" s="22" t="str">
        <f t="shared" si="3"/>
        <v>NC_000001.10:g.</v>
      </c>
      <c r="M84" s="10" t="e">
        <f t="shared" si="3"/>
        <v>#REF!</v>
      </c>
    </row>
    <row r="85" spans="1:13" x14ac:dyDescent="0.25">
      <c r="A85" s="3" t="s">
        <v>72</v>
      </c>
      <c r="B85" s="29"/>
      <c r="C85" s="3" t="str">
        <f>CONCATENATE("  &lt;Analysis name=",CHAR(34),B83,CHAR(34))</f>
        <v xml:space="preserve">  &lt;Analysis name="C36983994T (C;T)"</v>
      </c>
      <c r="J85" s="3" t="str">
        <f t="shared" ref="J85:M88" si="4">J63</f>
        <v>Variant</v>
      </c>
      <c r="K85" s="15" t="str">
        <f t="shared" si="4"/>
        <v>[37325477A&gt;G]</v>
      </c>
      <c r="L85" s="22" t="str">
        <f t="shared" si="4"/>
        <v>[37449595C&gt;T]</v>
      </c>
      <c r="M85" s="3" t="e">
        <f t="shared" si="4"/>
        <v>#REF!</v>
      </c>
    </row>
    <row r="86" spans="1:13" x14ac:dyDescent="0.25">
      <c r="A86" s="5" t="s">
        <v>27</v>
      </c>
      <c r="B86" s="2" t="str">
        <f>CONCATENATE("People with this variant have one copy of the ",B31," variant. This substitution of a single nucleotide is known as a missense mutation.")</f>
        <v>People with this variant have one copy of the [C36983994T](https://www.ncbi.nlm.nih.gov/projects/SNP/snp_ref.cgi?rs=3913434) variant. This substitution of a single nucleotide is known as a missense mutation.</v>
      </c>
      <c r="C86" s="3" t="str">
        <f>CONCATENATE("            case={  variantCall ",CHAR(40),CHAR(34),L87,CHAR(34),CHAR(41))</f>
        <v xml:space="preserve">            case={  variantCall ("NC_000001.10:g.[37449595C&gt;T];[37449595=]")</v>
      </c>
      <c r="J86" s="3" t="str">
        <f t="shared" si="4"/>
        <v>Wildtype</v>
      </c>
      <c r="K86" s="15" t="str">
        <f t="shared" si="4"/>
        <v>[37325477=]</v>
      </c>
      <c r="L86" s="22" t="str">
        <f t="shared" si="4"/>
        <v>[37449595=]</v>
      </c>
      <c r="M86" s="3" t="e">
        <f t="shared" si="4"/>
        <v>#REF!</v>
      </c>
    </row>
    <row r="87" spans="1:13" x14ac:dyDescent="0.25">
      <c r="A87" s="1" t="s">
        <v>28</v>
      </c>
      <c r="B87" s="15" t="s">
        <v>113</v>
      </c>
      <c r="J87" s="3" t="str">
        <f t="shared" si="4"/>
        <v>Het</v>
      </c>
      <c r="K87" s="15" t="str">
        <f t="shared" si="4"/>
        <v>NC_000001.10:g.[37325477A&gt;G];[37325477=]</v>
      </c>
      <c r="L87" s="15" t="str">
        <f t="shared" si="4"/>
        <v>NC_000001.10:g.[37449595C&gt;T];[37449595=]</v>
      </c>
      <c r="M87" s="3" t="e">
        <f t="shared" si="4"/>
        <v>#REF!</v>
      </c>
    </row>
    <row r="88" spans="1:13" x14ac:dyDescent="0.25">
      <c r="A88" s="3" t="s">
        <v>73</v>
      </c>
      <c r="B88" s="29">
        <f>L46</f>
        <v>1.8</v>
      </c>
      <c r="J88" s="3" t="str">
        <f t="shared" si="4"/>
        <v>Homo</v>
      </c>
      <c r="K88" s="15" t="str">
        <f t="shared" si="4"/>
        <v>NC_000001.10:g.[37325477A&gt;G];[37325477A&gt;G]</v>
      </c>
      <c r="L88" s="15" t="str">
        <f t="shared" si="4"/>
        <v>NC_000001.10:g.[37449595C&gt;T];[37449595C&gt;T]</v>
      </c>
      <c r="M88" s="3" t="e">
        <f t="shared" si="4"/>
        <v>#REF!</v>
      </c>
    </row>
    <row r="89" spans="1:13" x14ac:dyDescent="0.25">
      <c r="B89" s="29"/>
      <c r="C89" s="3" t="s">
        <v>71</v>
      </c>
      <c r="J89" s="3" t="str">
        <f t="shared" ref="J89:M92" si="5">J67</f>
        <v>Wildtype</v>
      </c>
      <c r="K89" s="2" t="str">
        <f t="shared" si="5"/>
        <v>NC_000001.10:g.[37325477=];[37325477=]</v>
      </c>
      <c r="L89" s="2" t="str">
        <f t="shared" si="5"/>
        <v>NC_000001.10:g.[37449595=];[37449595=]</v>
      </c>
      <c r="M89" s="3" t="e">
        <f t="shared" si="5"/>
        <v>#REF!</v>
      </c>
    </row>
    <row r="90" spans="1:13" x14ac:dyDescent="0.25">
      <c r="B90" s="29"/>
      <c r="C90" s="3" t="str">
        <f>CONCATENATE("                    variantCall ",CHAR(40),CHAR(34),K89,CHAR(34),CHAR(41))</f>
        <v xml:space="preserve">                    variantCall ("NC_000001.10:g.[37325477=];[37325477=]")</v>
      </c>
      <c r="J90" s="3" t="str">
        <f t="shared" si="5"/>
        <v>Het%</v>
      </c>
      <c r="K90" s="15">
        <f t="shared" si="5"/>
        <v>43</v>
      </c>
      <c r="L90" s="15">
        <f t="shared" si="5"/>
        <v>1.8</v>
      </c>
      <c r="M90" s="3">
        <f t="shared" si="5"/>
        <v>15.8</v>
      </c>
    </row>
    <row r="91" spans="1:13" x14ac:dyDescent="0.25">
      <c r="C91" s="3" t="str">
        <f>CONCATENATE("                  } &gt; ")</f>
        <v xml:space="preserve">                  } &gt; </v>
      </c>
      <c r="J91" s="3" t="str">
        <f t="shared" si="5"/>
        <v>Homo%</v>
      </c>
      <c r="K91" s="2">
        <f t="shared" si="5"/>
        <v>19.899999999999999</v>
      </c>
      <c r="L91" s="2">
        <f t="shared" si="5"/>
        <v>0.5</v>
      </c>
      <c r="M91" s="3">
        <f t="shared" si="5"/>
        <v>4.7</v>
      </c>
    </row>
    <row r="92" spans="1:13" x14ac:dyDescent="0.25">
      <c r="J92" s="3" t="str">
        <f t="shared" si="5"/>
        <v>Wildtype%</v>
      </c>
      <c r="K92" s="2">
        <f t="shared" si="5"/>
        <v>37.1</v>
      </c>
      <c r="L92" s="2">
        <f t="shared" si="5"/>
        <v>97.8</v>
      </c>
      <c r="M92" s="3">
        <f t="shared" si="5"/>
        <v>79.5</v>
      </c>
    </row>
    <row r="93" spans="1:13" x14ac:dyDescent="0.25">
      <c r="A93" s="14"/>
      <c r="C93" s="3" t="s">
        <v>26</v>
      </c>
    </row>
    <row r="94" spans="1:13" x14ac:dyDescent="0.25">
      <c r="A94" s="26"/>
    </row>
    <row r="95" spans="1:13" x14ac:dyDescent="0.25">
      <c r="A95" s="14"/>
      <c r="C95" s="3" t="str">
        <f>CONCATENATE("    ",B86)</f>
        <v xml:space="preserve">    People with this variant have one copy of the [C36983994T](https://www.ncbi.nlm.nih.gov/projects/SNP/snp_ref.cgi?rs=3913434) variant. This substitution of a single nucleotide is known as a missense mutation.</v>
      </c>
    </row>
    <row r="96" spans="1:13" x14ac:dyDescent="0.25">
      <c r="A96" s="14"/>
    </row>
    <row r="97" spans="1:13" x14ac:dyDescent="0.25">
      <c r="A97" s="26"/>
      <c r="C97" s="3" t="s">
        <v>29</v>
      </c>
    </row>
    <row r="98" spans="1:13" x14ac:dyDescent="0.25">
      <c r="A98" s="14"/>
    </row>
    <row r="99" spans="1:13" x14ac:dyDescent="0.25">
      <c r="A99" s="14"/>
      <c r="C99" s="3" t="str">
        <f>CONCATENATE(B87)</f>
        <v>This variant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100" spans="1:13" x14ac:dyDescent="0.25">
      <c r="A100" s="14"/>
    </row>
    <row r="101" spans="1:13" x14ac:dyDescent="0.25">
      <c r="A101" s="14"/>
      <c r="C101" s="3" t="s">
        <v>30</v>
      </c>
    </row>
    <row r="102" spans="1:13" x14ac:dyDescent="0.25">
      <c r="A102" s="26"/>
    </row>
    <row r="103" spans="1:13" x14ac:dyDescent="0.25">
      <c r="A103" s="26"/>
      <c r="C103" s="3" t="str">
        <f>CONCATENATE( "    &lt;piechart percentage=",B88," /&gt;")</f>
        <v xml:space="preserve">    &lt;piechart percentage=1.8 /&gt;</v>
      </c>
    </row>
    <row r="104" spans="1:13" x14ac:dyDescent="0.25">
      <c r="A104" s="26"/>
      <c r="C104" s="3" t="str">
        <f>"  &lt;/Analysis&gt;"</f>
        <v xml:space="preserve">  &lt;/Analysis&gt;</v>
      </c>
      <c r="K104" s="3" t="str">
        <f t="shared" ref="K104:M114" si="6">K82</f>
        <v>rs6691840</v>
      </c>
      <c r="L104" s="3" t="str">
        <f t="shared" si="6"/>
        <v>rs3913434</v>
      </c>
      <c r="M104" s="3" t="str">
        <f t="shared" si="6"/>
        <v>rs270838</v>
      </c>
    </row>
    <row r="105" spans="1:13" s="21" customFormat="1" x14ac:dyDescent="0.25">
      <c r="A105" s="28"/>
      <c r="B105" s="20"/>
      <c r="K105" s="21" t="str">
        <f t="shared" si="6"/>
        <v>T928G</v>
      </c>
      <c r="L105" s="21" t="str">
        <f t="shared" si="6"/>
        <v>C36983994T</v>
      </c>
      <c r="M105" s="21" t="e">
        <f t="shared" si="6"/>
        <v>#REF!</v>
      </c>
    </row>
    <row r="106" spans="1:13" x14ac:dyDescent="0.25">
      <c r="B106" s="29"/>
      <c r="C106" s="10"/>
      <c r="K106" s="3" t="str">
        <f t="shared" si="6"/>
        <v>NC_000001.10:g.</v>
      </c>
      <c r="L106" s="3" t="str">
        <f t="shared" si="6"/>
        <v>NC_000001.10:g.</v>
      </c>
      <c r="M106" s="3" t="e">
        <f t="shared" si="6"/>
        <v>#REF!</v>
      </c>
    </row>
    <row r="107" spans="1:13" x14ac:dyDescent="0.25">
      <c r="B107" s="29"/>
      <c r="J107" s="3" t="str">
        <f t="shared" ref="J107:J114" si="7">J85</f>
        <v>Variant</v>
      </c>
      <c r="K107" s="3" t="str">
        <f t="shared" si="6"/>
        <v>[37325477A&gt;G]</v>
      </c>
      <c r="L107" s="3" t="str">
        <f t="shared" si="6"/>
        <v>[37449595C&gt;T]</v>
      </c>
      <c r="M107" s="3" t="e">
        <f t="shared" si="6"/>
        <v>#REF!</v>
      </c>
    </row>
    <row r="108" spans="1:13" x14ac:dyDescent="0.25">
      <c r="A108" s="5"/>
      <c r="B108" s="2"/>
      <c r="J108" s="3" t="str">
        <f t="shared" si="7"/>
        <v>Wildtype</v>
      </c>
      <c r="K108" s="3" t="str">
        <f t="shared" si="6"/>
        <v>[37325477=]</v>
      </c>
      <c r="L108" s="3" t="str">
        <f t="shared" si="6"/>
        <v>[37449595=]</v>
      </c>
      <c r="M108" s="3" t="e">
        <f t="shared" si="6"/>
        <v>#REF!</v>
      </c>
    </row>
    <row r="109" spans="1:13" x14ac:dyDescent="0.25">
      <c r="A109" s="1"/>
      <c r="J109" s="3" t="str">
        <f t="shared" si="7"/>
        <v>Het</v>
      </c>
      <c r="K109" s="3" t="str">
        <f t="shared" si="6"/>
        <v>NC_000001.10:g.[37325477A&gt;G];[37325477=]</v>
      </c>
      <c r="L109" s="3" t="str">
        <f t="shared" si="6"/>
        <v>NC_000001.10:g.[37449595C&gt;T];[37449595=]</v>
      </c>
      <c r="M109" s="3" t="e">
        <f t="shared" si="6"/>
        <v>#REF!</v>
      </c>
    </row>
    <row r="110" spans="1:13" x14ac:dyDescent="0.25">
      <c r="B110" s="29"/>
      <c r="J110" s="3" t="str">
        <f t="shared" si="7"/>
        <v>Homo</v>
      </c>
      <c r="K110" s="3" t="str">
        <f t="shared" si="6"/>
        <v>NC_000001.10:g.[37325477A&gt;G];[37325477A&gt;G]</v>
      </c>
      <c r="L110" s="3" t="str">
        <f t="shared" si="6"/>
        <v>NC_000001.10:g.[37449595C&gt;T];[37449595C&gt;T]</v>
      </c>
      <c r="M110" s="3" t="e">
        <f t="shared" si="6"/>
        <v>#REF!</v>
      </c>
    </row>
    <row r="111" spans="1:13" x14ac:dyDescent="0.25">
      <c r="J111" s="3" t="str">
        <f t="shared" si="7"/>
        <v>Wildtype</v>
      </c>
      <c r="K111" s="3" t="str">
        <f t="shared" si="6"/>
        <v>NC_000001.10:g.[37325477=];[37325477=]</v>
      </c>
      <c r="L111" s="3" t="str">
        <f t="shared" si="6"/>
        <v>NC_000001.10:g.[37449595=];[37449595=]</v>
      </c>
      <c r="M111" s="3" t="e">
        <f t="shared" si="6"/>
        <v>#REF!</v>
      </c>
    </row>
    <row r="112" spans="1:13" x14ac:dyDescent="0.25">
      <c r="J112" s="3" t="str">
        <f t="shared" si="7"/>
        <v>Het%</v>
      </c>
      <c r="K112" s="3">
        <f t="shared" si="6"/>
        <v>43</v>
      </c>
      <c r="L112" s="3">
        <f t="shared" si="6"/>
        <v>1.8</v>
      </c>
      <c r="M112" s="3">
        <f t="shared" si="6"/>
        <v>15.8</v>
      </c>
    </row>
    <row r="113" spans="1:13" x14ac:dyDescent="0.25">
      <c r="A113" s="14"/>
      <c r="J113" s="3" t="str">
        <f t="shared" si="7"/>
        <v>Homo%</v>
      </c>
      <c r="K113" s="3">
        <f t="shared" si="6"/>
        <v>19.899999999999999</v>
      </c>
      <c r="L113" s="3">
        <f t="shared" si="6"/>
        <v>0.5</v>
      </c>
      <c r="M113" s="3">
        <f t="shared" si="6"/>
        <v>4.7</v>
      </c>
    </row>
    <row r="114" spans="1:13" x14ac:dyDescent="0.25">
      <c r="A114" s="26"/>
      <c r="J114" s="3" t="str">
        <f t="shared" si="7"/>
        <v>Wildtype%</v>
      </c>
      <c r="K114" s="3">
        <f t="shared" si="6"/>
        <v>37.1</v>
      </c>
      <c r="L114" s="3">
        <f t="shared" si="6"/>
        <v>97.8</v>
      </c>
      <c r="M114" s="3">
        <f t="shared" si="6"/>
        <v>79.5</v>
      </c>
    </row>
    <row r="115" spans="1:13" x14ac:dyDescent="0.25">
      <c r="A115" s="14"/>
    </row>
    <row r="116" spans="1:13" x14ac:dyDescent="0.25">
      <c r="A116" s="14"/>
    </row>
    <row r="117" spans="1:13" x14ac:dyDescent="0.25">
      <c r="A117" s="26"/>
    </row>
    <row r="118" spans="1:13" x14ac:dyDescent="0.25">
      <c r="A118" s="14"/>
    </row>
    <row r="119" spans="1:13" x14ac:dyDescent="0.25">
      <c r="A119" s="14"/>
    </row>
    <row r="120" spans="1:13" x14ac:dyDescent="0.25">
      <c r="A120" s="14"/>
    </row>
    <row r="121" spans="1:13" x14ac:dyDescent="0.25">
      <c r="A121" s="14"/>
    </row>
    <row r="122" spans="1:13" x14ac:dyDescent="0.25">
      <c r="A122" s="26"/>
    </row>
    <row r="123" spans="1:13" x14ac:dyDescent="0.25">
      <c r="A123" s="26"/>
    </row>
    <row r="124" spans="1:13" x14ac:dyDescent="0.25">
      <c r="A124" s="26"/>
    </row>
    <row r="125" spans="1:13" x14ac:dyDescent="0.25">
      <c r="A125" s="26"/>
    </row>
    <row r="126" spans="1:13" x14ac:dyDescent="0.25">
      <c r="A126" s="26"/>
      <c r="K126" s="3" t="str">
        <f t="shared" ref="K126:M136" si="8">K104</f>
        <v>rs6691840</v>
      </c>
      <c r="L126" s="3" t="str">
        <f t="shared" si="8"/>
        <v>rs3913434</v>
      </c>
      <c r="M126" s="3" t="str">
        <f t="shared" si="8"/>
        <v>rs270838</v>
      </c>
    </row>
    <row r="127" spans="1:13" s="21" customFormat="1" x14ac:dyDescent="0.25">
      <c r="A127" s="28"/>
      <c r="B127" s="20"/>
      <c r="K127" s="21" t="str">
        <f t="shared" si="8"/>
        <v>T928G</v>
      </c>
      <c r="L127" s="21" t="str">
        <f t="shared" si="8"/>
        <v>C36983994T</v>
      </c>
      <c r="M127" s="21" t="e">
        <f t="shared" si="8"/>
        <v>#REF!</v>
      </c>
    </row>
    <row r="128" spans="1:13" x14ac:dyDescent="0.25">
      <c r="A128" s="14"/>
      <c r="K128" s="3" t="str">
        <f t="shared" si="8"/>
        <v>NC_000001.10:g.</v>
      </c>
      <c r="L128" s="3" t="str">
        <f t="shared" si="8"/>
        <v>NC_000001.10:g.</v>
      </c>
      <c r="M128" s="3" t="e">
        <f t="shared" si="8"/>
        <v>#REF!</v>
      </c>
    </row>
    <row r="129" spans="1:13" x14ac:dyDescent="0.25">
      <c r="A129" s="14"/>
      <c r="J129" s="3" t="str">
        <f t="shared" ref="J129:J136" si="9">J107</f>
        <v>Variant</v>
      </c>
      <c r="K129" s="3" t="str">
        <f t="shared" si="8"/>
        <v>[37325477A&gt;G]</v>
      </c>
      <c r="L129" s="3" t="str">
        <f t="shared" si="8"/>
        <v>[37449595C&gt;T]</v>
      </c>
      <c r="M129" s="3" t="e">
        <f t="shared" si="8"/>
        <v>#REF!</v>
      </c>
    </row>
    <row r="130" spans="1:13" x14ac:dyDescent="0.25">
      <c r="A130" s="26"/>
      <c r="J130" s="3" t="str">
        <f t="shared" si="9"/>
        <v>Wildtype</v>
      </c>
      <c r="K130" s="3" t="str">
        <f t="shared" si="8"/>
        <v>[37325477=]</v>
      </c>
      <c r="L130" s="3" t="str">
        <f t="shared" si="8"/>
        <v>[37449595=]</v>
      </c>
      <c r="M130" s="3" t="e">
        <f t="shared" si="8"/>
        <v>#REF!</v>
      </c>
    </row>
    <row r="131" spans="1:13" x14ac:dyDescent="0.25">
      <c r="A131" s="26"/>
      <c r="J131" s="3" t="str">
        <f t="shared" si="9"/>
        <v>Het</v>
      </c>
      <c r="K131" s="3" t="str">
        <f t="shared" si="8"/>
        <v>NC_000001.10:g.[37325477A&gt;G];[37325477=]</v>
      </c>
      <c r="L131" s="3" t="str">
        <f t="shared" si="8"/>
        <v>NC_000001.10:g.[37449595C&gt;T];[37449595=]</v>
      </c>
      <c r="M131" s="3" t="e">
        <f t="shared" si="8"/>
        <v>#REF!</v>
      </c>
    </row>
    <row r="132" spans="1:13" x14ac:dyDescent="0.25">
      <c r="A132" s="26"/>
      <c r="J132" s="3" t="str">
        <f t="shared" si="9"/>
        <v>Homo</v>
      </c>
      <c r="K132" s="3" t="str">
        <f t="shared" si="8"/>
        <v>NC_000001.10:g.[37325477A&gt;G];[37325477A&gt;G]</v>
      </c>
      <c r="L132" s="3" t="str">
        <f t="shared" si="8"/>
        <v>NC_000001.10:g.[37449595C&gt;T];[37449595C&gt;T]</v>
      </c>
      <c r="M132" s="3" t="e">
        <f t="shared" si="8"/>
        <v>#REF!</v>
      </c>
    </row>
    <row r="133" spans="1:13" x14ac:dyDescent="0.25">
      <c r="A133" s="26"/>
      <c r="J133" s="3" t="str">
        <f t="shared" si="9"/>
        <v>Wildtype</v>
      </c>
      <c r="K133" s="3" t="str">
        <f t="shared" si="8"/>
        <v>NC_000001.10:g.[37325477=];[37325477=]</v>
      </c>
      <c r="L133" s="3" t="str">
        <f t="shared" si="8"/>
        <v>NC_000001.10:g.[37449595=];[37449595=]</v>
      </c>
      <c r="M133" s="3" t="e">
        <f t="shared" si="8"/>
        <v>#REF!</v>
      </c>
    </row>
    <row r="134" spans="1:13" x14ac:dyDescent="0.25">
      <c r="A134" s="26"/>
      <c r="J134" s="3" t="str">
        <f t="shared" si="9"/>
        <v>Het%</v>
      </c>
      <c r="K134" s="3">
        <f t="shared" si="8"/>
        <v>43</v>
      </c>
      <c r="L134" s="3">
        <f t="shared" si="8"/>
        <v>1.8</v>
      </c>
      <c r="M134" s="3">
        <f t="shared" si="8"/>
        <v>15.8</v>
      </c>
    </row>
    <row r="135" spans="1:13" x14ac:dyDescent="0.25">
      <c r="A135" s="26"/>
      <c r="J135" s="3" t="str">
        <f t="shared" si="9"/>
        <v>Homo%</v>
      </c>
      <c r="K135" s="3">
        <f t="shared" si="8"/>
        <v>19.899999999999999</v>
      </c>
      <c r="L135" s="3">
        <f t="shared" si="8"/>
        <v>0.5</v>
      </c>
      <c r="M135" s="3">
        <f t="shared" si="8"/>
        <v>4.7</v>
      </c>
    </row>
    <row r="136" spans="1:13" x14ac:dyDescent="0.25">
      <c r="A136" s="14"/>
      <c r="J136" s="3" t="str">
        <f t="shared" si="9"/>
        <v>Wildtype%</v>
      </c>
      <c r="K136" s="3">
        <f t="shared" si="8"/>
        <v>37.1</v>
      </c>
      <c r="L136" s="3">
        <f t="shared" si="8"/>
        <v>97.8</v>
      </c>
      <c r="M136" s="3">
        <f t="shared" si="8"/>
        <v>79.5</v>
      </c>
    </row>
    <row r="137" spans="1:13" x14ac:dyDescent="0.25">
      <c r="A137" s="14"/>
    </row>
    <row r="138" spans="1:13" x14ac:dyDescent="0.25">
      <c r="A138" s="14"/>
    </row>
    <row r="139" spans="1:13" x14ac:dyDescent="0.25">
      <c r="A139" s="14"/>
    </row>
    <row r="140" spans="1:13" x14ac:dyDescent="0.25">
      <c r="A140" s="14"/>
    </row>
    <row r="141" spans="1:13" x14ac:dyDescent="0.25">
      <c r="A141" s="26"/>
    </row>
    <row r="142" spans="1:13" x14ac:dyDescent="0.25">
      <c r="A142" s="26"/>
    </row>
    <row r="143" spans="1:13" x14ac:dyDescent="0.25">
      <c r="A143" s="26"/>
    </row>
    <row r="144" spans="1:13" x14ac:dyDescent="0.25">
      <c r="A144" s="26"/>
    </row>
    <row r="145" spans="1:13" x14ac:dyDescent="0.25">
      <c r="A145" s="26"/>
    </row>
    <row r="146" spans="1:13" x14ac:dyDescent="0.25">
      <c r="A146" s="26"/>
    </row>
    <row r="147" spans="1:13" x14ac:dyDescent="0.25">
      <c r="A147" s="26"/>
    </row>
    <row r="148" spans="1:13" x14ac:dyDescent="0.25">
      <c r="A148" s="26"/>
      <c r="K148" s="3" t="str">
        <f t="shared" ref="K148:M152" si="10">K126</f>
        <v>rs6691840</v>
      </c>
      <c r="L148" s="3" t="str">
        <f t="shared" si="10"/>
        <v>rs3913434</v>
      </c>
      <c r="M148" s="3" t="str">
        <f t="shared" si="10"/>
        <v>rs270838</v>
      </c>
    </row>
    <row r="149" spans="1:13" s="21" customFormat="1" x14ac:dyDescent="0.25">
      <c r="A149" s="28"/>
      <c r="B149" s="20"/>
      <c r="K149" s="21" t="str">
        <f t="shared" si="10"/>
        <v>T928G</v>
      </c>
      <c r="L149" s="21" t="str">
        <f t="shared" si="10"/>
        <v>C36983994T</v>
      </c>
      <c r="M149" s="21" t="e">
        <f t="shared" si="10"/>
        <v>#REF!</v>
      </c>
    </row>
    <row r="150" spans="1:13" x14ac:dyDescent="0.25">
      <c r="A150" s="14"/>
      <c r="K150" s="3" t="str">
        <f t="shared" si="10"/>
        <v>NC_000001.10:g.</v>
      </c>
      <c r="L150" s="3" t="str">
        <f t="shared" si="10"/>
        <v>NC_000001.10:g.</v>
      </c>
      <c r="M150" s="3" t="e">
        <f t="shared" si="10"/>
        <v>#REF!</v>
      </c>
    </row>
    <row r="151" spans="1:13" x14ac:dyDescent="0.25">
      <c r="A151" s="14"/>
      <c r="J151" s="3" t="str">
        <f>J129</f>
        <v>Variant</v>
      </c>
      <c r="K151" s="3" t="str">
        <f t="shared" si="10"/>
        <v>[37325477A&gt;G]</v>
      </c>
      <c r="L151" s="3" t="str">
        <f t="shared" si="10"/>
        <v>[37449595C&gt;T]</v>
      </c>
      <c r="M151" s="3" t="e">
        <f t="shared" si="10"/>
        <v>#REF!</v>
      </c>
    </row>
    <row r="152" spans="1:13" x14ac:dyDescent="0.25">
      <c r="A152" s="26"/>
      <c r="J152" s="3" t="str">
        <f>J130</f>
        <v>Wildtype</v>
      </c>
      <c r="K152" s="3" t="str">
        <f t="shared" si="10"/>
        <v>[37325477=]</v>
      </c>
      <c r="L152" s="3" t="str">
        <f t="shared" si="10"/>
        <v>[37449595=]</v>
      </c>
      <c r="M152" s="3" t="e">
        <f t="shared" si="10"/>
        <v>#REF!</v>
      </c>
    </row>
    <row r="153" spans="1:13" x14ac:dyDescent="0.25">
      <c r="A153" s="26"/>
      <c r="B153" s="36"/>
      <c r="J153" s="3" t="str">
        <f t="shared" ref="J153:M158" si="11">J131</f>
        <v>Het</v>
      </c>
      <c r="K153" s="3" t="str">
        <f t="shared" si="11"/>
        <v>NC_000001.10:g.[37325477A&gt;G];[37325477=]</v>
      </c>
      <c r="L153" s="3" t="str">
        <f t="shared" si="11"/>
        <v>NC_000001.10:g.[37449595C&gt;T];[37449595=]</v>
      </c>
      <c r="M153" s="3" t="e">
        <f t="shared" si="11"/>
        <v>#REF!</v>
      </c>
    </row>
    <row r="154" spans="1:13" x14ac:dyDescent="0.25">
      <c r="A154" s="26"/>
      <c r="J154" s="3" t="str">
        <f t="shared" si="11"/>
        <v>Homo</v>
      </c>
      <c r="K154" s="3" t="str">
        <f t="shared" si="11"/>
        <v>NC_000001.10:g.[37325477A&gt;G];[37325477A&gt;G]</v>
      </c>
      <c r="L154" s="3" t="str">
        <f t="shared" si="11"/>
        <v>NC_000001.10:g.[37449595C&gt;T];[37449595C&gt;T]</v>
      </c>
      <c r="M154" s="3" t="e">
        <f t="shared" si="11"/>
        <v>#REF!</v>
      </c>
    </row>
    <row r="155" spans="1:13" x14ac:dyDescent="0.25">
      <c r="A155" s="26"/>
      <c r="J155" s="3" t="str">
        <f t="shared" si="11"/>
        <v>Wildtype</v>
      </c>
      <c r="K155" s="3" t="str">
        <f t="shared" si="11"/>
        <v>NC_000001.10:g.[37325477=];[37325477=]</v>
      </c>
      <c r="L155" s="3" t="str">
        <f t="shared" si="11"/>
        <v>NC_000001.10:g.[37449595=];[37449595=]</v>
      </c>
      <c r="M155" s="3" t="e">
        <f t="shared" si="11"/>
        <v>#REF!</v>
      </c>
    </row>
    <row r="156" spans="1:13" x14ac:dyDescent="0.25">
      <c r="A156" s="26"/>
      <c r="J156" s="3" t="str">
        <f t="shared" si="11"/>
        <v>Het%</v>
      </c>
      <c r="K156" s="3">
        <f t="shared" si="11"/>
        <v>43</v>
      </c>
      <c r="L156" s="3">
        <f t="shared" si="11"/>
        <v>1.8</v>
      </c>
      <c r="M156" s="3">
        <f t="shared" si="11"/>
        <v>15.8</v>
      </c>
    </row>
    <row r="157" spans="1:13" x14ac:dyDescent="0.25">
      <c r="A157" s="26"/>
      <c r="J157" s="3" t="str">
        <f t="shared" si="11"/>
        <v>Homo%</v>
      </c>
      <c r="K157" s="3">
        <f t="shared" si="11"/>
        <v>19.899999999999999</v>
      </c>
      <c r="L157" s="3">
        <f t="shared" si="11"/>
        <v>0.5</v>
      </c>
      <c r="M157" s="3">
        <f t="shared" si="11"/>
        <v>4.7</v>
      </c>
    </row>
    <row r="158" spans="1:13" x14ac:dyDescent="0.25">
      <c r="A158" s="14"/>
      <c r="J158" s="3" t="str">
        <f t="shared" si="11"/>
        <v>Wildtype%</v>
      </c>
      <c r="K158" s="3">
        <f t="shared" si="11"/>
        <v>37.1</v>
      </c>
      <c r="L158" s="3">
        <f t="shared" si="11"/>
        <v>97.8</v>
      </c>
      <c r="M158" s="3">
        <f t="shared" si="11"/>
        <v>79.5</v>
      </c>
    </row>
    <row r="159" spans="1:13" x14ac:dyDescent="0.25">
      <c r="A159" s="14"/>
    </row>
    <row r="160" spans="1:13" x14ac:dyDescent="0.25">
      <c r="A160" s="14"/>
    </row>
    <row r="161" spans="1:13" x14ac:dyDescent="0.25">
      <c r="A161" s="14"/>
    </row>
    <row r="162" spans="1:13" x14ac:dyDescent="0.25">
      <c r="A162" s="14"/>
    </row>
    <row r="163" spans="1:13" x14ac:dyDescent="0.25">
      <c r="A163" s="26"/>
    </row>
    <row r="164" spans="1:13" x14ac:dyDescent="0.25">
      <c r="A164" s="26"/>
    </row>
    <row r="165" spans="1:13" x14ac:dyDescent="0.25">
      <c r="A165" s="26"/>
    </row>
    <row r="166" spans="1:13" x14ac:dyDescent="0.25">
      <c r="A166" s="26"/>
    </row>
    <row r="167" spans="1:13" x14ac:dyDescent="0.25">
      <c r="A167" s="26"/>
    </row>
    <row r="168" spans="1:13" x14ac:dyDescent="0.25">
      <c r="A168" s="26"/>
    </row>
    <row r="169" spans="1:13" x14ac:dyDescent="0.25">
      <c r="A169" s="26"/>
    </row>
    <row r="170" spans="1:13" x14ac:dyDescent="0.25">
      <c r="A170" s="26"/>
      <c r="K170" s="3" t="str">
        <f t="shared" ref="K170:M172" si="12">K148</f>
        <v>rs6691840</v>
      </c>
      <c r="L170" s="3" t="str">
        <f t="shared" si="12"/>
        <v>rs3913434</v>
      </c>
      <c r="M170" s="3" t="str">
        <f t="shared" si="12"/>
        <v>rs270838</v>
      </c>
    </row>
    <row r="171" spans="1:13" s="21" customFormat="1" x14ac:dyDescent="0.25">
      <c r="A171" s="28" t="s">
        <v>70</v>
      </c>
      <c r="B171" s="20" t="str">
        <f>CONCATENATE(B39," and ",B83)</f>
        <v>T928G (T;G) and C36983994T (C;T)</v>
      </c>
      <c r="C171" s="21" t="str">
        <f>CONCATENATE("&lt;# ",B171," #&gt;")</f>
        <v>&lt;# T928G (T;G) and C36983994T (C;T) #&gt;</v>
      </c>
      <c r="K171" s="21" t="str">
        <f t="shared" si="12"/>
        <v>T928G</v>
      </c>
      <c r="L171" s="21" t="str">
        <f t="shared" si="12"/>
        <v>C36983994T</v>
      </c>
      <c r="M171" s="21" t="e">
        <f t="shared" si="12"/>
        <v>#REF!</v>
      </c>
    </row>
    <row r="172" spans="1:13" x14ac:dyDescent="0.25">
      <c r="A172" s="14" t="s">
        <v>21</v>
      </c>
      <c r="B172" s="15" t="str">
        <f>K87</f>
        <v>NC_000001.10:g.[37325477A&gt;G];[37325477=]</v>
      </c>
      <c r="K172" s="3" t="str">
        <f t="shared" si="12"/>
        <v>NC_000001.10:g.</v>
      </c>
      <c r="L172" s="3" t="str">
        <f t="shared" si="12"/>
        <v>NC_000001.10:g.</v>
      </c>
      <c r="M172" s="3" t="e">
        <f t="shared" si="12"/>
        <v>#REF!</v>
      </c>
    </row>
    <row r="173" spans="1:13" x14ac:dyDescent="0.25">
      <c r="A173" s="14" t="s">
        <v>72</v>
      </c>
      <c r="C173" s="3" t="str">
        <f>CONCATENATE("  &lt;Analysis name=",CHAR(34),B171,CHAR(34))</f>
        <v xml:space="preserve">  &lt;Analysis name="T928G (T;G) and C36983994T (C;T)"</v>
      </c>
      <c r="J173" s="3" t="str">
        <f t="shared" ref="J173:M180" si="13">J151</f>
        <v>Variant</v>
      </c>
      <c r="K173" s="3" t="str">
        <f t="shared" si="13"/>
        <v>[37325477A&gt;G]</v>
      </c>
      <c r="L173" s="3" t="str">
        <f t="shared" si="13"/>
        <v>[37449595C&gt;T]</v>
      </c>
      <c r="M173" s="3" t="e">
        <f t="shared" si="13"/>
        <v>#REF!</v>
      </c>
    </row>
    <row r="174" spans="1:13" x14ac:dyDescent="0.25">
      <c r="A174" s="26" t="s">
        <v>75</v>
      </c>
      <c r="B174" s="15" t="str">
        <f>CONCATENATE("People with this variant have one copy of the ",B22, ", and ",B31," variants. This substitution of a single nucleotide is known as a missense mutation.")</f>
        <v>People with this variant have one copy of the [T928G](https://www.ncbi.nlm.nih.gov/projects/SNP/snp_ref.cgi?rs=6691840)[(Ser310Ala)](https://www.ncbi.nlm.nih.gov/pubmed/11986986), and [C36983994T](https://www.ncbi.nlm.nih.gov/projects/SNP/snp_ref.cgi?rs=3913434) variants. This substitution of a single nucleotide is known as a missense mutation.</v>
      </c>
      <c r="C174" s="3" t="str">
        <f>CONCATENATE("            case={  variantCall ",CHAR(40),CHAR(34),K175,CHAR(34),CHAR(41))</f>
        <v xml:space="preserve">            case={  variantCall ("NC_000001.10:g.[37325477A&gt;G];[37325477=]")</v>
      </c>
      <c r="J174" s="3" t="str">
        <f t="shared" si="13"/>
        <v>Wildtype</v>
      </c>
      <c r="K174" s="3" t="str">
        <f t="shared" si="13"/>
        <v>[37325477=]</v>
      </c>
      <c r="L174" s="3" t="str">
        <f t="shared" si="13"/>
        <v>[37449595=]</v>
      </c>
      <c r="M174" s="3" t="e">
        <f t="shared" si="13"/>
        <v>#REF!</v>
      </c>
    </row>
    <row r="175" spans="1:13" x14ac:dyDescent="0.25">
      <c r="A175" s="26" t="s">
        <v>28</v>
      </c>
      <c r="B175" s="15" t="s">
        <v>115</v>
      </c>
      <c r="C175" s="3" t="s">
        <v>71</v>
      </c>
      <c r="J175" s="3" t="str">
        <f t="shared" si="13"/>
        <v>Het</v>
      </c>
      <c r="K175" s="3" t="str">
        <f t="shared" si="13"/>
        <v>NC_000001.10:g.[37325477A&gt;G];[37325477=]</v>
      </c>
      <c r="L175" s="3" t="str">
        <f t="shared" si="13"/>
        <v>NC_000001.10:g.[37449595C&gt;T];[37449595=]</v>
      </c>
      <c r="M175" s="3" t="e">
        <f t="shared" si="13"/>
        <v>#REF!</v>
      </c>
    </row>
    <row r="176" spans="1:13" x14ac:dyDescent="0.25">
      <c r="A176" s="26" t="s">
        <v>73</v>
      </c>
      <c r="C176" s="3" t="str">
        <f>CONCATENATE("                    variantCall ",CHAR(40),CHAR(34),L175,CHAR(34),CHAR(41))</f>
        <v xml:space="preserve">                    variantCall ("NC_000001.10:g.[37449595C&gt;T];[37449595=]")</v>
      </c>
      <c r="J176" s="3" t="str">
        <f t="shared" si="13"/>
        <v>Homo</v>
      </c>
      <c r="K176" s="3" t="str">
        <f t="shared" si="13"/>
        <v>NC_000001.10:g.[37325477A&gt;G];[37325477A&gt;G]</v>
      </c>
      <c r="L176" s="3" t="str">
        <f t="shared" si="13"/>
        <v>NC_000001.10:g.[37449595C&gt;T];[37449595C&gt;T]</v>
      </c>
      <c r="M176" s="3" t="e">
        <f t="shared" si="13"/>
        <v>#REF!</v>
      </c>
    </row>
    <row r="177" spans="1:13" x14ac:dyDescent="0.25">
      <c r="A177" s="26"/>
      <c r="J177" s="3" t="str">
        <f t="shared" si="13"/>
        <v>Wildtype</v>
      </c>
      <c r="K177" s="3" t="str">
        <f t="shared" si="13"/>
        <v>NC_000001.10:g.[37325477=];[37325477=]</v>
      </c>
      <c r="L177" s="3" t="str">
        <f t="shared" si="13"/>
        <v>NC_000001.10:g.[37449595=];[37449595=]</v>
      </c>
      <c r="M177" s="3" t="e">
        <f t="shared" si="13"/>
        <v>#REF!</v>
      </c>
    </row>
    <row r="178" spans="1:13" x14ac:dyDescent="0.25">
      <c r="A178" s="26"/>
      <c r="J178" s="3" t="str">
        <f t="shared" si="13"/>
        <v>Het%</v>
      </c>
      <c r="K178" s="3">
        <f t="shared" si="13"/>
        <v>43</v>
      </c>
      <c r="L178" s="3">
        <f t="shared" si="13"/>
        <v>1.8</v>
      </c>
      <c r="M178" s="3">
        <f t="shared" si="13"/>
        <v>15.8</v>
      </c>
    </row>
    <row r="179" spans="1:13" x14ac:dyDescent="0.25">
      <c r="A179" s="26"/>
      <c r="C179" s="3" t="str">
        <f>CONCATENATE("                  } &gt; ")</f>
        <v xml:space="preserve">                  } &gt; </v>
      </c>
      <c r="J179" s="3" t="str">
        <f t="shared" si="13"/>
        <v>Homo%</v>
      </c>
      <c r="K179" s="3">
        <f t="shared" si="13"/>
        <v>19.899999999999999</v>
      </c>
      <c r="L179" s="3">
        <f t="shared" si="13"/>
        <v>0.5</v>
      </c>
      <c r="M179" s="3">
        <f t="shared" si="13"/>
        <v>4.7</v>
      </c>
    </row>
    <row r="180" spans="1:13" x14ac:dyDescent="0.25">
      <c r="A180" s="14"/>
      <c r="J180" s="3" t="str">
        <f t="shared" si="13"/>
        <v>Wildtype%</v>
      </c>
      <c r="K180" s="3">
        <f t="shared" si="13"/>
        <v>37.1</v>
      </c>
      <c r="L180" s="3">
        <f t="shared" si="13"/>
        <v>97.8</v>
      </c>
      <c r="M180" s="3">
        <f t="shared" si="13"/>
        <v>79.5</v>
      </c>
    </row>
    <row r="181" spans="1:13" x14ac:dyDescent="0.25">
      <c r="A181" s="14"/>
      <c r="C181" s="3" t="s">
        <v>26</v>
      </c>
    </row>
    <row r="182" spans="1:13" x14ac:dyDescent="0.25">
      <c r="A182" s="14"/>
    </row>
    <row r="183" spans="1:13" x14ac:dyDescent="0.25">
      <c r="A183" s="14"/>
      <c r="C183" s="3" t="str">
        <f>CONCATENATE("    ",B174)</f>
        <v xml:space="preserve">    People with this variant have one copy of the [T928G](https://www.ncbi.nlm.nih.gov/projects/SNP/snp_ref.cgi?rs=6691840)[(Ser310Ala)](https://www.ncbi.nlm.nih.gov/pubmed/11986986), and [C36983994T](https://www.ncbi.nlm.nih.gov/projects/SNP/snp_ref.cgi?rs=3913434) variants. This substitution of a single nucleotide is known as a missense mutation.</v>
      </c>
    </row>
    <row r="184" spans="1:13" x14ac:dyDescent="0.25">
      <c r="A184" s="14"/>
    </row>
    <row r="185" spans="1:13" x14ac:dyDescent="0.25">
      <c r="A185" s="26"/>
      <c r="C185" s="3" t="s">
        <v>29</v>
      </c>
    </row>
    <row r="186" spans="1:13" x14ac:dyDescent="0.25">
      <c r="A186" s="26"/>
    </row>
    <row r="187" spans="1:13" x14ac:dyDescent="0.25">
      <c r="A187" s="26"/>
      <c r="C187" s="3" t="str">
        <f>CONCATENATE(B175)</f>
        <v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188" spans="1:13" x14ac:dyDescent="0.25">
      <c r="A188" s="26"/>
    </row>
    <row r="189" spans="1:13" x14ac:dyDescent="0.25">
      <c r="A189" s="26"/>
      <c r="C189" s="3" t="s">
        <v>30</v>
      </c>
    </row>
    <row r="190" spans="1:13" x14ac:dyDescent="0.25">
      <c r="A190" s="26"/>
    </row>
    <row r="191" spans="1:13" x14ac:dyDescent="0.25">
      <c r="A191" s="26"/>
      <c r="C191" s="3" t="str">
        <f>CONCATENATE( "    &lt;piechart percentage=",B176," /&gt;")</f>
        <v xml:space="preserve">    &lt;piechart percentage= /&gt;</v>
      </c>
    </row>
    <row r="192" spans="1:13" x14ac:dyDescent="0.25">
      <c r="A192" s="26"/>
      <c r="C192" s="3" t="str">
        <f>"  &lt;/Analysis&gt;"</f>
        <v xml:space="preserve">  &lt;/Analysis&gt;</v>
      </c>
      <c r="K192" s="3" t="str">
        <f t="shared" ref="K192:M194" si="14">K170</f>
        <v>rs6691840</v>
      </c>
      <c r="L192" s="3" t="str">
        <f t="shared" si="14"/>
        <v>rs3913434</v>
      </c>
      <c r="M192" s="3" t="str">
        <f t="shared" si="14"/>
        <v>rs270838</v>
      </c>
    </row>
    <row r="193" spans="1:13" s="21" customFormat="1" x14ac:dyDescent="0.25">
      <c r="A193" s="28"/>
      <c r="B193" s="20"/>
      <c r="K193" s="21" t="str">
        <f t="shared" si="14"/>
        <v>T928G</v>
      </c>
      <c r="L193" s="21" t="str">
        <f t="shared" si="14"/>
        <v>C36983994T</v>
      </c>
      <c r="M193" s="21" t="e">
        <f t="shared" si="14"/>
        <v>#REF!</v>
      </c>
    </row>
    <row r="194" spans="1:13" x14ac:dyDescent="0.25">
      <c r="A194" s="14"/>
      <c r="K194" s="3" t="str">
        <f t="shared" si="14"/>
        <v>NC_000001.10:g.</v>
      </c>
      <c r="L194" s="3" t="str">
        <f t="shared" si="14"/>
        <v>NC_000001.10:g.</v>
      </c>
      <c r="M194" s="3" t="e">
        <f t="shared" si="14"/>
        <v>#REF!</v>
      </c>
    </row>
    <row r="195" spans="1:13" x14ac:dyDescent="0.25">
      <c r="A195" s="14"/>
      <c r="J195" s="3" t="str">
        <f t="shared" ref="J195:M202" si="15">J173</f>
        <v>Variant</v>
      </c>
      <c r="K195" s="3" t="str">
        <f t="shared" si="15"/>
        <v>[37325477A&gt;G]</v>
      </c>
      <c r="L195" s="3" t="str">
        <f t="shared" si="15"/>
        <v>[37449595C&gt;T]</v>
      </c>
      <c r="M195" s="3" t="e">
        <f t="shared" si="15"/>
        <v>#REF!</v>
      </c>
    </row>
    <row r="196" spans="1:13" x14ac:dyDescent="0.25">
      <c r="A196" s="26"/>
      <c r="J196" s="3" t="str">
        <f t="shared" si="15"/>
        <v>Wildtype</v>
      </c>
      <c r="K196" s="3" t="str">
        <f t="shared" si="15"/>
        <v>[37325477=]</v>
      </c>
      <c r="L196" s="3" t="str">
        <f t="shared" si="15"/>
        <v>[37449595=]</v>
      </c>
      <c r="M196" s="3" t="e">
        <f t="shared" si="15"/>
        <v>#REF!</v>
      </c>
    </row>
    <row r="197" spans="1:13" x14ac:dyDescent="0.25">
      <c r="A197" s="26"/>
      <c r="J197" s="3" t="str">
        <f t="shared" si="15"/>
        <v>Het</v>
      </c>
      <c r="K197" s="3" t="str">
        <f t="shared" si="15"/>
        <v>NC_000001.10:g.[37325477A&gt;G];[37325477=]</v>
      </c>
      <c r="L197" s="3" t="str">
        <f t="shared" si="15"/>
        <v>NC_000001.10:g.[37449595C&gt;T];[37449595=]</v>
      </c>
      <c r="M197" s="3" t="e">
        <f t="shared" si="15"/>
        <v>#REF!</v>
      </c>
    </row>
    <row r="198" spans="1:13" x14ac:dyDescent="0.25">
      <c r="A198" s="26"/>
      <c r="J198" s="3" t="str">
        <f t="shared" si="15"/>
        <v>Homo</v>
      </c>
      <c r="K198" s="3" t="str">
        <f t="shared" si="15"/>
        <v>NC_000001.10:g.[37325477A&gt;G];[37325477A&gt;G]</v>
      </c>
      <c r="L198" s="3" t="str">
        <f t="shared" si="15"/>
        <v>NC_000001.10:g.[37449595C&gt;T];[37449595C&gt;T]</v>
      </c>
      <c r="M198" s="3" t="e">
        <f t="shared" si="15"/>
        <v>#REF!</v>
      </c>
    </row>
    <row r="199" spans="1:13" x14ac:dyDescent="0.25">
      <c r="A199" s="26"/>
      <c r="J199" s="3" t="str">
        <f t="shared" si="15"/>
        <v>Wildtype</v>
      </c>
      <c r="K199" s="3" t="str">
        <f t="shared" si="15"/>
        <v>NC_000001.10:g.[37325477=];[37325477=]</v>
      </c>
      <c r="L199" s="3" t="str">
        <f t="shared" si="15"/>
        <v>NC_000001.10:g.[37449595=];[37449595=]</v>
      </c>
      <c r="M199" s="3" t="e">
        <f t="shared" si="15"/>
        <v>#REF!</v>
      </c>
    </row>
    <row r="200" spans="1:13" x14ac:dyDescent="0.25">
      <c r="A200" s="26"/>
      <c r="J200" s="3" t="str">
        <f t="shared" si="15"/>
        <v>Het%</v>
      </c>
      <c r="K200" s="3">
        <f t="shared" si="15"/>
        <v>43</v>
      </c>
      <c r="L200" s="3">
        <f t="shared" si="15"/>
        <v>1.8</v>
      </c>
      <c r="M200" s="3">
        <f t="shared" si="15"/>
        <v>15.8</v>
      </c>
    </row>
    <row r="201" spans="1:13" x14ac:dyDescent="0.25">
      <c r="A201" s="26"/>
      <c r="J201" s="3" t="str">
        <f t="shared" si="15"/>
        <v>Homo%</v>
      </c>
      <c r="K201" s="3">
        <f t="shared" si="15"/>
        <v>19.899999999999999</v>
      </c>
      <c r="L201" s="3">
        <f t="shared" si="15"/>
        <v>0.5</v>
      </c>
      <c r="M201" s="3">
        <f t="shared" si="15"/>
        <v>4.7</v>
      </c>
    </row>
    <row r="202" spans="1:13" x14ac:dyDescent="0.25">
      <c r="A202" s="14"/>
      <c r="J202" s="3" t="str">
        <f t="shared" si="15"/>
        <v>Wildtype%</v>
      </c>
      <c r="K202" s="3">
        <f t="shared" si="15"/>
        <v>37.1</v>
      </c>
      <c r="L202" s="3">
        <f t="shared" si="15"/>
        <v>97.8</v>
      </c>
      <c r="M202" s="3">
        <f t="shared" si="15"/>
        <v>79.5</v>
      </c>
    </row>
    <row r="203" spans="1:13" x14ac:dyDescent="0.25">
      <c r="A203" s="14"/>
    </row>
    <row r="204" spans="1:13" x14ac:dyDescent="0.25">
      <c r="A204" s="14"/>
    </row>
    <row r="205" spans="1:13" x14ac:dyDescent="0.25">
      <c r="A205" s="14"/>
    </row>
    <row r="206" spans="1:13" x14ac:dyDescent="0.25">
      <c r="A206" s="14"/>
    </row>
    <row r="207" spans="1:13" x14ac:dyDescent="0.25">
      <c r="A207" s="26"/>
    </row>
    <row r="208" spans="1:13" x14ac:dyDescent="0.25">
      <c r="A208" s="26"/>
    </row>
    <row r="209" spans="1:13" x14ac:dyDescent="0.25">
      <c r="A209" s="26"/>
    </row>
    <row r="210" spans="1:13" x14ac:dyDescent="0.25">
      <c r="A210" s="26"/>
    </row>
    <row r="211" spans="1:13" x14ac:dyDescent="0.25">
      <c r="A211" s="26"/>
    </row>
    <row r="212" spans="1:13" x14ac:dyDescent="0.25">
      <c r="A212" s="26"/>
    </row>
    <row r="213" spans="1:13" x14ac:dyDescent="0.25">
      <c r="A213" s="26"/>
    </row>
    <row r="214" spans="1:13" x14ac:dyDescent="0.25">
      <c r="A214" s="26"/>
      <c r="K214" s="3" t="str">
        <f t="shared" ref="K214:M216" si="16">K192</f>
        <v>rs6691840</v>
      </c>
      <c r="L214" s="3" t="str">
        <f t="shared" si="16"/>
        <v>rs3913434</v>
      </c>
      <c r="M214" s="3" t="str">
        <f t="shared" si="16"/>
        <v>rs270838</v>
      </c>
    </row>
    <row r="215" spans="1:13" s="21" customFormat="1" x14ac:dyDescent="0.25">
      <c r="A215" s="28" t="s">
        <v>70</v>
      </c>
      <c r="B215" s="20" t="str">
        <f>CONCATENATE(B61," and ",B83)</f>
        <v>T928G (G;G) and C36983994T (C;T)</v>
      </c>
      <c r="C215" s="21" t="str">
        <f>CONCATENATE("&lt;# ",B215," #&gt;")</f>
        <v>&lt;# T928G (G;G) and C36983994T (C;T) #&gt;</v>
      </c>
      <c r="K215" s="21" t="str">
        <f t="shared" si="16"/>
        <v>T928G</v>
      </c>
      <c r="L215" s="21" t="str">
        <f t="shared" si="16"/>
        <v>C36983994T</v>
      </c>
      <c r="M215" s="21" t="e">
        <f t="shared" si="16"/>
        <v>#REF!</v>
      </c>
    </row>
    <row r="216" spans="1:13" x14ac:dyDescent="0.25">
      <c r="A216" s="14" t="s">
        <v>21</v>
      </c>
      <c r="B216" s="15" t="str">
        <f>K131</f>
        <v>NC_000001.10:g.[37325477A&gt;G];[37325477=]</v>
      </c>
      <c r="K216" s="3" t="str">
        <f t="shared" si="16"/>
        <v>NC_000001.10:g.</v>
      </c>
      <c r="L216" s="3" t="str">
        <f t="shared" si="16"/>
        <v>NC_000001.10:g.</v>
      </c>
      <c r="M216" s="3" t="e">
        <f t="shared" si="16"/>
        <v>#REF!</v>
      </c>
    </row>
    <row r="217" spans="1:13" x14ac:dyDescent="0.25">
      <c r="A217" s="14" t="s">
        <v>72</v>
      </c>
      <c r="C217" s="3" t="str">
        <f>CONCATENATE("  &lt;Analysis name=",CHAR(34),B215,CHAR(34))</f>
        <v xml:space="preserve">  &lt;Analysis name="T928G (G;G) and C36983994T (C;T)"</v>
      </c>
      <c r="J217" s="3" t="str">
        <f t="shared" ref="J217:M224" si="17">J195</f>
        <v>Variant</v>
      </c>
      <c r="K217" s="3" t="str">
        <f t="shared" si="17"/>
        <v>[37325477A&gt;G]</v>
      </c>
      <c r="L217" s="3" t="str">
        <f t="shared" si="17"/>
        <v>[37449595C&gt;T]</v>
      </c>
      <c r="M217" s="3" t="e">
        <f t="shared" si="17"/>
        <v>#REF!</v>
      </c>
    </row>
    <row r="218" spans="1:13" x14ac:dyDescent="0.25">
      <c r="A218" s="26" t="s">
        <v>75</v>
      </c>
      <c r="B218" s="15" t="str">
        <f>CONCATENATE("People with this variant have two copies of the ",B22," variant and one copy of the ",B31," variant. This substitution of a single nucleotide is known as a missense mutation.")</f>
        <v>People with this variant have two copies of the [T928G](https://www.ncbi.nlm.nih.gov/projects/SNP/snp_ref.cgi?rs=6691840)[(Ser310Ala)](https://www.ncbi.nlm.nih.gov/pubmed/11986986) variant and one copy of the [C36983994T](https://www.ncbi.nlm.nih.gov/projects/SNP/snp_ref.cgi?rs=3913434) variant. This substitution of a single nucleotide is known as a missense mutation.</v>
      </c>
      <c r="C218" s="3" t="str">
        <f>CONCATENATE("            case={  variantCall ",CHAR(40),CHAR(34),K219,CHAR(34),CHAR(41))</f>
        <v xml:space="preserve">            case={  variantCall ("NC_000001.10:g.[37325477A&gt;G];[37325477=]")</v>
      </c>
      <c r="J218" s="3" t="str">
        <f t="shared" si="17"/>
        <v>Wildtype</v>
      </c>
      <c r="K218" s="3" t="str">
        <f t="shared" si="17"/>
        <v>[37325477=]</v>
      </c>
      <c r="L218" s="3" t="str">
        <f t="shared" si="17"/>
        <v>[37449595=]</v>
      </c>
      <c r="M218" s="3" t="e">
        <f t="shared" si="17"/>
        <v>#REF!</v>
      </c>
    </row>
    <row r="219" spans="1:13" x14ac:dyDescent="0.25">
      <c r="A219" s="26" t="s">
        <v>28</v>
      </c>
      <c r="B219" s="3" t="s">
        <v>117</v>
      </c>
      <c r="C219" s="3" t="s">
        <v>71</v>
      </c>
      <c r="J219" s="3" t="str">
        <f t="shared" si="17"/>
        <v>Het</v>
      </c>
      <c r="K219" s="3" t="str">
        <f t="shared" si="17"/>
        <v>NC_000001.10:g.[37325477A&gt;G];[37325477=]</v>
      </c>
      <c r="L219" s="3" t="str">
        <f t="shared" si="17"/>
        <v>NC_000001.10:g.[37449595C&gt;T];[37449595=]</v>
      </c>
      <c r="M219" s="3" t="e">
        <f t="shared" si="17"/>
        <v>#REF!</v>
      </c>
    </row>
    <row r="220" spans="1:13" x14ac:dyDescent="0.25">
      <c r="A220" s="26" t="s">
        <v>73</v>
      </c>
      <c r="C220" s="3" t="str">
        <f>CONCATENATE("                    variantCall ",CHAR(40),CHAR(34),L219,CHAR(34),CHAR(41))</f>
        <v xml:space="preserve">                    variantCall ("NC_000001.10:g.[37449595C&gt;T];[37449595=]")</v>
      </c>
      <c r="J220" s="3" t="str">
        <f t="shared" si="17"/>
        <v>Homo</v>
      </c>
      <c r="K220" s="3" t="str">
        <f t="shared" si="17"/>
        <v>NC_000001.10:g.[37325477A&gt;G];[37325477A&gt;G]</v>
      </c>
      <c r="L220" s="3" t="str">
        <f t="shared" si="17"/>
        <v>NC_000001.10:g.[37449595C&gt;T];[37449595C&gt;T]</v>
      </c>
      <c r="M220" s="3" t="e">
        <f t="shared" si="17"/>
        <v>#REF!</v>
      </c>
    </row>
    <row r="221" spans="1:13" x14ac:dyDescent="0.25">
      <c r="A221" s="26"/>
      <c r="J221" s="3" t="str">
        <f t="shared" si="17"/>
        <v>Wildtype</v>
      </c>
      <c r="K221" s="3" t="str">
        <f t="shared" si="17"/>
        <v>NC_000001.10:g.[37325477=];[37325477=]</v>
      </c>
      <c r="L221" s="3" t="str">
        <f t="shared" si="17"/>
        <v>NC_000001.10:g.[37449595=];[37449595=]</v>
      </c>
      <c r="M221" s="3" t="e">
        <f t="shared" si="17"/>
        <v>#REF!</v>
      </c>
    </row>
    <row r="222" spans="1:13" x14ac:dyDescent="0.25">
      <c r="A222" s="26"/>
      <c r="J222" s="3" t="str">
        <f t="shared" si="17"/>
        <v>Het%</v>
      </c>
      <c r="K222" s="3">
        <f t="shared" si="17"/>
        <v>43</v>
      </c>
      <c r="L222" s="3">
        <f t="shared" si="17"/>
        <v>1.8</v>
      </c>
      <c r="M222" s="3">
        <f t="shared" si="17"/>
        <v>15.8</v>
      </c>
    </row>
    <row r="223" spans="1:13" x14ac:dyDescent="0.25">
      <c r="A223" s="26"/>
      <c r="C223" s="3" t="str">
        <f>CONCATENATE("                  } &gt; ")</f>
        <v xml:space="preserve">                  } &gt; </v>
      </c>
      <c r="J223" s="3" t="str">
        <f t="shared" si="17"/>
        <v>Homo%</v>
      </c>
      <c r="K223" s="3">
        <f t="shared" si="17"/>
        <v>19.899999999999999</v>
      </c>
      <c r="L223" s="3">
        <f t="shared" si="17"/>
        <v>0.5</v>
      </c>
      <c r="M223" s="3">
        <f t="shared" si="17"/>
        <v>4.7</v>
      </c>
    </row>
    <row r="224" spans="1:13" x14ac:dyDescent="0.25">
      <c r="A224" s="14"/>
      <c r="J224" s="3" t="str">
        <f t="shared" si="17"/>
        <v>Wildtype%</v>
      </c>
      <c r="K224" s="3">
        <f t="shared" si="17"/>
        <v>37.1</v>
      </c>
      <c r="L224" s="3">
        <f t="shared" si="17"/>
        <v>97.8</v>
      </c>
      <c r="M224" s="3">
        <f t="shared" si="17"/>
        <v>79.5</v>
      </c>
    </row>
    <row r="225" spans="1:13" x14ac:dyDescent="0.25">
      <c r="A225" s="14"/>
      <c r="C225" s="3" t="s">
        <v>26</v>
      </c>
    </row>
    <row r="226" spans="1:13" x14ac:dyDescent="0.25">
      <c r="A226" s="14"/>
    </row>
    <row r="227" spans="1:13" x14ac:dyDescent="0.25">
      <c r="A227" s="14"/>
      <c r="C227" s="3" t="str">
        <f>CONCATENATE("    ",B218)</f>
        <v xml:space="preserve">    People with this variant have two copies of the [T928G](https://www.ncbi.nlm.nih.gov/projects/SNP/snp_ref.cgi?rs=6691840)[(Ser310Ala)](https://www.ncbi.nlm.nih.gov/pubmed/11986986) variant and one copy of the [C36983994T](https://www.ncbi.nlm.nih.gov/projects/SNP/snp_ref.cgi?rs=3913434) variant. This substitution of a single nucleotide is known as a missense mutation.</v>
      </c>
    </row>
    <row r="228" spans="1:13" x14ac:dyDescent="0.25">
      <c r="A228" s="14"/>
    </row>
    <row r="229" spans="1:13" x14ac:dyDescent="0.25">
      <c r="A229" s="26"/>
      <c r="C229" s="3" t="s">
        <v>29</v>
      </c>
    </row>
    <row r="230" spans="1:13" x14ac:dyDescent="0.25">
      <c r="A230" s="26"/>
    </row>
    <row r="231" spans="1:13" x14ac:dyDescent="0.25">
      <c r="A231" s="26"/>
      <c r="C231" s="3" t="str">
        <f>CONCATENATE(B219)</f>
        <v xml:space="preserve">    There is currently no data on the interaction between these variants.  However, some information exists on the individual variants. 
    # What is the effect of T928G?
Two copies of T928G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232" spans="1:13" x14ac:dyDescent="0.25">
      <c r="A232" s="26"/>
    </row>
    <row r="233" spans="1:13" x14ac:dyDescent="0.25">
      <c r="A233" s="26"/>
      <c r="C233" s="3" t="s">
        <v>30</v>
      </c>
    </row>
    <row r="234" spans="1:13" x14ac:dyDescent="0.25">
      <c r="A234" s="26"/>
    </row>
    <row r="235" spans="1:13" x14ac:dyDescent="0.25">
      <c r="A235" s="26"/>
      <c r="C235" s="3" t="str">
        <f>CONCATENATE( "    &lt;piechart percentage=",B220," /&gt;")</f>
        <v xml:space="preserve">    &lt;piechart percentage= /&gt;</v>
      </c>
    </row>
    <row r="236" spans="1:13" x14ac:dyDescent="0.25">
      <c r="A236" s="26"/>
      <c r="C236" s="3" t="str">
        <f>"  &lt;/Analysis&gt;"</f>
        <v xml:space="preserve">  &lt;/Analysis&gt;</v>
      </c>
      <c r="K236" s="3" t="str">
        <f t="shared" ref="K236:M238" si="18">K214</f>
        <v>rs6691840</v>
      </c>
      <c r="L236" s="3" t="str">
        <f t="shared" si="18"/>
        <v>rs3913434</v>
      </c>
      <c r="M236" s="3" t="str">
        <f t="shared" si="18"/>
        <v>rs270838</v>
      </c>
    </row>
    <row r="237" spans="1:13" s="21" customFormat="1" x14ac:dyDescent="0.25">
      <c r="A237" s="28"/>
      <c r="B237" s="20"/>
      <c r="K237" s="21" t="str">
        <f t="shared" si="18"/>
        <v>T928G</v>
      </c>
      <c r="L237" s="21" t="str">
        <f t="shared" si="18"/>
        <v>C36983994T</v>
      </c>
      <c r="M237" s="21" t="e">
        <f t="shared" si="18"/>
        <v>#REF!</v>
      </c>
    </row>
    <row r="238" spans="1:13" x14ac:dyDescent="0.25">
      <c r="A238" s="14"/>
      <c r="K238" s="3" t="str">
        <f t="shared" si="18"/>
        <v>NC_000001.10:g.</v>
      </c>
      <c r="L238" s="3" t="str">
        <f t="shared" si="18"/>
        <v>NC_000001.10:g.</v>
      </c>
      <c r="M238" s="3" t="e">
        <f t="shared" si="18"/>
        <v>#REF!</v>
      </c>
    </row>
    <row r="239" spans="1:13" x14ac:dyDescent="0.25">
      <c r="A239" s="14"/>
      <c r="J239" s="3" t="str">
        <f t="shared" ref="J239:M246" si="19">J217</f>
        <v>Variant</v>
      </c>
      <c r="K239" s="3" t="str">
        <f t="shared" si="19"/>
        <v>[37325477A&gt;G]</v>
      </c>
      <c r="L239" s="3" t="str">
        <f t="shared" si="19"/>
        <v>[37449595C&gt;T]</v>
      </c>
      <c r="M239" s="3" t="e">
        <f t="shared" si="19"/>
        <v>#REF!</v>
      </c>
    </row>
    <row r="240" spans="1:13" x14ac:dyDescent="0.25">
      <c r="A240" s="26"/>
      <c r="J240" s="3" t="str">
        <f t="shared" si="19"/>
        <v>Wildtype</v>
      </c>
      <c r="K240" s="3" t="str">
        <f t="shared" si="19"/>
        <v>[37325477=]</v>
      </c>
      <c r="L240" s="3" t="str">
        <f t="shared" si="19"/>
        <v>[37449595=]</v>
      </c>
      <c r="M240" s="3" t="e">
        <f t="shared" si="19"/>
        <v>#REF!</v>
      </c>
    </row>
    <row r="241" spans="1:13" x14ac:dyDescent="0.25">
      <c r="A241" s="26"/>
      <c r="J241" s="3" t="str">
        <f t="shared" si="19"/>
        <v>Het</v>
      </c>
      <c r="K241" s="3" t="str">
        <f t="shared" si="19"/>
        <v>NC_000001.10:g.[37325477A&gt;G];[37325477=]</v>
      </c>
      <c r="L241" s="3" t="str">
        <f t="shared" si="19"/>
        <v>NC_000001.10:g.[37449595C&gt;T];[37449595=]</v>
      </c>
      <c r="M241" s="3" t="e">
        <f t="shared" si="19"/>
        <v>#REF!</v>
      </c>
    </row>
    <row r="242" spans="1:13" x14ac:dyDescent="0.25">
      <c r="A242" s="26"/>
      <c r="J242" s="3" t="str">
        <f t="shared" si="19"/>
        <v>Homo</v>
      </c>
      <c r="K242" s="3" t="str">
        <f t="shared" si="19"/>
        <v>NC_000001.10:g.[37325477A&gt;G];[37325477A&gt;G]</v>
      </c>
      <c r="L242" s="3" t="str">
        <f t="shared" si="19"/>
        <v>NC_000001.10:g.[37449595C&gt;T];[37449595C&gt;T]</v>
      </c>
      <c r="M242" s="3" t="e">
        <f t="shared" si="19"/>
        <v>#REF!</v>
      </c>
    </row>
    <row r="243" spans="1:13" x14ac:dyDescent="0.25">
      <c r="A243" s="26"/>
      <c r="J243" s="3" t="str">
        <f t="shared" si="19"/>
        <v>Wildtype</v>
      </c>
      <c r="K243" s="3" t="str">
        <f t="shared" si="19"/>
        <v>NC_000001.10:g.[37325477=];[37325477=]</v>
      </c>
      <c r="L243" s="3" t="str">
        <f t="shared" si="19"/>
        <v>NC_000001.10:g.[37449595=];[37449595=]</v>
      </c>
      <c r="M243" s="3" t="e">
        <f t="shared" si="19"/>
        <v>#REF!</v>
      </c>
    </row>
    <row r="244" spans="1:13" x14ac:dyDescent="0.25">
      <c r="A244" s="26"/>
      <c r="J244" s="3" t="str">
        <f t="shared" si="19"/>
        <v>Het%</v>
      </c>
      <c r="K244" s="3">
        <f t="shared" si="19"/>
        <v>43</v>
      </c>
      <c r="L244" s="3">
        <f t="shared" si="19"/>
        <v>1.8</v>
      </c>
      <c r="M244" s="3">
        <f t="shared" si="19"/>
        <v>15.8</v>
      </c>
    </row>
    <row r="245" spans="1:13" x14ac:dyDescent="0.25">
      <c r="A245" s="26"/>
      <c r="J245" s="3" t="str">
        <f t="shared" si="19"/>
        <v>Homo%</v>
      </c>
      <c r="K245" s="3">
        <f t="shared" si="19"/>
        <v>19.899999999999999</v>
      </c>
      <c r="L245" s="3">
        <f t="shared" si="19"/>
        <v>0.5</v>
      </c>
      <c r="M245" s="3">
        <f t="shared" si="19"/>
        <v>4.7</v>
      </c>
    </row>
    <row r="246" spans="1:13" x14ac:dyDescent="0.25">
      <c r="A246" s="14"/>
      <c r="J246" s="3" t="str">
        <f t="shared" si="19"/>
        <v>Wildtype%</v>
      </c>
      <c r="K246" s="3">
        <f t="shared" si="19"/>
        <v>37.1</v>
      </c>
      <c r="L246" s="3">
        <f t="shared" si="19"/>
        <v>97.8</v>
      </c>
      <c r="M246" s="3">
        <f t="shared" si="19"/>
        <v>79.5</v>
      </c>
    </row>
    <row r="247" spans="1:13" x14ac:dyDescent="0.25">
      <c r="A247" s="14"/>
    </row>
    <row r="248" spans="1:13" x14ac:dyDescent="0.25">
      <c r="A248" s="14"/>
    </row>
    <row r="249" spans="1:13" x14ac:dyDescent="0.25">
      <c r="A249" s="14"/>
    </row>
    <row r="250" spans="1:13" x14ac:dyDescent="0.25">
      <c r="A250" s="14"/>
    </row>
    <row r="251" spans="1:13" x14ac:dyDescent="0.25">
      <c r="A251" s="26"/>
    </row>
    <row r="252" spans="1:13" x14ac:dyDescent="0.25">
      <c r="A252" s="26"/>
    </row>
    <row r="253" spans="1:13" x14ac:dyDescent="0.25">
      <c r="A253" s="26"/>
    </row>
    <row r="254" spans="1:13" x14ac:dyDescent="0.25">
      <c r="A254" s="26"/>
    </row>
    <row r="255" spans="1:13" x14ac:dyDescent="0.25">
      <c r="A255" s="26"/>
    </row>
    <row r="256" spans="1:13" x14ac:dyDescent="0.25">
      <c r="A256" s="26"/>
    </row>
    <row r="257" spans="1:13" x14ac:dyDescent="0.25">
      <c r="A257" s="26"/>
    </row>
    <row r="258" spans="1:13" x14ac:dyDescent="0.25">
      <c r="A258" s="26"/>
      <c r="K258" s="3" t="str">
        <f t="shared" ref="K258:M260" si="20">K236</f>
        <v>rs6691840</v>
      </c>
      <c r="L258" s="3" t="str">
        <f t="shared" si="20"/>
        <v>rs3913434</v>
      </c>
      <c r="M258" s="3" t="str">
        <f t="shared" si="20"/>
        <v>rs270838</v>
      </c>
    </row>
    <row r="259" spans="1:13" s="21" customFormat="1" x14ac:dyDescent="0.25">
      <c r="A259" s="28"/>
      <c r="B259" s="20"/>
      <c r="K259" s="21" t="str">
        <f t="shared" si="20"/>
        <v>T928G</v>
      </c>
      <c r="L259" s="21" t="str">
        <f t="shared" si="20"/>
        <v>C36983994T</v>
      </c>
      <c r="M259" s="21" t="e">
        <f t="shared" si="20"/>
        <v>#REF!</v>
      </c>
    </row>
    <row r="260" spans="1:13" x14ac:dyDescent="0.25">
      <c r="A260" s="14"/>
      <c r="K260" s="3" t="str">
        <f t="shared" si="20"/>
        <v>NC_000001.10:g.</v>
      </c>
      <c r="L260" s="3" t="str">
        <f t="shared" si="20"/>
        <v>NC_000001.10:g.</v>
      </c>
      <c r="M260" s="3" t="e">
        <f t="shared" si="20"/>
        <v>#REF!</v>
      </c>
    </row>
    <row r="261" spans="1:13" x14ac:dyDescent="0.25">
      <c r="A261" s="14"/>
      <c r="J261" s="3" t="str">
        <f t="shared" ref="J261:M268" si="21">J239</f>
        <v>Variant</v>
      </c>
      <c r="K261" s="3" t="str">
        <f t="shared" si="21"/>
        <v>[37325477A&gt;G]</v>
      </c>
      <c r="L261" s="3" t="str">
        <f t="shared" si="21"/>
        <v>[37449595C&gt;T]</v>
      </c>
      <c r="M261" s="3" t="e">
        <f t="shared" si="21"/>
        <v>#REF!</v>
      </c>
    </row>
    <row r="262" spans="1:13" x14ac:dyDescent="0.25">
      <c r="A262" s="26"/>
      <c r="J262" s="3" t="str">
        <f t="shared" si="21"/>
        <v>Wildtype</v>
      </c>
      <c r="K262" s="3" t="str">
        <f t="shared" si="21"/>
        <v>[37325477=]</v>
      </c>
      <c r="L262" s="3" t="str">
        <f t="shared" si="21"/>
        <v>[37449595=]</v>
      </c>
      <c r="M262" s="3" t="e">
        <f t="shared" si="21"/>
        <v>#REF!</v>
      </c>
    </row>
    <row r="263" spans="1:13" x14ac:dyDescent="0.25">
      <c r="A263" s="26"/>
      <c r="J263" s="3" t="str">
        <f t="shared" si="21"/>
        <v>Het</v>
      </c>
      <c r="K263" s="3" t="str">
        <f t="shared" si="21"/>
        <v>NC_000001.10:g.[37325477A&gt;G];[37325477=]</v>
      </c>
      <c r="L263" s="3" t="str">
        <f t="shared" si="21"/>
        <v>NC_000001.10:g.[37449595C&gt;T];[37449595=]</v>
      </c>
      <c r="M263" s="3" t="e">
        <f t="shared" si="21"/>
        <v>#REF!</v>
      </c>
    </row>
    <row r="264" spans="1:13" x14ac:dyDescent="0.25">
      <c r="A264" s="26"/>
      <c r="J264" s="3" t="str">
        <f t="shared" si="21"/>
        <v>Homo</v>
      </c>
      <c r="K264" s="3" t="str">
        <f t="shared" si="21"/>
        <v>NC_000001.10:g.[37325477A&gt;G];[37325477A&gt;G]</v>
      </c>
      <c r="L264" s="3" t="str">
        <f t="shared" si="21"/>
        <v>NC_000001.10:g.[37449595C&gt;T];[37449595C&gt;T]</v>
      </c>
      <c r="M264" s="3" t="e">
        <f t="shared" si="21"/>
        <v>#REF!</v>
      </c>
    </row>
    <row r="265" spans="1:13" x14ac:dyDescent="0.25">
      <c r="A265" s="26"/>
      <c r="J265" s="3" t="str">
        <f t="shared" si="21"/>
        <v>Wildtype</v>
      </c>
      <c r="K265" s="3" t="str">
        <f t="shared" si="21"/>
        <v>NC_000001.10:g.[37325477=];[37325477=]</v>
      </c>
      <c r="L265" s="3" t="str">
        <f t="shared" si="21"/>
        <v>NC_000001.10:g.[37449595=];[37449595=]</v>
      </c>
      <c r="M265" s="3" t="e">
        <f t="shared" si="21"/>
        <v>#REF!</v>
      </c>
    </row>
    <row r="266" spans="1:13" x14ac:dyDescent="0.25">
      <c r="A266" s="26"/>
      <c r="J266" s="3" t="str">
        <f t="shared" si="21"/>
        <v>Het%</v>
      </c>
      <c r="K266" s="3">
        <f t="shared" si="21"/>
        <v>43</v>
      </c>
      <c r="L266" s="3">
        <f t="shared" si="21"/>
        <v>1.8</v>
      </c>
      <c r="M266" s="3">
        <f t="shared" si="21"/>
        <v>15.8</v>
      </c>
    </row>
    <row r="267" spans="1:13" x14ac:dyDescent="0.25">
      <c r="A267" s="26"/>
      <c r="J267" s="3" t="str">
        <f t="shared" si="21"/>
        <v>Homo%</v>
      </c>
      <c r="K267" s="3">
        <f t="shared" si="21"/>
        <v>19.899999999999999</v>
      </c>
      <c r="L267" s="3">
        <f t="shared" si="21"/>
        <v>0.5</v>
      </c>
      <c r="M267" s="3">
        <f t="shared" si="21"/>
        <v>4.7</v>
      </c>
    </row>
    <row r="268" spans="1:13" x14ac:dyDescent="0.25">
      <c r="A268" s="14"/>
      <c r="J268" s="3" t="str">
        <f t="shared" si="21"/>
        <v>Wildtype%</v>
      </c>
      <c r="K268" s="3">
        <f t="shared" si="21"/>
        <v>37.1</v>
      </c>
      <c r="L268" s="3">
        <f t="shared" si="21"/>
        <v>97.8</v>
      </c>
      <c r="M268" s="3">
        <f t="shared" si="21"/>
        <v>79.5</v>
      </c>
    </row>
    <row r="269" spans="1:13" x14ac:dyDescent="0.25">
      <c r="A269" s="14"/>
    </row>
    <row r="270" spans="1:13" x14ac:dyDescent="0.25">
      <c r="A270" s="14"/>
    </row>
    <row r="271" spans="1:13" x14ac:dyDescent="0.25">
      <c r="A271" s="14"/>
    </row>
    <row r="272" spans="1:13" x14ac:dyDescent="0.25">
      <c r="A272" s="14"/>
    </row>
    <row r="273" spans="1:13" x14ac:dyDescent="0.25">
      <c r="A273" s="26"/>
    </row>
    <row r="274" spans="1:13" x14ac:dyDescent="0.25">
      <c r="A274" s="26"/>
    </row>
    <row r="275" spans="1:13" x14ac:dyDescent="0.25">
      <c r="A275" s="26"/>
    </row>
    <row r="276" spans="1:13" x14ac:dyDescent="0.25">
      <c r="A276" s="26"/>
    </row>
    <row r="277" spans="1:13" x14ac:dyDescent="0.25">
      <c r="A277" s="26"/>
    </row>
    <row r="278" spans="1:13" x14ac:dyDescent="0.25">
      <c r="A278" s="26"/>
    </row>
    <row r="279" spans="1:13" x14ac:dyDescent="0.25">
      <c r="A279" s="26"/>
    </row>
    <row r="280" spans="1:13" x14ac:dyDescent="0.25">
      <c r="A280" s="26"/>
      <c r="K280" s="3" t="str">
        <f t="shared" ref="K280:M284" si="22">K126</f>
        <v>rs6691840</v>
      </c>
      <c r="L280" s="3" t="str">
        <f t="shared" si="22"/>
        <v>rs3913434</v>
      </c>
      <c r="M280" s="3" t="str">
        <f t="shared" si="22"/>
        <v>rs270838</v>
      </c>
    </row>
    <row r="281" spans="1:13" s="21" customFormat="1" x14ac:dyDescent="0.25">
      <c r="A281" s="28" t="s">
        <v>70</v>
      </c>
      <c r="B281" s="20" t="s">
        <v>85</v>
      </c>
      <c r="C281" s="21" t="str">
        <f>CONCATENATE("&lt;# ",B281," #&gt;")</f>
        <v>&lt;# Wild type #&gt;</v>
      </c>
      <c r="K281" s="21" t="str">
        <f t="shared" si="22"/>
        <v>T928G</v>
      </c>
      <c r="L281" s="21" t="str">
        <f t="shared" si="22"/>
        <v>C36983994T</v>
      </c>
      <c r="M281" s="21" t="e">
        <f t="shared" si="22"/>
        <v>#REF!</v>
      </c>
    </row>
    <row r="282" spans="1:13" x14ac:dyDescent="0.25">
      <c r="A282" s="14" t="s">
        <v>21</v>
      </c>
      <c r="B282" s="15" t="str">
        <f>K45</f>
        <v>NC_000001.10:g.[37325477=];[37325477=]</v>
      </c>
      <c r="K282" s="3" t="str">
        <f t="shared" si="22"/>
        <v>NC_000001.10:g.</v>
      </c>
      <c r="L282" s="3" t="str">
        <f t="shared" si="22"/>
        <v>NC_000001.10:g.</v>
      </c>
      <c r="M282" s="3" t="e">
        <f t="shared" si="22"/>
        <v>#REF!</v>
      </c>
    </row>
    <row r="283" spans="1:13" x14ac:dyDescent="0.25">
      <c r="A283" s="14" t="s">
        <v>72</v>
      </c>
      <c r="B283" s="15" t="str">
        <f>L45</f>
        <v>NC_000001.10:g.[37449595=];[37449595=]</v>
      </c>
      <c r="C283" s="3" t="str">
        <f>CONCATENATE("  &lt;Analysis name=",CHAR(34),B281,CHAR(34))</f>
        <v xml:space="preserve">  &lt;Analysis name="Wild type"</v>
      </c>
      <c r="J283" s="3" t="str">
        <f>J129</f>
        <v>Variant</v>
      </c>
      <c r="K283" s="3" t="str">
        <f t="shared" si="22"/>
        <v>[37325477A&gt;G]</v>
      </c>
      <c r="L283" s="3" t="str">
        <f t="shared" si="22"/>
        <v>[37449595C&gt;T]</v>
      </c>
      <c r="M283" s="3" t="e">
        <f t="shared" si="22"/>
        <v>#REF!</v>
      </c>
    </row>
    <row r="284" spans="1:13" x14ac:dyDescent="0.25">
      <c r="A284" s="26" t="s">
        <v>75</v>
      </c>
      <c r="B284" s="15" t="str">
        <f>CONCATENATE("Your ",B12," gene has no variants. A normal gene is referred to as a ",CHAR(34),"wild-type",CHAR(34)," gene.")</f>
        <v>Your GRIK3 gene has no variants. A normal gene is referred to as a "wild-type" gene.</v>
      </c>
      <c r="C284" s="3" t="str">
        <f>CONCATENATE("            case={  variantCall ",CHAR(40),CHAR(34),B282,CHAR(34),CHAR(41))</f>
        <v xml:space="preserve">            case={  variantCall ("NC_000001.10:g.[37325477=];[37325477=]")</v>
      </c>
      <c r="J284" s="3" t="str">
        <f>J130</f>
        <v>Wildtype</v>
      </c>
      <c r="K284" s="3" t="str">
        <f t="shared" si="22"/>
        <v>[37325477=]</v>
      </c>
      <c r="L284" s="3" t="str">
        <f t="shared" si="22"/>
        <v>[37449595=]</v>
      </c>
      <c r="M284" s="3" t="e">
        <f t="shared" si="22"/>
        <v>#REF!</v>
      </c>
    </row>
    <row r="285" spans="1:13" x14ac:dyDescent="0.25">
      <c r="A285" s="26" t="s">
        <v>28</v>
      </c>
      <c r="C285" s="3" t="s">
        <v>71</v>
      </c>
      <c r="J285" s="3" t="str">
        <f t="shared" ref="J285:M290" si="23">J131</f>
        <v>Het</v>
      </c>
      <c r="K285" s="3" t="str">
        <f t="shared" si="23"/>
        <v>NC_000001.10:g.[37325477A&gt;G];[37325477=]</v>
      </c>
      <c r="L285" s="3" t="str">
        <f t="shared" si="23"/>
        <v>NC_000001.10:g.[37449595C&gt;T];[37449595=]</v>
      </c>
      <c r="M285" s="3" t="e">
        <f t="shared" si="23"/>
        <v>#REF!</v>
      </c>
    </row>
    <row r="286" spans="1:13" x14ac:dyDescent="0.25">
      <c r="A286" s="26" t="s">
        <v>73</v>
      </c>
      <c r="C286" s="3" t="str">
        <f>CONCATENATE("                    ",CHAR(40),"variantCall ",CHAR(40),CHAR(34),L286,CHAR(34),CHAR(41)," or variantCall ",CHAR(40),CHAR(34),L287,CHAR(34),CHAR(41),CHAR(41))</f>
        <v xml:space="preserve">                    (variantCall ("NC_000001.10:g.[37449595C&gt;T];[37449595C&gt;T]") or variantCall ("NC_000001.10:g.[37449595=];[37449595=]"))</v>
      </c>
      <c r="J286" s="3" t="str">
        <f t="shared" si="23"/>
        <v>Homo</v>
      </c>
      <c r="K286" s="3" t="str">
        <f t="shared" si="23"/>
        <v>NC_000001.10:g.[37325477A&gt;G];[37325477A&gt;G]</v>
      </c>
      <c r="L286" s="3" t="str">
        <f t="shared" si="23"/>
        <v>NC_000001.10:g.[37449595C&gt;T];[37449595C&gt;T]</v>
      </c>
      <c r="M286" s="3" t="e">
        <f t="shared" si="23"/>
        <v>#REF!</v>
      </c>
    </row>
    <row r="287" spans="1:13" x14ac:dyDescent="0.25">
      <c r="A287" s="26"/>
      <c r="J287" s="3" t="str">
        <f t="shared" si="23"/>
        <v>Wildtype</v>
      </c>
      <c r="K287" s="3" t="str">
        <f t="shared" si="23"/>
        <v>NC_000001.10:g.[37325477=];[37325477=]</v>
      </c>
      <c r="L287" s="3" t="str">
        <f t="shared" si="23"/>
        <v>NC_000001.10:g.[37449595=];[37449595=]</v>
      </c>
      <c r="M287" s="3" t="e">
        <f t="shared" si="23"/>
        <v>#REF!</v>
      </c>
    </row>
    <row r="288" spans="1:13" x14ac:dyDescent="0.25">
      <c r="A288" s="26"/>
      <c r="J288" s="3" t="str">
        <f t="shared" si="23"/>
        <v>Het%</v>
      </c>
      <c r="K288" s="3">
        <f t="shared" si="23"/>
        <v>43</v>
      </c>
      <c r="L288" s="3">
        <f t="shared" si="23"/>
        <v>1.8</v>
      </c>
      <c r="M288" s="3">
        <f t="shared" si="23"/>
        <v>15.8</v>
      </c>
    </row>
    <row r="289" spans="1:13" x14ac:dyDescent="0.25">
      <c r="A289" s="26"/>
      <c r="C289" s="3" t="str">
        <f>CONCATENATE("                  } &gt; ")</f>
        <v xml:space="preserve">                  } &gt; </v>
      </c>
      <c r="J289" s="3" t="str">
        <f t="shared" si="23"/>
        <v>Homo%</v>
      </c>
      <c r="K289" s="3">
        <f t="shared" si="23"/>
        <v>19.899999999999999</v>
      </c>
      <c r="L289" s="3">
        <f t="shared" si="23"/>
        <v>0.5</v>
      </c>
      <c r="M289" s="3">
        <f t="shared" si="23"/>
        <v>4.7</v>
      </c>
    </row>
    <row r="290" spans="1:13" x14ac:dyDescent="0.25">
      <c r="A290" s="14"/>
      <c r="J290" s="3" t="str">
        <f t="shared" si="23"/>
        <v>Wildtype%</v>
      </c>
      <c r="K290" s="3">
        <f t="shared" si="23"/>
        <v>37.1</v>
      </c>
      <c r="L290" s="3">
        <f t="shared" si="23"/>
        <v>97.8</v>
      </c>
      <c r="M290" s="3">
        <f t="shared" si="23"/>
        <v>79.5</v>
      </c>
    </row>
    <row r="291" spans="1:13" x14ac:dyDescent="0.25">
      <c r="A291" s="14"/>
      <c r="C291" s="3" t="s">
        <v>26</v>
      </c>
    </row>
    <row r="292" spans="1:13" x14ac:dyDescent="0.25">
      <c r="A292" s="14"/>
    </row>
    <row r="293" spans="1:13" x14ac:dyDescent="0.25">
      <c r="A293" s="26"/>
      <c r="C293" s="3" t="str">
        <f>CONCATENATE("    ",B284)</f>
        <v xml:space="preserve">    Your GRIK3 gene has no variants. A normal gene is referred to as a "wild-type" gene.</v>
      </c>
    </row>
    <row r="294" spans="1:13" x14ac:dyDescent="0.25">
      <c r="A294" s="26"/>
    </row>
    <row r="295" spans="1:13" x14ac:dyDescent="0.25">
      <c r="A295" s="26"/>
      <c r="C295" s="3" t="s">
        <v>30</v>
      </c>
    </row>
    <row r="296" spans="1:13" x14ac:dyDescent="0.25">
      <c r="A296" s="26"/>
    </row>
    <row r="297" spans="1:13" x14ac:dyDescent="0.25">
      <c r="A297" s="26"/>
      <c r="C297" s="3" t="str">
        <f>CONCATENATE( "    &lt;piechart percentage=",B286," /&gt;")</f>
        <v xml:space="preserve">    &lt;piechart percentage= /&gt;</v>
      </c>
    </row>
    <row r="298" spans="1:13" x14ac:dyDescent="0.25">
      <c r="A298" s="26"/>
      <c r="C298" s="3" t="str">
        <f>"  &lt;/Analysis&gt;"</f>
        <v xml:space="preserve">  &lt;/Analysis&gt;</v>
      </c>
    </row>
    <row r="299" spans="1:13" s="21" customFormat="1" x14ac:dyDescent="0.25">
      <c r="A299" s="28" t="s">
        <v>70</v>
      </c>
      <c r="B299" s="20" t="s">
        <v>86</v>
      </c>
      <c r="C299" s="21" t="str">
        <f>CONCATENATE("&lt;# ",B299," #&gt;")</f>
        <v>&lt;# Unknown #&gt;</v>
      </c>
    </row>
    <row r="300" spans="1:13" x14ac:dyDescent="0.25">
      <c r="A300" s="14" t="s">
        <v>21</v>
      </c>
      <c r="B300" s="15" t="str">
        <f>K63</f>
        <v>[37325477A&gt;G]</v>
      </c>
    </row>
    <row r="301" spans="1:13" x14ac:dyDescent="0.25">
      <c r="A301" s="14" t="s">
        <v>72</v>
      </c>
      <c r="C301" s="3" t="str">
        <f>CONCATENATE("  &lt;Analysis name=",CHAR(34),B299,CHAR(34), " case=true&gt;")</f>
        <v xml:space="preserve">  &lt;Analysis name="Unknown" case=true&gt;</v>
      </c>
    </row>
    <row r="302" spans="1:13" x14ac:dyDescent="0.25">
      <c r="A302" s="26" t="s">
        <v>75</v>
      </c>
      <c r="B302" s="15" t="s">
        <v>31</v>
      </c>
    </row>
    <row r="303" spans="1:13" x14ac:dyDescent="0.25">
      <c r="A303" s="26" t="s">
        <v>73</v>
      </c>
      <c r="B303" s="15">
        <v>0</v>
      </c>
      <c r="C303" s="3" t="s">
        <v>26</v>
      </c>
    </row>
    <row r="304" spans="1:13" x14ac:dyDescent="0.25">
      <c r="A304" s="26"/>
    </row>
    <row r="305" spans="1:3" x14ac:dyDescent="0.25">
      <c r="A305" s="14"/>
      <c r="C305" s="3" t="str">
        <f>CONCATENATE("    ",B302)</f>
        <v xml:space="preserve">    The effect is unknown.</v>
      </c>
    </row>
    <row r="306" spans="1:3" x14ac:dyDescent="0.25">
      <c r="A306" s="14"/>
    </row>
    <row r="307" spans="1:3" x14ac:dyDescent="0.25">
      <c r="A307" s="14"/>
      <c r="C307" s="3" t="s">
        <v>30</v>
      </c>
    </row>
    <row r="308" spans="1:3" x14ac:dyDescent="0.25">
      <c r="A308" s="26"/>
    </row>
    <row r="309" spans="1:3" x14ac:dyDescent="0.25">
      <c r="A309" s="26"/>
      <c r="C309" s="3" t="str">
        <f>CONCATENATE( "    &lt;piechart percentage=",B303," /&gt;")</f>
        <v xml:space="preserve">    &lt;piechart percentage=0 /&gt;</v>
      </c>
    </row>
    <row r="310" spans="1:3" x14ac:dyDescent="0.25">
      <c r="A310" s="26"/>
      <c r="C310" s="3" t="str">
        <f>"  &lt;/Analysis&gt;"</f>
        <v xml:space="preserve">  &lt;/Analysis&gt;</v>
      </c>
    </row>
    <row r="311" spans="1:3" x14ac:dyDescent="0.25">
      <c r="A311" s="14"/>
      <c r="C311" s="31" t="s">
        <v>78</v>
      </c>
    </row>
    <row r="312" spans="1:3" s="21" customFormat="1" x14ac:dyDescent="0.25">
      <c r="A312" s="19"/>
      <c r="B312" s="20"/>
      <c r="C312" s="35"/>
    </row>
    <row r="313" spans="1:3" x14ac:dyDescent="0.25">
      <c r="A313" s="14" t="s">
        <v>79</v>
      </c>
      <c r="B313" s="15" t="s">
        <v>125</v>
      </c>
      <c r="C313" s="10" t="str">
        <f>CONCATENATE("&lt;# ",A313," ",B313," #&gt;")</f>
        <v>&lt;# Tissues brain D001921 #&gt;</v>
      </c>
    </row>
    <row r="314" spans="1:3" x14ac:dyDescent="0.25">
      <c r="A314" s="14"/>
    </row>
    <row r="315" spans="1:3" x14ac:dyDescent="0.25">
      <c r="A315" s="14"/>
      <c r="B315" s="15" t="s">
        <v>126</v>
      </c>
      <c r="C315" s="31" t="str">
        <f>CONCATENATE("&lt;TopicBar ",B315," /&gt;")</f>
        <v>&lt;TopicBar brain /&gt;</v>
      </c>
    </row>
    <row r="316" spans="1:3" x14ac:dyDescent="0.25">
      <c r="A316" s="14"/>
    </row>
    <row r="317" spans="1:3" x14ac:dyDescent="0.25">
      <c r="A317" s="14" t="s">
        <v>32</v>
      </c>
      <c r="B317" s="15" t="s">
        <v>121</v>
      </c>
      <c r="C317" s="10" t="str">
        <f>CONCATENATE("&lt;# ",A317," ",B317," #&gt;")</f>
        <v>&lt;# Symptoms depression, stress, problems with thinking or memory, brain fog, pain #&gt;</v>
      </c>
    </row>
    <row r="318" spans="1:3" x14ac:dyDescent="0.25">
      <c r="A318" s="14"/>
    </row>
    <row r="319" spans="1:3" x14ac:dyDescent="0.25">
      <c r="A319" s="14"/>
      <c r="B319" s="15" t="s">
        <v>122</v>
      </c>
      <c r="C319" s="31" t="str">
        <f>CONCATENATE("&lt;TopicBar ",B319," /&gt;")</f>
        <v>&lt;TopicBar mesh_D003863 mesh_D040701 mesh_D008569 mesh_D010146 /&gt;</v>
      </c>
    </row>
    <row r="320" spans="1:3" x14ac:dyDescent="0.25">
      <c r="A320" s="14"/>
      <c r="C320" s="31"/>
    </row>
    <row r="321" spans="1:3" x14ac:dyDescent="0.25">
      <c r="A321" s="14" t="s">
        <v>48</v>
      </c>
      <c r="B321" s="15" t="s">
        <v>123</v>
      </c>
      <c r="C321" s="10" t="str">
        <f>CONCATENATE("&lt;# ",A321," ",B321," #&gt;")</f>
        <v>&lt;# Diseases schizophrenia D012559; major depressive disorder D003866; ME/CFS D015673;  #&gt;</v>
      </c>
    </row>
    <row r="322" spans="1:3" x14ac:dyDescent="0.25">
      <c r="A322" s="14"/>
    </row>
    <row r="323" spans="1:3" x14ac:dyDescent="0.25">
      <c r="A323" s="14"/>
      <c r="B323" s="15" t="s">
        <v>124</v>
      </c>
      <c r="C323" s="31" t="str">
        <f>CONCATENATE("&lt;TopicBar ",B323," /&gt;")</f>
        <v>&lt;TopicBar mesh_D012559 mesh_D003866 mesh_D015673 /&gt;</v>
      </c>
    </row>
    <row r="324" spans="1:3" x14ac:dyDescent="0.25">
      <c r="A324" s="14"/>
    </row>
    <row r="325" spans="1:3" s="21" customFormat="1" x14ac:dyDescent="0.25">
      <c r="A325" s="28"/>
      <c r="B325" s="20"/>
    </row>
    <row r="326" spans="1:3" x14ac:dyDescent="0.25">
      <c r="B326" s="30"/>
    </row>
    <row r="328" spans="1:3" x14ac:dyDescent="0.25">
      <c r="B328" s="30"/>
    </row>
    <row r="330" spans="1:3" x14ac:dyDescent="0.25">
      <c r="B330" s="30"/>
    </row>
    <row r="332" spans="1:3" x14ac:dyDescent="0.25">
      <c r="B332" s="30"/>
    </row>
    <row r="334" spans="1:3" x14ac:dyDescent="0.25">
      <c r="B334" s="3"/>
    </row>
    <row r="336" spans="1:3" x14ac:dyDescent="0.25">
      <c r="B336" s="3"/>
    </row>
    <row r="1008" spans="3:3" x14ac:dyDescent="0.25">
      <c r="C1008" s="3" t="str">
        <f>CONCATENATE("    This variant is a change at a specific point in the ",B999," gene from ",B1008," to ",B1009," resulting in incorrect ",B1002,"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14" spans="3:3" x14ac:dyDescent="0.25">
      <c r="C1014" s="3" t="str">
        <f>CONCATENATE("    This variant is a change at a specific point in the ",B999," gene from ",B1014," to ",B1015," resulting in incorrect ",B1002,"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44" spans="3:3" x14ac:dyDescent="0.25">
      <c r="C1144" s="3" t="str">
        <f>CONCATENATE("    This variant is a change at a specific point in the ",B1135," gene from ",B1144," to ",B1145," resulting in incorrect ",B1138,"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0" spans="3:3" x14ac:dyDescent="0.25">
      <c r="C1150" s="3" t="str">
        <f>CONCATENATE("    This variant is a change at a specific point in the ",B1135," gene from ",B1150," to ",B1151," resulting in incorrect ",B1138,"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52" spans="3:3" x14ac:dyDescent="0.25">
      <c r="C1552" s="3" t="str">
        <f>CONCATENATE("    This variant is a change at a specific point in the ",B1543," gene from ",B1552," to ",B1553," resulting in incorrect ",B1546,"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58" spans="3:3" x14ac:dyDescent="0.25">
      <c r="C1558" s="3" t="str">
        <f>CONCATENATE("    This variant is a change at a specific point in the ",B1543," gene from ",B1558," to ",B1559," resulting in incorrect ",B1546,"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88" spans="3:3" x14ac:dyDescent="0.25">
      <c r="C1688" s="3" t="str">
        <f>CONCATENATE("    This variant is a change at a specific point in the ",B1679," gene from ",B1688," to ",B1689," resulting in incorrect ",B1682,"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94" spans="3:3" x14ac:dyDescent="0.25">
      <c r="C1694" s="3" t="str">
        <f>CONCATENATE("    This variant is a change at a specific point in the ",B1679," gene from ",B1694," to ",B1695," resulting in incorrect ",B1682,"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24" spans="3:3" x14ac:dyDescent="0.25">
      <c r="C1824" s="3" t="str">
        <f>CONCATENATE("    This variant is a change at a specific point in the ",B1815," gene from ",B1824," to ",B1825," resulting in incorrect ",B1818,"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0" spans="3:3" x14ac:dyDescent="0.25">
      <c r="C1830" s="3" t="str">
        <f>CONCATENATE("    This variant is a change at a specific point in the ",B1815," gene from ",B1830," to ",B1831," resulting in incorrect ",B1818,"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60" spans="3:3" x14ac:dyDescent="0.25">
      <c r="C1960" s="3" t="str">
        <f>CONCATENATE("    This variant is a change at a specific point in the ",B1951," gene from ",B1960," to ",B1961," resulting in incorrect ",B1954,"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66" spans="3:3" x14ac:dyDescent="0.25">
      <c r="C1966" s="3" t="str">
        <f>CONCATENATE("    This variant is a change at a specific point in the ",B1951," gene from ",B1966," to ",B1967," resulting in incorrect ",B1954,"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96" spans="3:3" x14ac:dyDescent="0.25">
      <c r="C2096" s="3" t="str">
        <f>CONCATENATE("    This variant is a change at a specific point in the ",B2087," gene from ",B2096," to ",B2097," resulting in incorrect ",B2090,"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2" spans="3:3" x14ac:dyDescent="0.25">
      <c r="C2102" s="3" t="str">
        <f>CONCATENATE("    This variant is a change at a specific point in the ",B2087," gene from ",B2102," to ",B2103," resulting in incorrect ",B2090,"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32" spans="3:3" x14ac:dyDescent="0.25">
      <c r="C2232" s="3" t="str">
        <f>CONCATENATE("    This variant is a change at a specific point in the ",B2223," gene from ",B2232," to ",B2233," resulting in incorrect ",B2226,"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38" spans="3:3" x14ac:dyDescent="0.25">
      <c r="C2238" s="3" t="str">
        <f>CONCATENATE("    This variant is a change at a specific point in the ",B2223," gene from ",B2238," to ",B2239," resulting in incorrect ",B2226,"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68" spans="3:3" x14ac:dyDescent="0.25">
      <c r="C2368" s="3" t="str">
        <f>CONCATENATE("    This variant is a change at a specific point in the ",B2359," gene from ",B2368," to ",B2369," resulting in incorrect ",B2362,"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74" spans="3:3" x14ac:dyDescent="0.25">
      <c r="C2374" s="3" t="str">
        <f>CONCATENATE("    This variant is a change at a specific point in the ",B2359," gene from ",B2374," to ",B2375," resulting in incorrect ",B2362,"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04" spans="3:3" x14ac:dyDescent="0.25">
      <c r="C2504" s="3" t="str">
        <f>CONCATENATE("    This variant is a change at a specific point in the ",B2495," gene from ",B2504," to ",B2505," resulting in incorrect ",B2498,"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0" spans="3:3" x14ac:dyDescent="0.25">
      <c r="C2510" s="3" t="str">
        <f>CONCATENATE("    This variant is a change at a specific point in the ",B2495," gene from ",B2510," to ",B2511," resulting in incorrect ",B2498,"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2E768-41AD-4F4B-8A67-E6B6F17B78F2}">
  <dimension ref="A1:AJ2510"/>
  <sheetViews>
    <sheetView workbookViewId="0">
      <selection activeCell="C323" sqref="C2:C323"/>
    </sheetView>
  </sheetViews>
  <sheetFormatPr defaultRowHeight="15.75" x14ac:dyDescent="0.25"/>
  <cols>
    <col min="1" max="1" width="16.28515625" style="3" customWidth="1"/>
    <col min="2" max="2" width="58.28515625" style="15" customWidth="1"/>
    <col min="3" max="6" width="9.140625" style="3"/>
    <col min="7" max="7" width="10.28515625" style="3" bestFit="1" customWidth="1"/>
    <col min="8" max="8" width="13" style="3" customWidth="1"/>
    <col min="9" max="9" width="13.4257812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8" t="s">
        <v>0</v>
      </c>
      <c r="B1" s="9" t="s">
        <v>1</v>
      </c>
      <c r="C1" s="8" t="s">
        <v>2</v>
      </c>
      <c r="H1" s="10"/>
      <c r="I1" s="11"/>
      <c r="J1" s="10"/>
      <c r="K1" s="10"/>
      <c r="L1" s="10"/>
      <c r="Y1" s="12"/>
      <c r="AC1" s="12"/>
      <c r="AF1" s="13"/>
      <c r="AG1" s="13"/>
      <c r="AJ1" s="13"/>
    </row>
    <row r="2" spans="1:36" x14ac:dyDescent="0.25">
      <c r="A2" s="14" t="s">
        <v>35</v>
      </c>
      <c r="B2" t="s">
        <v>238</v>
      </c>
      <c r="C2" s="3" t="str">
        <f>CONCATENATE("&lt;",A2," ",B2," /&gt;")</f>
        <v>&lt;Gene_Name CHRNE /&gt;</v>
      </c>
      <c r="D2" s="15"/>
      <c r="H2" s="10"/>
      <c r="I2" s="11"/>
      <c r="J2" s="10"/>
      <c r="K2" s="10"/>
      <c r="L2" s="10"/>
      <c r="Y2" s="12"/>
      <c r="AC2" s="12"/>
      <c r="AF2" s="13"/>
      <c r="AG2" s="13"/>
      <c r="AJ2" s="13"/>
    </row>
    <row r="3" spans="1:36" x14ac:dyDescent="0.25">
      <c r="A3" s="8"/>
      <c r="B3" s="9"/>
      <c r="C3" s="8"/>
      <c r="D3" s="15"/>
      <c r="H3" s="10"/>
      <c r="I3" s="11"/>
      <c r="J3" s="10"/>
      <c r="K3" s="10"/>
      <c r="L3" s="10"/>
      <c r="Y3" s="12"/>
      <c r="AC3" s="12"/>
      <c r="AF3" s="13"/>
      <c r="AG3" s="13"/>
      <c r="AJ3" s="13"/>
    </row>
    <row r="4" spans="1:36" x14ac:dyDescent="0.25">
      <c r="A4" s="14" t="s">
        <v>37</v>
      </c>
      <c r="B4" s="15" t="s">
        <v>257</v>
      </c>
      <c r="C4" s="3" t="str">
        <f>CONCATENATE("&lt;",A4," ",B4," /&gt;")</f>
        <v>&lt;GeneName_full cholinergic receptor nicotinic epsilon subunit /&gt;</v>
      </c>
      <c r="D4" s="15"/>
      <c r="H4" s="10"/>
      <c r="I4" s="11"/>
      <c r="J4" s="10"/>
      <c r="K4" s="10"/>
      <c r="L4" s="10"/>
      <c r="Y4" s="12"/>
      <c r="AC4" s="12"/>
      <c r="AF4" s="13"/>
      <c r="AG4" s="13"/>
      <c r="AJ4" s="13"/>
    </row>
    <row r="5" spans="1:36" x14ac:dyDescent="0.25">
      <c r="A5" s="14"/>
      <c r="B5" s="9"/>
      <c r="C5" s="8"/>
      <c r="D5" s="15"/>
      <c r="H5" s="10"/>
      <c r="I5" s="11"/>
      <c r="J5" s="10"/>
      <c r="K5" s="10"/>
      <c r="L5" s="10"/>
      <c r="Y5" s="12"/>
      <c r="AC5" s="12"/>
      <c r="AF5" s="13"/>
      <c r="AG5" s="13"/>
      <c r="AJ5" s="13"/>
    </row>
    <row r="6" spans="1:36" x14ac:dyDescent="0.25">
      <c r="A6" s="14"/>
      <c r="B6" s="3"/>
      <c r="C6" s="3" t="str">
        <f>CONCATENATE("# What does the ",B2," gene do?")</f>
        <v># What does the CHRNE gene do?</v>
      </c>
      <c r="H6" s="10"/>
      <c r="I6" s="11"/>
      <c r="J6" s="10"/>
      <c r="K6" s="10"/>
      <c r="L6" s="10"/>
      <c r="Y6" s="16"/>
      <c r="Z6" s="16"/>
      <c r="AA6" s="16"/>
      <c r="AC6" s="16"/>
      <c r="AF6" s="13"/>
      <c r="AJ6" s="13"/>
    </row>
    <row r="7" spans="1:36" x14ac:dyDescent="0.25">
      <c r="A7" s="14"/>
      <c r="I7" s="17"/>
      <c r="Y7" s="16"/>
      <c r="Z7" s="16"/>
      <c r="AA7" s="16"/>
      <c r="AC7" s="16"/>
      <c r="AF7" s="13"/>
      <c r="AJ7" s="13"/>
    </row>
    <row r="8" spans="1:36" x14ac:dyDescent="0.25">
      <c r="A8" s="14" t="s">
        <v>5</v>
      </c>
      <c r="B8" s="37" t="s">
        <v>256</v>
      </c>
      <c r="C8" s="3" t="str">
        <f>CONCATENATE(B8," This gene is located on chromosome ",B9,".")</f>
        <v>The [CHRNE](https://www.uniprot.org/uniprot/Q04844) gene encodes a protein found in the connection between motor neurons and muscle fibers. It is involved in [muscle contractions, response to nicotine, synaptic transmission, and the transport of electrically charged particles (ions) essential for proper cellular function.](http://www.uniprot.org/uniprot/Q04844#function) Variants in CHRNE are associated with [autoimmune disorders](https://www.omim.org/entry/254200) and [progressive](https://www.omim.org/entry/605809)[muscle](https://www.omim.org/entry/616324)[weakness](https://www.omim.org/entry/608931). Other variants are associated with decreased function of [natural killer cells (NKC)](https://www.ncbi.nlm.nih.gov/pubmed/27099524), a type of white blood cell that helps the body respond to viral infections. This gene is located on chromosome 17.</v>
      </c>
      <c r="I8" s="17"/>
      <c r="X8" s="18"/>
      <c r="Y8" s="16"/>
      <c r="Z8" s="16"/>
      <c r="AA8" s="16"/>
      <c r="AC8" s="16"/>
    </row>
    <row r="9" spans="1:36" x14ac:dyDescent="0.25">
      <c r="A9" s="14" t="s">
        <v>6</v>
      </c>
      <c r="B9" s="2">
        <v>17</v>
      </c>
      <c r="I9" s="17"/>
      <c r="Y9" s="16"/>
      <c r="Z9" s="16"/>
      <c r="AA9" s="16"/>
      <c r="AC9" s="16"/>
    </row>
    <row r="10" spans="1:36" x14ac:dyDescent="0.25">
      <c r="A10" s="14" t="s">
        <v>7</v>
      </c>
      <c r="B10" s="2" t="s">
        <v>40</v>
      </c>
      <c r="Y10" s="12"/>
      <c r="AC10" s="16"/>
    </row>
    <row r="11" spans="1:36" s="21" customFormat="1" ht="16.5" thickBot="1" x14ac:dyDescent="0.3">
      <c r="A11" s="19"/>
      <c r="B11" s="20"/>
    </row>
    <row r="12" spans="1:36" ht="16.5" thickBot="1" x14ac:dyDescent="0.3">
      <c r="A12" s="14" t="s">
        <v>3</v>
      </c>
      <c r="B12" t="s">
        <v>238</v>
      </c>
      <c r="C12" s="3" t="str">
        <f>CONCATENATE("&lt;GeneMap name= ",CHAR(34),B12,CHAR(34)," interval=",CHAR(34),B13,"=",CHAR(34),"&gt;")</f>
        <v>&lt;GeneMap name= "CHRNE" interval="NC_000017.10:g.4801064_4806369="&gt;</v>
      </c>
      <c r="J12" s="23"/>
      <c r="K12" s="23"/>
      <c r="L12" s="23"/>
      <c r="M12" s="23"/>
      <c r="N12" s="23"/>
      <c r="O12" s="24"/>
      <c r="P12" s="25"/>
      <c r="Q12" s="24"/>
      <c r="R12" s="24"/>
      <c r="S12" s="25"/>
      <c r="T12" s="25"/>
      <c r="U12" s="24"/>
      <c r="V12" s="24"/>
      <c r="W12" s="25"/>
      <c r="X12" s="25"/>
      <c r="Y12" s="25"/>
      <c r="Z12" s="25"/>
    </row>
    <row r="13" spans="1:36" x14ac:dyDescent="0.25">
      <c r="A13" s="14" t="s">
        <v>9</v>
      </c>
      <c r="B13" t="s">
        <v>255</v>
      </c>
      <c r="J13" s="15"/>
      <c r="K13" s="15"/>
      <c r="L13" s="15"/>
      <c r="M13" s="15"/>
      <c r="N13" s="15"/>
      <c r="O13" s="15"/>
      <c r="P13" s="15"/>
      <c r="Q13" s="15"/>
      <c r="R13" s="15"/>
      <c r="S13" s="15"/>
      <c r="T13" s="15"/>
      <c r="U13" s="15"/>
      <c r="V13" s="15"/>
      <c r="W13" s="15"/>
      <c r="X13" s="15"/>
      <c r="Y13" s="15"/>
      <c r="Z13" s="15"/>
    </row>
    <row r="14" spans="1:36" x14ac:dyDescent="0.25">
      <c r="A14" s="14" t="s">
        <v>11</v>
      </c>
      <c r="B14" t="s">
        <v>12</v>
      </c>
      <c r="C14" s="3" t="str">
        <f>CONCATENATE("# What are some common variants of ",B12,"?")</f>
        <v># What are some common variants of CHRNE?</v>
      </c>
      <c r="J14" s="15"/>
      <c r="K14" s="15"/>
      <c r="L14" s="15"/>
      <c r="M14" s="15"/>
      <c r="N14" s="15"/>
      <c r="O14" s="15"/>
      <c r="P14" s="15"/>
      <c r="Q14" s="15"/>
      <c r="R14" s="15"/>
      <c r="S14" s="15"/>
      <c r="T14" s="15"/>
      <c r="U14" s="15"/>
      <c r="V14" s="15"/>
      <c r="W14" s="15"/>
      <c r="X14" s="15"/>
      <c r="Y14" s="15"/>
      <c r="Z14" s="15"/>
    </row>
    <row r="15" spans="1:36" x14ac:dyDescent="0.25">
      <c r="A15" s="14"/>
      <c r="B15" s="2"/>
      <c r="C15" s="3" t="s">
        <v>13</v>
      </c>
      <c r="J15" s="15"/>
      <c r="K15" s="15"/>
      <c r="L15" s="15"/>
      <c r="M15" s="15"/>
      <c r="N15" s="15"/>
      <c r="O15" s="15"/>
      <c r="P15" s="15"/>
      <c r="Q15" s="15"/>
      <c r="R15" s="15"/>
      <c r="S15" s="15"/>
      <c r="T15" s="15"/>
      <c r="U15" s="15"/>
      <c r="V15" s="15"/>
      <c r="W15" s="15"/>
      <c r="X15" s="15"/>
      <c r="Y15" s="15"/>
      <c r="Z15" s="15"/>
    </row>
    <row r="16" spans="1:36" x14ac:dyDescent="0.25">
      <c r="B16" s="2"/>
      <c r="C16" s="3" t="str">
        <f>CONCATENATE("A variant is a change at a specific point in the gene from the expected nucleotide sequence to another, resulting in incorrect ", B10," function. There are ",B14," common variants in ",B12,": ",B22," and ",B31,".")</f>
        <v>A variant is a change at a specific point in the gene from the expected nucleotide sequence to another, resulting in incorrect protein function. There are two common variants in CHRNE: [G1074A](https://www.ncbi.nlm.nih.gov/clinvar/variation/128767/) and [C865T](https://www.ncbi.nlm.nih.gov/clinvar/variation/18344/).</v>
      </c>
      <c r="J16" s="15"/>
      <c r="K16" s="15"/>
      <c r="L16" s="15"/>
      <c r="M16" s="15"/>
      <c r="N16" s="15"/>
      <c r="O16" s="15"/>
      <c r="P16" s="15"/>
      <c r="Q16" s="15"/>
      <c r="R16" s="15"/>
      <c r="S16" s="15"/>
      <c r="T16" s="15"/>
      <c r="U16" s="15"/>
      <c r="V16" s="15"/>
      <c r="W16" s="15"/>
      <c r="X16" s="15"/>
      <c r="Y16" s="15"/>
      <c r="Z16" s="15"/>
    </row>
    <row r="17" spans="1:26" x14ac:dyDescent="0.25">
      <c r="B17" s="2"/>
      <c r="J17" s="15"/>
      <c r="K17" s="15"/>
      <c r="L17" s="15"/>
      <c r="M17" s="15"/>
      <c r="N17" s="15"/>
      <c r="O17" s="15"/>
      <c r="P17" s="15"/>
      <c r="Q17" s="15"/>
      <c r="R17" s="15"/>
      <c r="S17" s="15"/>
      <c r="T17" s="15"/>
      <c r="U17" s="15"/>
      <c r="V17" s="15"/>
      <c r="W17" s="15"/>
      <c r="X17" s="15"/>
      <c r="Y17" s="15"/>
      <c r="Z17" s="15"/>
    </row>
    <row r="18" spans="1:26" x14ac:dyDescent="0.25">
      <c r="A18" s="14" t="s">
        <v>14</v>
      </c>
      <c r="B18" s="3" t="s">
        <v>245</v>
      </c>
      <c r="C18" s="3" t="str">
        <f>CONCATENATE("&lt;# ",B19," #&gt;")</f>
        <v>&lt;# G1074A #&gt;</v>
      </c>
      <c r="J18" s="15"/>
      <c r="K18" s="15"/>
      <c r="L18" s="15"/>
      <c r="M18" s="15"/>
      <c r="N18" s="15"/>
      <c r="O18" s="15"/>
      <c r="P18" s="15"/>
      <c r="Q18" s="15"/>
      <c r="R18" s="15"/>
      <c r="S18" s="15"/>
      <c r="T18" s="15"/>
      <c r="U18" s="15"/>
      <c r="V18" s="15"/>
      <c r="W18" s="15"/>
      <c r="X18" s="15"/>
      <c r="Y18" s="15"/>
      <c r="Z18" s="15"/>
    </row>
    <row r="19" spans="1:26" x14ac:dyDescent="0.25">
      <c r="A19" s="26" t="s">
        <v>15</v>
      </c>
      <c r="B19" s="6" t="s">
        <v>244</v>
      </c>
      <c r="J19" s="6"/>
      <c r="K19" s="15"/>
      <c r="L19" s="15"/>
      <c r="M19" s="15"/>
      <c r="N19" s="15"/>
      <c r="O19" s="15"/>
      <c r="P19" s="15"/>
      <c r="Q19" s="15"/>
      <c r="R19" s="15"/>
      <c r="S19" s="15"/>
      <c r="T19" s="15"/>
      <c r="U19" s="15"/>
      <c r="V19" s="15"/>
      <c r="W19" s="15"/>
      <c r="X19" s="15"/>
      <c r="Y19" s="15"/>
      <c r="Z19" s="15"/>
    </row>
    <row r="20" spans="1:26" x14ac:dyDescent="0.25">
      <c r="A20" s="26" t="s">
        <v>17</v>
      </c>
      <c r="B20" s="2" t="s">
        <v>44</v>
      </c>
      <c r="C20" s="3" t="str">
        <f>CONCATENATE("  &lt;Variant hgvs=",CHAR(34),B18,CHAR(34)," name=",CHAR(34),B19,CHAR(34),"&gt; ")</f>
        <v xml:space="preserve">  &lt;Variant hgvs="NC_000017.10:g.4804902G&gt;A" name="G1074A"&gt; </v>
      </c>
      <c r="J20" s="2"/>
      <c r="K20" s="15"/>
      <c r="L20" s="15"/>
      <c r="M20" s="15"/>
      <c r="N20" s="15"/>
      <c r="O20" s="15"/>
      <c r="P20" s="15"/>
      <c r="Q20" s="15"/>
      <c r="R20" s="15"/>
      <c r="S20" s="15"/>
      <c r="T20" s="15"/>
      <c r="U20" s="15"/>
      <c r="V20" s="15"/>
      <c r="W20" s="15"/>
      <c r="X20" s="15"/>
      <c r="Y20" s="15"/>
      <c r="Z20" s="15"/>
    </row>
    <row r="21" spans="1:26" x14ac:dyDescent="0.25">
      <c r="A21" s="26" t="s">
        <v>19</v>
      </c>
      <c r="B21" s="2" t="s">
        <v>24</v>
      </c>
      <c r="H21" s="15"/>
      <c r="I21" s="15"/>
      <c r="J21" s="2"/>
      <c r="K21" s="15"/>
      <c r="L21" s="15"/>
      <c r="M21" s="15"/>
      <c r="N21" s="15"/>
      <c r="O21" s="15"/>
      <c r="P21" s="15"/>
      <c r="Q21" s="15"/>
      <c r="R21" s="15"/>
      <c r="S21" s="15"/>
      <c r="T21" s="15"/>
      <c r="U21" s="15"/>
      <c r="V21" s="15"/>
      <c r="W21" s="15"/>
      <c r="X21" s="15"/>
      <c r="Y21" s="15"/>
      <c r="Z21" s="15"/>
    </row>
    <row r="22" spans="1:26" x14ac:dyDescent="0.25">
      <c r="A22" s="26" t="s">
        <v>21</v>
      </c>
      <c r="B22" s="7" t="s">
        <v>246</v>
      </c>
      <c r="C22" s="3" t="str">
        <f>CONCATENATE("    Instead of ",B20,", there is an ",B21," nucleotide.")</f>
        <v xml:space="preserve">    Instead of guanine (G), there is an adenine (A) nucleotide.</v>
      </c>
      <c r="H22" s="15"/>
      <c r="I22" s="15"/>
      <c r="J22" s="7"/>
      <c r="K22" s="15"/>
      <c r="L22" s="15"/>
      <c r="M22" s="15"/>
      <c r="N22" s="15"/>
      <c r="O22" s="15"/>
      <c r="P22" s="15"/>
      <c r="Q22" s="15"/>
      <c r="R22" s="15"/>
      <c r="S22" s="15"/>
      <c r="T22" s="15"/>
      <c r="U22" s="15"/>
      <c r="V22" s="15"/>
      <c r="W22" s="15"/>
      <c r="X22" s="15"/>
      <c r="Y22" s="15"/>
      <c r="Z22" s="15"/>
    </row>
    <row r="23" spans="1:26" x14ac:dyDescent="0.25">
      <c r="A23" s="3" t="s">
        <v>65</v>
      </c>
      <c r="B23" s="3" t="s">
        <v>249</v>
      </c>
      <c r="H23" s="2"/>
      <c r="I23" s="2"/>
      <c r="J23" s="15"/>
      <c r="K23" s="15"/>
      <c r="L23" s="15"/>
      <c r="M23" s="15"/>
      <c r="N23" s="15"/>
      <c r="O23" s="15"/>
      <c r="P23" s="15"/>
      <c r="Q23" s="15"/>
      <c r="R23" s="15"/>
      <c r="S23" s="15"/>
      <c r="T23" s="15"/>
      <c r="U23" s="15"/>
      <c r="V23" s="15"/>
      <c r="W23" s="15"/>
      <c r="X23" s="15"/>
      <c r="Y23" s="15"/>
      <c r="Z23" s="15"/>
    </row>
    <row r="24" spans="1:26" x14ac:dyDescent="0.25">
      <c r="A24" s="3" t="s">
        <v>51</v>
      </c>
      <c r="B24" s="7" t="s">
        <v>250</v>
      </c>
      <c r="C24" s="3" t="str">
        <f>"  &lt;/Variant&gt;"</f>
        <v xml:space="preserve">  &lt;/Variant&gt;</v>
      </c>
      <c r="H24" s="2"/>
      <c r="I24" s="2"/>
      <c r="J24" s="15"/>
      <c r="K24" s="15"/>
      <c r="L24" s="15"/>
      <c r="M24" s="15"/>
      <c r="N24" s="15"/>
      <c r="O24" s="15"/>
      <c r="P24" s="15"/>
      <c r="Q24" s="15"/>
      <c r="R24" s="15"/>
      <c r="S24" s="15"/>
      <c r="T24" s="15"/>
      <c r="U24" s="15"/>
      <c r="V24" s="15"/>
      <c r="W24" s="15"/>
      <c r="X24" s="15"/>
      <c r="Y24" s="15"/>
      <c r="Z24" s="15"/>
    </row>
    <row r="25" spans="1:26" x14ac:dyDescent="0.25">
      <c r="A25" s="26" t="s">
        <v>52</v>
      </c>
      <c r="B25" s="7" t="s">
        <v>251</v>
      </c>
      <c r="J25" s="6"/>
    </row>
    <row r="26" spans="1:26" x14ac:dyDescent="0.25">
      <c r="A26" s="26"/>
      <c r="B26" s="7"/>
      <c r="J26" s="6"/>
    </row>
    <row r="27" spans="1:26" x14ac:dyDescent="0.25">
      <c r="A27" s="14" t="s">
        <v>14</v>
      </c>
      <c r="B27" s="3" t="s">
        <v>241</v>
      </c>
      <c r="C27" s="3" t="str">
        <f>CONCATENATE("&lt;# ",B28," #&gt;")</f>
        <v>&lt;# C865T #&gt;</v>
      </c>
      <c r="J27" s="6"/>
    </row>
    <row r="28" spans="1:26" x14ac:dyDescent="0.25">
      <c r="A28" s="26" t="s">
        <v>15</v>
      </c>
      <c r="B28" s="7" t="s">
        <v>247</v>
      </c>
      <c r="J28" s="2"/>
    </row>
    <row r="29" spans="1:26" x14ac:dyDescent="0.25">
      <c r="A29" s="26" t="s">
        <v>17</v>
      </c>
      <c r="B29" s="2" t="str">
        <f>"cytosine (C)"</f>
        <v>cytosine (C)</v>
      </c>
      <c r="C29" s="3" t="str">
        <f>CONCATENATE("  &lt;Variant hgvs=",CHAR(34),B27,CHAR(34)," name=",CHAR(34),B28,CHAR(34),"&gt; ")</f>
        <v xml:space="preserve">  &lt;Variant hgvs="NC_000005.9:g.142709986C&gt;T" name="C865T"&gt; </v>
      </c>
      <c r="J29" s="2"/>
    </row>
    <row r="30" spans="1:26" x14ac:dyDescent="0.25">
      <c r="A30" s="26" t="s">
        <v>19</v>
      </c>
      <c r="B30" s="2" t="s">
        <v>20</v>
      </c>
      <c r="J30" s="7"/>
    </row>
    <row r="31" spans="1:26" x14ac:dyDescent="0.25">
      <c r="A31" s="26" t="s">
        <v>21</v>
      </c>
      <c r="B31" s="7" t="s">
        <v>248</v>
      </c>
      <c r="C31" s="3" t="str">
        <f>CONCATENATE("    Instead of ",B29,", there is a ",B30," nucleotide.")</f>
        <v xml:space="preserve">    Instead of cytosine (C), there is a thymine (T) nucleotide.</v>
      </c>
    </row>
    <row r="32" spans="1:26" x14ac:dyDescent="0.25">
      <c r="A32" s="3" t="s">
        <v>65</v>
      </c>
      <c r="B32" s="3" t="s">
        <v>252</v>
      </c>
      <c r="J32" s="7"/>
    </row>
    <row r="33" spans="1:17" x14ac:dyDescent="0.25">
      <c r="A33" s="3" t="s">
        <v>51</v>
      </c>
      <c r="B33" s="3" t="s">
        <v>253</v>
      </c>
      <c r="C33" s="3" t="str">
        <f>"  &lt;/Variant&gt;"</f>
        <v xml:space="preserve">  &lt;/Variant&gt;</v>
      </c>
      <c r="J33" s="7"/>
    </row>
    <row r="34" spans="1:17" x14ac:dyDescent="0.25">
      <c r="A34" s="26" t="s">
        <v>52</v>
      </c>
      <c r="B34" s="7" t="s">
        <v>254</v>
      </c>
      <c r="N34" s="3" t="s">
        <v>239</v>
      </c>
      <c r="O34" s="3" t="s">
        <v>240</v>
      </c>
      <c r="Q34" s="3" t="s">
        <v>241</v>
      </c>
    </row>
    <row r="35" spans="1:17" x14ac:dyDescent="0.25">
      <c r="B35" s="3"/>
      <c r="N35" s="3" t="s">
        <v>242</v>
      </c>
      <c r="O35" s="3" t="s">
        <v>243</v>
      </c>
      <c r="P35" s="3" t="s">
        <v>244</v>
      </c>
      <c r="Q35" s="3" t="s">
        <v>245</v>
      </c>
    </row>
    <row r="36" spans="1:17" s="21" customFormat="1" x14ac:dyDescent="0.25">
      <c r="A36" s="28"/>
      <c r="B36" s="20"/>
    </row>
    <row r="37" spans="1:17" s="10" customFormat="1" x14ac:dyDescent="0.25">
      <c r="A37" s="32"/>
      <c r="B37" s="33"/>
      <c r="C37" s="34" t="s">
        <v>62</v>
      </c>
      <c r="L37" s="38"/>
    </row>
    <row r="38" spans="1:17" s="10" customFormat="1" x14ac:dyDescent="0.25">
      <c r="A38" s="32"/>
      <c r="B38" s="33"/>
      <c r="K38" s="3" t="s">
        <v>239</v>
      </c>
      <c r="L38" s="3" t="s">
        <v>242</v>
      </c>
      <c r="M38" s="11" t="s">
        <v>109</v>
      </c>
    </row>
    <row r="39" spans="1:17" s="21" customFormat="1" x14ac:dyDescent="0.25">
      <c r="A39" s="28" t="s">
        <v>70</v>
      </c>
      <c r="B39" s="20" t="str">
        <f>CONCATENATE(B19," (T;G)")</f>
        <v>G1074A (T;G)</v>
      </c>
      <c r="K39" s="21" t="str">
        <f>B19</f>
        <v>G1074A</v>
      </c>
      <c r="L39" s="21" t="str">
        <f>B28</f>
        <v>C865T</v>
      </c>
      <c r="M39" s="21" t="e">
        <f>#REF!</f>
        <v>#REF!</v>
      </c>
    </row>
    <row r="40" spans="1:17" s="10" customFormat="1" x14ac:dyDescent="0.25">
      <c r="A40" s="3" t="s">
        <v>21</v>
      </c>
      <c r="B40" s="29" t="str">
        <f>K43</f>
        <v>NC_000017.10:g.[4804902G&gt;A];[4804902=]</v>
      </c>
      <c r="J40" s="3"/>
      <c r="K40" s="22" t="str">
        <f>B23</f>
        <v>NC_000017.10:g.</v>
      </c>
      <c r="L40" s="22" t="str">
        <f>B32</f>
        <v>NC_000005.9:g.</v>
      </c>
      <c r="M40" s="10" t="e">
        <f>#REF!</f>
        <v>#REF!</v>
      </c>
    </row>
    <row r="41" spans="1:17" x14ac:dyDescent="0.25">
      <c r="B41" s="29"/>
      <c r="J41" s="3" t="s">
        <v>21</v>
      </c>
      <c r="K41" s="15" t="str">
        <f>B24</f>
        <v>[4804902G&gt;A]</v>
      </c>
      <c r="L41" s="22" t="str">
        <f>B33</f>
        <v>[142709986C&gt;T]</v>
      </c>
      <c r="M41" s="10" t="e">
        <f>#REF!</f>
        <v>#REF!</v>
      </c>
    </row>
    <row r="42" spans="1:17" x14ac:dyDescent="0.25">
      <c r="A42" s="5" t="s">
        <v>27</v>
      </c>
      <c r="B42" s="2" t="str">
        <f>CONCATENATE("People with this variant have one copy of the ",B22," variant. This substitution of a single nucleotide is known as a missense mutation.")</f>
        <v>People with this variant have one copy of the [G1074A](https://www.ncbi.nlm.nih.gov/clinvar/variation/128767/) variant. This substitution of a single nucleotide is known as a missense mutation.</v>
      </c>
      <c r="J42" s="3" t="s">
        <v>52</v>
      </c>
      <c r="K42" s="15" t="str">
        <f>B25</f>
        <v>[4804902=]</v>
      </c>
      <c r="L42" s="22" t="str">
        <f>B34</f>
        <v>[142709986=]</v>
      </c>
      <c r="M42" s="10" t="e">
        <f>#REF!</f>
        <v>#REF!</v>
      </c>
    </row>
    <row r="43" spans="1:17" x14ac:dyDescent="0.25">
      <c r="A43" s="1" t="s">
        <v>28</v>
      </c>
      <c r="B43" s="29" t="s">
        <v>112</v>
      </c>
      <c r="J43" s="3" t="s">
        <v>63</v>
      </c>
      <c r="K43" s="15" t="str">
        <f>CONCATENATE(K40,K41,";",K42)</f>
        <v>NC_000017.10:g.[4804902G&gt;A];[4804902=]</v>
      </c>
      <c r="L43" s="15" t="str">
        <f>CONCATENATE(L40,L41,";",L42)</f>
        <v>NC_000005.9:g.[142709986C&gt;T];[142709986=]</v>
      </c>
      <c r="M43" s="15" t="e">
        <f>CONCATENATE(M40,M41,";",M42)</f>
        <v>#REF!</v>
      </c>
    </row>
    <row r="44" spans="1:17" x14ac:dyDescent="0.25">
      <c r="A44" s="3" t="s">
        <v>73</v>
      </c>
      <c r="B44" s="29">
        <f>K46</f>
        <v>7.1</v>
      </c>
      <c r="J44" s="3" t="s">
        <v>64</v>
      </c>
      <c r="K44" s="15" t="str">
        <f>CONCATENATE(K40,K41,";",K41)</f>
        <v>NC_000017.10:g.[4804902G&gt;A];[4804902G&gt;A]</v>
      </c>
      <c r="L44" s="15" t="str">
        <f>CONCATENATE(L40,L41,";",L41)</f>
        <v>NC_000005.9:g.[142709986C&gt;T];[142709986C&gt;T]</v>
      </c>
      <c r="M44" s="15" t="e">
        <f>CONCATENATE(M40,M41,";",M41)</f>
        <v>#REF!</v>
      </c>
    </row>
    <row r="45" spans="1:17" x14ac:dyDescent="0.25">
      <c r="J45" s="3" t="s">
        <v>52</v>
      </c>
      <c r="K45" s="2" t="str">
        <f>CONCATENATE(K40,K42,";",K42)</f>
        <v>NC_000017.10:g.[4804902=];[4804902=]</v>
      </c>
      <c r="L45" s="2" t="str">
        <f>CONCATENATE(L40,L42,";",L42)</f>
        <v>NC_000005.9:g.[142709986=];[142709986=]</v>
      </c>
      <c r="M45" s="2" t="e">
        <f>CONCATENATE(M40,M42,";",M42)</f>
        <v>#REF!</v>
      </c>
    </row>
    <row r="46" spans="1:17" x14ac:dyDescent="0.25">
      <c r="J46" s="3" t="s">
        <v>67</v>
      </c>
      <c r="K46">
        <v>7.1</v>
      </c>
      <c r="L46" s="2"/>
      <c r="M46" s="2">
        <v>15.8</v>
      </c>
    </row>
    <row r="47" spans="1:17" x14ac:dyDescent="0.25">
      <c r="A47" s="14"/>
      <c r="J47" s="3" t="s">
        <v>68</v>
      </c>
      <c r="K47">
        <v>0.2</v>
      </c>
      <c r="L47" s="2"/>
      <c r="M47" s="2">
        <v>4.7</v>
      </c>
    </row>
    <row r="48" spans="1:17" x14ac:dyDescent="0.25">
      <c r="A48" s="26"/>
      <c r="J48" s="3" t="s">
        <v>69</v>
      </c>
      <c r="K48" s="2">
        <v>92.7</v>
      </c>
      <c r="L48" s="2"/>
      <c r="M48" s="2">
        <v>79.5</v>
      </c>
    </row>
    <row r="49" spans="1:13" x14ac:dyDescent="0.25">
      <c r="A49" s="14"/>
      <c r="K49"/>
      <c r="L49" s="2"/>
      <c r="M49" s="2"/>
    </row>
    <row r="50" spans="1:13" x14ac:dyDescent="0.25">
      <c r="A50" s="14"/>
      <c r="K50" s="15"/>
      <c r="L50" s="15"/>
      <c r="M50" s="15"/>
    </row>
    <row r="51" spans="1:13" x14ac:dyDescent="0.25">
      <c r="A51" s="26"/>
      <c r="K51" s="15"/>
      <c r="L51" s="15"/>
      <c r="M51" s="15"/>
    </row>
    <row r="52" spans="1:13" x14ac:dyDescent="0.25">
      <c r="A52" s="14"/>
      <c r="K52" s="2"/>
      <c r="L52" s="2"/>
      <c r="M52" s="2"/>
    </row>
    <row r="53" spans="1:13" x14ac:dyDescent="0.25">
      <c r="A53" s="14"/>
    </row>
    <row r="54" spans="1:13" x14ac:dyDescent="0.25">
      <c r="A54" s="14"/>
    </row>
    <row r="55" spans="1:13" x14ac:dyDescent="0.25">
      <c r="A55" s="14"/>
    </row>
    <row r="56" spans="1:13" x14ac:dyDescent="0.25">
      <c r="A56" s="26"/>
    </row>
    <row r="57" spans="1:13" x14ac:dyDescent="0.25">
      <c r="A57" s="26"/>
    </row>
    <row r="58" spans="1:13" x14ac:dyDescent="0.25">
      <c r="A58" s="26"/>
    </row>
    <row r="59" spans="1:13" x14ac:dyDescent="0.25">
      <c r="A59" s="26"/>
    </row>
    <row r="60" spans="1:13" x14ac:dyDescent="0.25">
      <c r="A60" s="26"/>
      <c r="K60" s="3" t="str">
        <f t="shared" ref="K60:M62" si="0">K38</f>
        <v>rs33383</v>
      </c>
      <c r="L60" s="3" t="str">
        <f t="shared" si="0"/>
        <v>rs33970119</v>
      </c>
      <c r="M60" s="3" t="str">
        <f t="shared" si="0"/>
        <v>rs270838</v>
      </c>
    </row>
    <row r="61" spans="1:13" s="21" customFormat="1" x14ac:dyDescent="0.25">
      <c r="A61" s="28" t="s">
        <v>70</v>
      </c>
      <c r="B61" s="20" t="str">
        <f>CONCATENATE(B19," (G;G)")</f>
        <v>G1074A (G;G)</v>
      </c>
      <c r="C61" s="21" t="str">
        <f>CONCATENATE("&lt;# ",B61," #&gt;")</f>
        <v>&lt;# G1074A (G;G) #&gt;</v>
      </c>
      <c r="K61" s="21" t="str">
        <f t="shared" si="0"/>
        <v>G1074A</v>
      </c>
      <c r="L61" s="21" t="str">
        <f t="shared" si="0"/>
        <v>C865T</v>
      </c>
      <c r="M61" s="21" t="e">
        <f t="shared" si="0"/>
        <v>#REF!</v>
      </c>
    </row>
    <row r="62" spans="1:13" x14ac:dyDescent="0.25">
      <c r="A62" s="3" t="s">
        <v>21</v>
      </c>
      <c r="B62" s="29" t="str">
        <f>K44</f>
        <v>NC_000017.10:g.[4804902G&gt;A];[4804902G&gt;A]</v>
      </c>
      <c r="C62" s="10"/>
      <c r="K62" s="3" t="str">
        <f t="shared" si="0"/>
        <v>NC_000017.10:g.</v>
      </c>
      <c r="L62" s="3" t="str">
        <f t="shared" si="0"/>
        <v>NC_000005.9:g.</v>
      </c>
      <c r="M62" s="3" t="e">
        <f t="shared" si="0"/>
        <v>#REF!</v>
      </c>
    </row>
    <row r="63" spans="1:13" x14ac:dyDescent="0.25">
      <c r="B63" s="29"/>
      <c r="C63" s="3" t="str">
        <f>CONCATENATE("  &lt;Analysis name=",CHAR(34),B61,CHAR(34))</f>
        <v xml:space="preserve">  &lt;Analysis name="G1074A (G;G)"</v>
      </c>
      <c r="J63" s="3" t="str">
        <f t="shared" ref="J63:M70" si="1">J41</f>
        <v>Variant</v>
      </c>
      <c r="K63" s="3" t="str">
        <f t="shared" si="1"/>
        <v>[4804902G&gt;A]</v>
      </c>
      <c r="L63" s="3" t="str">
        <f t="shared" si="1"/>
        <v>[142709986C&gt;T]</v>
      </c>
      <c r="M63" s="3" t="e">
        <f t="shared" si="1"/>
        <v>#REF!</v>
      </c>
    </row>
    <row r="64" spans="1:13" x14ac:dyDescent="0.25">
      <c r="A64" s="5" t="s">
        <v>75</v>
      </c>
      <c r="B64" s="2" t="str">
        <f>CONCATENATE("People with this variant have two copies of the ",B22," variant. This substitution of a single nucleotide is known as a missense mutation.")</f>
        <v>People with this variant have two copies of the [G1074A](https://www.ncbi.nlm.nih.gov/clinvar/variation/128767/) variant. This substitution of a single nucleotide is known as a missense mutation.</v>
      </c>
      <c r="C64" s="3" t="str">
        <f>CONCATENATE("            case={  variantCall ",CHAR(40),CHAR(34),B62,CHAR(34),CHAR(41))</f>
        <v xml:space="preserve">            case={  variantCall ("NC_000017.10:g.[4804902G&gt;A];[4804902G&gt;A]")</v>
      </c>
      <c r="J64" s="3" t="str">
        <f t="shared" si="1"/>
        <v>Wildtype</v>
      </c>
      <c r="K64" s="3" t="str">
        <f t="shared" si="1"/>
        <v>[4804902=]</v>
      </c>
      <c r="L64" s="3" t="str">
        <f t="shared" si="1"/>
        <v>[142709986=]</v>
      </c>
      <c r="M64" s="3" t="e">
        <f t="shared" si="1"/>
        <v>#REF!</v>
      </c>
    </row>
    <row r="65" spans="1:13" x14ac:dyDescent="0.25">
      <c r="A65" s="1" t="s">
        <v>28</v>
      </c>
      <c r="B65" s="2" t="s">
        <v>258</v>
      </c>
      <c r="C65" s="3" t="s">
        <v>71</v>
      </c>
      <c r="J65" s="3" t="str">
        <f t="shared" si="1"/>
        <v>Het</v>
      </c>
      <c r="K65" s="3" t="str">
        <f t="shared" si="1"/>
        <v>NC_000017.10:g.[4804902G&gt;A];[4804902=]</v>
      </c>
      <c r="L65" s="3" t="str">
        <f t="shared" si="1"/>
        <v>NC_000005.9:g.[142709986C&gt;T];[142709986=]</v>
      </c>
      <c r="M65" s="3" t="e">
        <f t="shared" si="1"/>
        <v>#REF!</v>
      </c>
    </row>
    <row r="66" spans="1:13" x14ac:dyDescent="0.25">
      <c r="A66" s="3" t="s">
        <v>73</v>
      </c>
      <c r="B66" s="29">
        <f>K47</f>
        <v>0.2</v>
      </c>
      <c r="C66" s="3" t="str">
        <f>CONCATENATE("                    ",CHAR(40),"variantCall ",CHAR(40),CHAR(34),L67,CHAR(34),CHAR(41)," or variantCall ",CHAR(40),CHAR(34),L65,CHAR(34),CHAR(41),CHAR(41))</f>
        <v xml:space="preserve">                    (variantCall ("NC_000005.9:g.[142709986=];[142709986=]") or variantCall ("NC_000005.9:g.[142709986C&gt;T];[142709986=]"))</v>
      </c>
      <c r="J66" s="3" t="str">
        <f t="shared" si="1"/>
        <v>Homo</v>
      </c>
      <c r="K66" s="3" t="str">
        <f t="shared" si="1"/>
        <v>NC_000017.10:g.[4804902G&gt;A];[4804902G&gt;A]</v>
      </c>
      <c r="L66" s="3" t="str">
        <f t="shared" si="1"/>
        <v>NC_000005.9:g.[142709986C&gt;T];[142709986C&gt;T]</v>
      </c>
      <c r="M66" s="3" t="e">
        <f t="shared" si="1"/>
        <v>#REF!</v>
      </c>
    </row>
    <row r="67" spans="1:13" x14ac:dyDescent="0.25">
      <c r="J67" s="3" t="str">
        <f t="shared" si="1"/>
        <v>Wildtype</v>
      </c>
      <c r="K67" s="3" t="str">
        <f t="shared" si="1"/>
        <v>NC_000017.10:g.[4804902=];[4804902=]</v>
      </c>
      <c r="L67" s="3" t="str">
        <f t="shared" si="1"/>
        <v>NC_000005.9:g.[142709986=];[142709986=]</v>
      </c>
      <c r="M67" s="3" t="e">
        <f t="shared" si="1"/>
        <v>#REF!</v>
      </c>
    </row>
    <row r="68" spans="1:13" x14ac:dyDescent="0.25">
      <c r="J68" s="3" t="str">
        <f t="shared" si="1"/>
        <v>Het%</v>
      </c>
      <c r="K68" s="3">
        <f t="shared" si="1"/>
        <v>7.1</v>
      </c>
      <c r="L68" s="3">
        <f t="shared" si="1"/>
        <v>0</v>
      </c>
      <c r="M68" s="3">
        <f t="shared" si="1"/>
        <v>15.8</v>
      </c>
    </row>
    <row r="69" spans="1:13" x14ac:dyDescent="0.25">
      <c r="A69" s="14"/>
      <c r="C69" s="3" t="str">
        <f>CONCATENATE("                  } &gt; ")</f>
        <v xml:space="preserve">                  } &gt; </v>
      </c>
      <c r="J69" s="3" t="str">
        <f t="shared" si="1"/>
        <v>Homo%</v>
      </c>
      <c r="K69" s="3">
        <f t="shared" si="1"/>
        <v>0.2</v>
      </c>
      <c r="L69" s="3">
        <f t="shared" si="1"/>
        <v>0</v>
      </c>
      <c r="M69" s="3">
        <f t="shared" si="1"/>
        <v>4.7</v>
      </c>
    </row>
    <row r="70" spans="1:13" x14ac:dyDescent="0.25">
      <c r="A70" s="26"/>
      <c r="J70" s="3" t="str">
        <f t="shared" si="1"/>
        <v>Wildtype%</v>
      </c>
      <c r="K70" s="3">
        <f t="shared" si="1"/>
        <v>92.7</v>
      </c>
      <c r="L70" s="3">
        <f t="shared" si="1"/>
        <v>0</v>
      </c>
      <c r="M70" s="3">
        <f t="shared" si="1"/>
        <v>79.5</v>
      </c>
    </row>
    <row r="71" spans="1:13" x14ac:dyDescent="0.25">
      <c r="A71" s="14"/>
      <c r="C71" s="3" t="s">
        <v>26</v>
      </c>
    </row>
    <row r="72" spans="1:13" x14ac:dyDescent="0.25">
      <c r="A72" s="14"/>
    </row>
    <row r="73" spans="1:13" x14ac:dyDescent="0.25">
      <c r="A73" s="26"/>
      <c r="C73" s="3" t="str">
        <f>CONCATENATE("    ",B64)</f>
        <v xml:space="preserve">    People with this variant have two copies of the [G1074A](https://www.ncbi.nlm.nih.gov/clinvar/variation/128767/) variant. This substitution of a single nucleotide is known as a missense mutation.</v>
      </c>
    </row>
    <row r="74" spans="1:13" x14ac:dyDescent="0.25">
      <c r="A74" s="14"/>
    </row>
    <row r="75" spans="1:13" x14ac:dyDescent="0.25">
      <c r="A75" s="14"/>
      <c r="C75" s="3" t="s">
        <v>29</v>
      </c>
    </row>
    <row r="76" spans="1:13" x14ac:dyDescent="0.25">
      <c r="A76" s="14"/>
    </row>
    <row r="77" spans="1:13" x14ac:dyDescent="0.25">
      <c r="A77" s="14"/>
      <c r="C77" s="3" t="str">
        <f>CONCATENATE(B65)</f>
        <v xml:space="preserve">    Your variant is [4.36X more common in ME/CFS patients.](https://www.ncbi.nlm.nih.gov/pubmed/27099524)The malformed CHRME receptors may impact the activity of natural killer cells (NKC), a type of white blood cell found in the blood, bone marrow, spleen, and lymph nodes. They kill viral infected and tumorous cells. The NKC of many patients with ME/CFS have lower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78" spans="1:13" x14ac:dyDescent="0.25">
      <c r="A78" s="26"/>
    </row>
    <row r="79" spans="1:13" x14ac:dyDescent="0.25">
      <c r="A79" s="26"/>
      <c r="C79" s="3" t="s">
        <v>30</v>
      </c>
    </row>
    <row r="80" spans="1:13" x14ac:dyDescent="0.25">
      <c r="A80" s="26"/>
    </row>
    <row r="81" spans="1:13" x14ac:dyDescent="0.25">
      <c r="A81" s="26"/>
      <c r="C81" s="3" t="str">
        <f>CONCATENATE( "    &lt;piechart percentage=",B66," /&gt;")</f>
        <v xml:space="preserve">    &lt;piechart percentage=0.2 /&gt;</v>
      </c>
    </row>
    <row r="82" spans="1:13" x14ac:dyDescent="0.25">
      <c r="A82" s="26"/>
      <c r="C82" s="3" t="str">
        <f>"  &lt;/Analysis&gt;"</f>
        <v xml:space="preserve">  &lt;/Analysis&gt;</v>
      </c>
      <c r="K82" s="3" t="str">
        <f t="shared" ref="K82:M84" si="2">K60</f>
        <v>rs33383</v>
      </c>
      <c r="L82" s="3" t="str">
        <f t="shared" si="2"/>
        <v>rs33970119</v>
      </c>
      <c r="M82" s="3" t="str">
        <f t="shared" si="2"/>
        <v>rs270838</v>
      </c>
    </row>
    <row r="83" spans="1:13" s="21" customFormat="1" x14ac:dyDescent="0.25">
      <c r="A83" s="28" t="s">
        <v>70</v>
      </c>
      <c r="B83" s="20" t="str">
        <f>CONCATENATE(B28," (T;T)")</f>
        <v>C865T (T;T)</v>
      </c>
      <c r="C83" s="21" t="str">
        <f>CONCATENATE("&lt;# ",B83," #&gt;")</f>
        <v>&lt;# C865T (T;T) #&gt;</v>
      </c>
      <c r="K83" s="21" t="str">
        <f t="shared" si="2"/>
        <v>G1074A</v>
      </c>
      <c r="L83" s="21" t="str">
        <f t="shared" si="2"/>
        <v>C865T</v>
      </c>
      <c r="M83" s="21" t="e">
        <f t="shared" si="2"/>
        <v>#REF!</v>
      </c>
    </row>
    <row r="84" spans="1:13" s="10" customFormat="1" x14ac:dyDescent="0.25">
      <c r="A84" s="3" t="s">
        <v>21</v>
      </c>
      <c r="B84" s="29" t="str">
        <f>L88</f>
        <v>NC_000005.9:g.[142709986C&gt;T];[142709986C&gt;T]</v>
      </c>
      <c r="J84" s="3"/>
      <c r="K84" s="22" t="str">
        <f t="shared" si="2"/>
        <v>NC_000017.10:g.</v>
      </c>
      <c r="L84" s="22" t="str">
        <f t="shared" si="2"/>
        <v>NC_000005.9:g.</v>
      </c>
      <c r="M84" s="10" t="e">
        <f t="shared" si="2"/>
        <v>#REF!</v>
      </c>
    </row>
    <row r="85" spans="1:13" x14ac:dyDescent="0.25">
      <c r="A85" s="3" t="s">
        <v>72</v>
      </c>
      <c r="B85" s="29"/>
      <c r="C85" s="3" t="str">
        <f>CONCATENATE("  &lt;Analysis name=",CHAR(34),B83,CHAR(34))</f>
        <v xml:space="preserve">  &lt;Analysis name="C865T (T;T)"</v>
      </c>
      <c r="J85" s="3" t="str">
        <f t="shared" ref="J85:M92" si="3">J63</f>
        <v>Variant</v>
      </c>
      <c r="K85" s="15" t="str">
        <f t="shared" si="3"/>
        <v>[4804902G&gt;A]</v>
      </c>
      <c r="L85" s="22" t="str">
        <f t="shared" si="3"/>
        <v>[142709986C&gt;T]</v>
      </c>
      <c r="M85" s="3" t="e">
        <f t="shared" si="3"/>
        <v>#REF!</v>
      </c>
    </row>
    <row r="86" spans="1:13" x14ac:dyDescent="0.25">
      <c r="A86" s="5" t="s">
        <v>27</v>
      </c>
      <c r="B86" s="2" t="str">
        <f>CONCATENATE("People with this variant have two copies of the ",B31," variant. This substitution of a single nucleotide is known as a missense mutation.")</f>
        <v>People with this variant have two copies of the [C865T](https://www.ncbi.nlm.nih.gov/clinvar/variation/18344/) variant. This substitution of a single nucleotide is known as a missense mutation.</v>
      </c>
      <c r="C86" s="3" t="str">
        <f>CONCATENATE("            case={",  CHAR(40),"variantCall ",CHAR(40),CHAR(34),K87,CHAR(34),CHAR(41)," or variantCall ",CHAR(40),CHAR(34),K89,CHAR(34),CHAR(41),CHAR(41))</f>
        <v xml:space="preserve">            case={(variantCall ("NC_000017.10:g.[4804902G&gt;A];[4804902=]") or variantCall ("NC_000017.10:g.[4804902=];[4804902=]"))</v>
      </c>
      <c r="J86" s="3" t="str">
        <f t="shared" si="3"/>
        <v>Wildtype</v>
      </c>
      <c r="K86" s="15" t="str">
        <f t="shared" si="3"/>
        <v>[4804902=]</v>
      </c>
      <c r="L86" s="22" t="str">
        <f t="shared" si="3"/>
        <v>[142709986=]</v>
      </c>
      <c r="M86" s="3" t="e">
        <f t="shared" si="3"/>
        <v>#REF!</v>
      </c>
    </row>
    <row r="87" spans="1:13" x14ac:dyDescent="0.25">
      <c r="A87" s="1" t="s">
        <v>28</v>
      </c>
      <c r="B87" s="2" t="s">
        <v>259</v>
      </c>
      <c r="J87" s="3" t="str">
        <f t="shared" si="3"/>
        <v>Het</v>
      </c>
      <c r="K87" s="15" t="str">
        <f t="shared" si="3"/>
        <v>NC_000017.10:g.[4804902G&gt;A];[4804902=]</v>
      </c>
      <c r="L87" s="15" t="str">
        <f t="shared" si="3"/>
        <v>NC_000005.9:g.[142709986C&gt;T];[142709986=]</v>
      </c>
      <c r="M87" s="3" t="e">
        <f t="shared" si="3"/>
        <v>#REF!</v>
      </c>
    </row>
    <row r="88" spans="1:13" x14ac:dyDescent="0.25">
      <c r="A88" s="3" t="s">
        <v>73</v>
      </c>
      <c r="B88" s="29">
        <f>L46</f>
        <v>0</v>
      </c>
      <c r="J88" s="3" t="str">
        <f t="shared" si="3"/>
        <v>Homo</v>
      </c>
      <c r="K88" s="15" t="str">
        <f t="shared" si="3"/>
        <v>NC_000017.10:g.[4804902G&gt;A];[4804902G&gt;A]</v>
      </c>
      <c r="L88" s="15" t="str">
        <f t="shared" si="3"/>
        <v>NC_000005.9:g.[142709986C&gt;T];[142709986C&gt;T]</v>
      </c>
      <c r="M88" s="3" t="e">
        <f t="shared" si="3"/>
        <v>#REF!</v>
      </c>
    </row>
    <row r="89" spans="1:13" x14ac:dyDescent="0.25">
      <c r="B89" s="29"/>
      <c r="C89" s="3" t="s">
        <v>71</v>
      </c>
      <c r="J89" s="3" t="str">
        <f t="shared" si="3"/>
        <v>Wildtype</v>
      </c>
      <c r="K89" s="2" t="str">
        <f t="shared" si="3"/>
        <v>NC_000017.10:g.[4804902=];[4804902=]</v>
      </c>
      <c r="L89" s="2" t="str">
        <f t="shared" si="3"/>
        <v>NC_000005.9:g.[142709986=];[142709986=]</v>
      </c>
      <c r="M89" s="3" t="e">
        <f t="shared" si="3"/>
        <v>#REF!</v>
      </c>
    </row>
    <row r="90" spans="1:13" x14ac:dyDescent="0.25">
      <c r="B90" s="29"/>
      <c r="C90" s="3" t="str">
        <f>CONCATENATE("                    variantCall ",CHAR(40),CHAR(34),L88,CHAR(34),CHAR(41))</f>
        <v xml:space="preserve">                    variantCall ("NC_000005.9:g.[142709986C&gt;T];[142709986C&gt;T]")</v>
      </c>
      <c r="J90" s="3" t="str">
        <f t="shared" si="3"/>
        <v>Het%</v>
      </c>
      <c r="K90" s="15">
        <f t="shared" si="3"/>
        <v>7.1</v>
      </c>
      <c r="L90" s="15">
        <f t="shared" si="3"/>
        <v>0</v>
      </c>
      <c r="M90" s="3">
        <f t="shared" si="3"/>
        <v>15.8</v>
      </c>
    </row>
    <row r="91" spans="1:13" x14ac:dyDescent="0.25">
      <c r="C91" s="3" t="str">
        <f>CONCATENATE("                  } &gt; ")</f>
        <v xml:space="preserve">                  } &gt; </v>
      </c>
      <c r="J91" s="3" t="str">
        <f t="shared" si="3"/>
        <v>Homo%</v>
      </c>
      <c r="K91" s="2">
        <f t="shared" si="3"/>
        <v>0.2</v>
      </c>
      <c r="L91" s="2">
        <f t="shared" si="3"/>
        <v>0</v>
      </c>
      <c r="M91" s="3">
        <f t="shared" si="3"/>
        <v>4.7</v>
      </c>
    </row>
    <row r="92" spans="1:13" x14ac:dyDescent="0.25">
      <c r="J92" s="3" t="str">
        <f t="shared" si="3"/>
        <v>Wildtype%</v>
      </c>
      <c r="K92" s="2">
        <f t="shared" si="3"/>
        <v>92.7</v>
      </c>
      <c r="L92" s="2">
        <f t="shared" si="3"/>
        <v>0</v>
      </c>
      <c r="M92" s="3">
        <f t="shared" si="3"/>
        <v>79.5</v>
      </c>
    </row>
    <row r="93" spans="1:13" x14ac:dyDescent="0.25">
      <c r="A93" s="14"/>
      <c r="C93" s="3" t="s">
        <v>26</v>
      </c>
    </row>
    <row r="94" spans="1:13" x14ac:dyDescent="0.25">
      <c r="A94" s="26"/>
    </row>
    <row r="95" spans="1:13" x14ac:dyDescent="0.25">
      <c r="A95" s="14"/>
      <c r="C95" s="3" t="str">
        <f>CONCATENATE("    ",B86)</f>
        <v xml:space="preserve">    People with this variant have two copies of the [C865T](https://www.ncbi.nlm.nih.gov/clinvar/variation/18344/) variant. This substitution of a single nucleotide is known as a missense mutation.</v>
      </c>
    </row>
    <row r="96" spans="1:13" x14ac:dyDescent="0.25">
      <c r="A96" s="14"/>
    </row>
    <row r="97" spans="1:13" x14ac:dyDescent="0.25">
      <c r="A97" s="26"/>
      <c r="C97" s="3" t="s">
        <v>29</v>
      </c>
    </row>
    <row r="98" spans="1:13" x14ac:dyDescent="0.25">
      <c r="A98" s="14"/>
    </row>
    <row r="99" spans="1:13" x14ac:dyDescent="0.25">
      <c r="A99" s="14"/>
      <c r="C99" s="3" t="str">
        <f>CONCATENATE(B87)</f>
        <v xml:space="preserve">    Congenital myasthenic syndromes (CMS) are a group of rare disorders that affects the proteins at the neuromuscular junctions and may cause [abnormalities in the CHRME receptors](https://www.ncbi.nlm.nih.gov/pubmed/16156017). CMS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
    # What should I do about this?
    Consult [a neurologist](https://www.ncbi.nlm.nih.gov/pubmed/23108489) during and after pregnancy. It afflicted with slow channel syndrome, consider adding [salbutamol in addition to fluoxetine](https://www.ncbi.nlm.nih.gov/pubmed/23281026). [Galantamine](http://www.uniprot.org/uniprot/Q04844) is also used in treatment.</v>
      </c>
    </row>
    <row r="100" spans="1:13" x14ac:dyDescent="0.25">
      <c r="A100" s="14"/>
    </row>
    <row r="101" spans="1:13" x14ac:dyDescent="0.25">
      <c r="A101" s="14"/>
      <c r="C101" s="3" t="s">
        <v>30</v>
      </c>
    </row>
    <row r="102" spans="1:13" x14ac:dyDescent="0.25">
      <c r="A102" s="26"/>
    </row>
    <row r="103" spans="1:13" x14ac:dyDescent="0.25">
      <c r="A103" s="26"/>
      <c r="C103" s="3" t="str">
        <f>CONCATENATE( "    &lt;piechart percentage=",B88," /&gt;")</f>
        <v xml:space="preserve">    &lt;piechart percentage=0 /&gt;</v>
      </c>
    </row>
    <row r="104" spans="1:13" x14ac:dyDescent="0.25">
      <c r="A104" s="26"/>
      <c r="C104" s="3" t="str">
        <f>"  &lt;/Analysis&gt;"</f>
        <v xml:space="preserve">  &lt;/Analysis&gt;</v>
      </c>
      <c r="K104" s="3" t="str">
        <f t="shared" ref="K104:M114" si="4">K82</f>
        <v>rs33383</v>
      </c>
      <c r="L104" s="3" t="str">
        <f t="shared" si="4"/>
        <v>rs33970119</v>
      </c>
      <c r="M104" s="3" t="str">
        <f t="shared" si="4"/>
        <v>rs270838</v>
      </c>
    </row>
    <row r="105" spans="1:13" s="21" customFormat="1" x14ac:dyDescent="0.25">
      <c r="A105" s="28"/>
      <c r="B105" s="20"/>
      <c r="K105" s="21" t="str">
        <f t="shared" si="4"/>
        <v>G1074A</v>
      </c>
      <c r="L105" s="21" t="str">
        <f t="shared" si="4"/>
        <v>C865T</v>
      </c>
      <c r="M105" s="21" t="e">
        <f t="shared" si="4"/>
        <v>#REF!</v>
      </c>
    </row>
    <row r="106" spans="1:13" x14ac:dyDescent="0.25">
      <c r="B106" s="29"/>
      <c r="C106" s="10"/>
      <c r="K106" s="3" t="str">
        <f t="shared" si="4"/>
        <v>NC_000017.10:g.</v>
      </c>
      <c r="L106" s="3" t="str">
        <f t="shared" si="4"/>
        <v>NC_000005.9:g.</v>
      </c>
      <c r="M106" s="3" t="e">
        <f t="shared" si="4"/>
        <v>#REF!</v>
      </c>
    </row>
    <row r="107" spans="1:13" x14ac:dyDescent="0.25">
      <c r="B107" s="29"/>
      <c r="J107" s="3" t="str">
        <f t="shared" ref="J107:J114" si="5">J85</f>
        <v>Variant</v>
      </c>
      <c r="K107" s="3" t="str">
        <f t="shared" si="4"/>
        <v>[4804902G&gt;A]</v>
      </c>
      <c r="L107" s="3" t="str">
        <f t="shared" si="4"/>
        <v>[142709986C&gt;T]</v>
      </c>
      <c r="M107" s="3" t="e">
        <f t="shared" si="4"/>
        <v>#REF!</v>
      </c>
    </row>
    <row r="108" spans="1:13" x14ac:dyDescent="0.25">
      <c r="A108" s="5"/>
      <c r="B108" s="2"/>
      <c r="J108" s="3" t="str">
        <f t="shared" si="5"/>
        <v>Wildtype</v>
      </c>
      <c r="K108" s="3" t="str">
        <f t="shared" si="4"/>
        <v>[4804902=]</v>
      </c>
      <c r="L108" s="3" t="str">
        <f t="shared" si="4"/>
        <v>[142709986=]</v>
      </c>
      <c r="M108" s="3" t="e">
        <f t="shared" si="4"/>
        <v>#REF!</v>
      </c>
    </row>
    <row r="109" spans="1:13" x14ac:dyDescent="0.25">
      <c r="A109" s="1"/>
      <c r="J109" s="3" t="str">
        <f t="shared" si="5"/>
        <v>Het</v>
      </c>
      <c r="K109" s="3" t="str">
        <f t="shared" si="4"/>
        <v>NC_000017.10:g.[4804902G&gt;A];[4804902=]</v>
      </c>
      <c r="L109" s="3" t="str">
        <f t="shared" si="4"/>
        <v>NC_000005.9:g.[142709986C&gt;T];[142709986=]</v>
      </c>
      <c r="M109" s="3" t="e">
        <f t="shared" si="4"/>
        <v>#REF!</v>
      </c>
    </row>
    <row r="110" spans="1:13" x14ac:dyDescent="0.25">
      <c r="B110" s="29"/>
      <c r="J110" s="3" t="str">
        <f t="shared" si="5"/>
        <v>Homo</v>
      </c>
      <c r="K110" s="3" t="str">
        <f t="shared" si="4"/>
        <v>NC_000017.10:g.[4804902G&gt;A];[4804902G&gt;A]</v>
      </c>
      <c r="L110" s="3" t="str">
        <f t="shared" si="4"/>
        <v>NC_000005.9:g.[142709986C&gt;T];[142709986C&gt;T]</v>
      </c>
      <c r="M110" s="3" t="e">
        <f t="shared" si="4"/>
        <v>#REF!</v>
      </c>
    </row>
    <row r="111" spans="1:13" x14ac:dyDescent="0.25">
      <c r="J111" s="3" t="str">
        <f t="shared" si="5"/>
        <v>Wildtype</v>
      </c>
      <c r="K111" s="3" t="str">
        <f t="shared" si="4"/>
        <v>NC_000017.10:g.[4804902=];[4804902=]</v>
      </c>
      <c r="L111" s="3" t="str">
        <f t="shared" si="4"/>
        <v>NC_000005.9:g.[142709986=];[142709986=]</v>
      </c>
      <c r="M111" s="3" t="e">
        <f t="shared" si="4"/>
        <v>#REF!</v>
      </c>
    </row>
    <row r="112" spans="1:13" x14ac:dyDescent="0.25">
      <c r="J112" s="3" t="str">
        <f t="shared" si="5"/>
        <v>Het%</v>
      </c>
      <c r="K112" s="3">
        <f t="shared" si="4"/>
        <v>7.1</v>
      </c>
      <c r="L112" s="3">
        <f t="shared" si="4"/>
        <v>0</v>
      </c>
      <c r="M112" s="3">
        <f t="shared" si="4"/>
        <v>15.8</v>
      </c>
    </row>
    <row r="113" spans="1:13" x14ac:dyDescent="0.25">
      <c r="A113" s="14"/>
      <c r="J113" s="3" t="str">
        <f t="shared" si="5"/>
        <v>Homo%</v>
      </c>
      <c r="K113" s="3">
        <f t="shared" si="4"/>
        <v>0.2</v>
      </c>
      <c r="L113" s="3">
        <f t="shared" si="4"/>
        <v>0</v>
      </c>
      <c r="M113" s="3">
        <f t="shared" si="4"/>
        <v>4.7</v>
      </c>
    </row>
    <row r="114" spans="1:13" x14ac:dyDescent="0.25">
      <c r="A114" s="26"/>
      <c r="J114" s="3" t="str">
        <f t="shared" si="5"/>
        <v>Wildtype%</v>
      </c>
      <c r="K114" s="3">
        <f t="shared" si="4"/>
        <v>92.7</v>
      </c>
      <c r="L114" s="3">
        <f t="shared" si="4"/>
        <v>0</v>
      </c>
      <c r="M114" s="3">
        <f t="shared" si="4"/>
        <v>79.5</v>
      </c>
    </row>
    <row r="115" spans="1:13" x14ac:dyDescent="0.25">
      <c r="A115" s="14"/>
    </row>
    <row r="116" spans="1:13" x14ac:dyDescent="0.25">
      <c r="A116" s="14"/>
    </row>
    <row r="117" spans="1:13" x14ac:dyDescent="0.25">
      <c r="A117" s="26"/>
    </row>
    <row r="118" spans="1:13" x14ac:dyDescent="0.25">
      <c r="A118" s="14"/>
    </row>
    <row r="119" spans="1:13" x14ac:dyDescent="0.25">
      <c r="A119" s="14"/>
    </row>
    <row r="120" spans="1:13" x14ac:dyDescent="0.25">
      <c r="A120" s="14"/>
    </row>
    <row r="121" spans="1:13" x14ac:dyDescent="0.25">
      <c r="A121" s="14"/>
    </row>
    <row r="122" spans="1:13" x14ac:dyDescent="0.25">
      <c r="A122" s="26"/>
    </row>
    <row r="123" spans="1:13" x14ac:dyDescent="0.25">
      <c r="A123" s="26"/>
    </row>
    <row r="124" spans="1:13" x14ac:dyDescent="0.25">
      <c r="A124" s="26"/>
    </row>
    <row r="125" spans="1:13" x14ac:dyDescent="0.25">
      <c r="A125" s="26"/>
    </row>
    <row r="126" spans="1:13" x14ac:dyDescent="0.25">
      <c r="A126" s="26"/>
      <c r="K126" s="3" t="str">
        <f t="shared" ref="K126:M136" si="6">K104</f>
        <v>rs33383</v>
      </c>
      <c r="L126" s="3" t="str">
        <f t="shared" si="6"/>
        <v>rs33970119</v>
      </c>
      <c r="M126" s="3" t="str">
        <f t="shared" si="6"/>
        <v>rs270838</v>
      </c>
    </row>
    <row r="127" spans="1:13" s="21" customFormat="1" x14ac:dyDescent="0.25">
      <c r="A127" s="28"/>
      <c r="B127" s="20"/>
      <c r="K127" s="21" t="str">
        <f t="shared" si="6"/>
        <v>G1074A</v>
      </c>
      <c r="L127" s="21" t="str">
        <f t="shared" si="6"/>
        <v>C865T</v>
      </c>
      <c r="M127" s="21" t="e">
        <f t="shared" si="6"/>
        <v>#REF!</v>
      </c>
    </row>
    <row r="128" spans="1:13" x14ac:dyDescent="0.25">
      <c r="A128" s="14"/>
      <c r="K128" s="3" t="str">
        <f t="shared" si="6"/>
        <v>NC_000017.10:g.</v>
      </c>
      <c r="L128" s="3" t="str">
        <f t="shared" si="6"/>
        <v>NC_000005.9:g.</v>
      </c>
      <c r="M128" s="3" t="e">
        <f t="shared" si="6"/>
        <v>#REF!</v>
      </c>
    </row>
    <row r="129" spans="1:13" x14ac:dyDescent="0.25">
      <c r="A129" s="14"/>
      <c r="J129" s="3" t="str">
        <f t="shared" ref="J129:J136" si="7">J107</f>
        <v>Variant</v>
      </c>
      <c r="K129" s="3" t="str">
        <f t="shared" si="6"/>
        <v>[4804902G&gt;A]</v>
      </c>
      <c r="L129" s="3" t="str">
        <f t="shared" si="6"/>
        <v>[142709986C&gt;T]</v>
      </c>
      <c r="M129" s="3" t="e">
        <f t="shared" si="6"/>
        <v>#REF!</v>
      </c>
    </row>
    <row r="130" spans="1:13" x14ac:dyDescent="0.25">
      <c r="A130" s="26"/>
      <c r="J130" s="3" t="str">
        <f t="shared" si="7"/>
        <v>Wildtype</v>
      </c>
      <c r="K130" s="3" t="str">
        <f t="shared" si="6"/>
        <v>[4804902=]</v>
      </c>
      <c r="L130" s="3" t="str">
        <f t="shared" si="6"/>
        <v>[142709986=]</v>
      </c>
      <c r="M130" s="3" t="e">
        <f t="shared" si="6"/>
        <v>#REF!</v>
      </c>
    </row>
    <row r="131" spans="1:13" x14ac:dyDescent="0.25">
      <c r="A131" s="26"/>
      <c r="J131" s="3" t="str">
        <f t="shared" si="7"/>
        <v>Het</v>
      </c>
      <c r="K131" s="3" t="str">
        <f t="shared" si="6"/>
        <v>NC_000017.10:g.[4804902G&gt;A];[4804902=]</v>
      </c>
      <c r="L131" s="3" t="str">
        <f t="shared" si="6"/>
        <v>NC_000005.9:g.[142709986C&gt;T];[142709986=]</v>
      </c>
      <c r="M131" s="3" t="e">
        <f t="shared" si="6"/>
        <v>#REF!</v>
      </c>
    </row>
    <row r="132" spans="1:13" x14ac:dyDescent="0.25">
      <c r="A132" s="26"/>
      <c r="J132" s="3" t="str">
        <f t="shared" si="7"/>
        <v>Homo</v>
      </c>
      <c r="K132" s="3" t="str">
        <f t="shared" si="6"/>
        <v>NC_000017.10:g.[4804902G&gt;A];[4804902G&gt;A]</v>
      </c>
      <c r="L132" s="3" t="str">
        <f t="shared" si="6"/>
        <v>NC_000005.9:g.[142709986C&gt;T];[142709986C&gt;T]</v>
      </c>
      <c r="M132" s="3" t="e">
        <f t="shared" si="6"/>
        <v>#REF!</v>
      </c>
    </row>
    <row r="133" spans="1:13" x14ac:dyDescent="0.25">
      <c r="A133" s="26"/>
      <c r="J133" s="3" t="str">
        <f t="shared" si="7"/>
        <v>Wildtype</v>
      </c>
      <c r="K133" s="3" t="str">
        <f t="shared" si="6"/>
        <v>NC_000017.10:g.[4804902=];[4804902=]</v>
      </c>
      <c r="L133" s="3" t="str">
        <f t="shared" si="6"/>
        <v>NC_000005.9:g.[142709986=];[142709986=]</v>
      </c>
      <c r="M133" s="3" t="e">
        <f t="shared" si="6"/>
        <v>#REF!</v>
      </c>
    </row>
    <row r="134" spans="1:13" x14ac:dyDescent="0.25">
      <c r="A134" s="26"/>
      <c r="J134" s="3" t="str">
        <f t="shared" si="7"/>
        <v>Het%</v>
      </c>
      <c r="K134" s="3">
        <f t="shared" si="6"/>
        <v>7.1</v>
      </c>
      <c r="L134" s="3">
        <f t="shared" si="6"/>
        <v>0</v>
      </c>
      <c r="M134" s="3">
        <f t="shared" si="6"/>
        <v>15.8</v>
      </c>
    </row>
    <row r="135" spans="1:13" x14ac:dyDescent="0.25">
      <c r="A135" s="26"/>
      <c r="J135" s="3" t="str">
        <f t="shared" si="7"/>
        <v>Homo%</v>
      </c>
      <c r="K135" s="3">
        <f t="shared" si="6"/>
        <v>0.2</v>
      </c>
      <c r="L135" s="3">
        <f t="shared" si="6"/>
        <v>0</v>
      </c>
      <c r="M135" s="3">
        <f t="shared" si="6"/>
        <v>4.7</v>
      </c>
    </row>
    <row r="136" spans="1:13" x14ac:dyDescent="0.25">
      <c r="A136" s="14"/>
      <c r="J136" s="3" t="str">
        <f t="shared" si="7"/>
        <v>Wildtype%</v>
      </c>
      <c r="K136" s="3">
        <f t="shared" si="6"/>
        <v>92.7</v>
      </c>
      <c r="L136" s="3">
        <f t="shared" si="6"/>
        <v>0</v>
      </c>
      <c r="M136" s="3">
        <f t="shared" si="6"/>
        <v>79.5</v>
      </c>
    </row>
    <row r="137" spans="1:13" x14ac:dyDescent="0.25">
      <c r="A137" s="14"/>
    </row>
    <row r="138" spans="1:13" x14ac:dyDescent="0.25">
      <c r="A138" s="14"/>
    </row>
    <row r="139" spans="1:13" x14ac:dyDescent="0.25">
      <c r="A139" s="14"/>
    </row>
    <row r="140" spans="1:13" x14ac:dyDescent="0.25">
      <c r="A140" s="14"/>
    </row>
    <row r="141" spans="1:13" x14ac:dyDescent="0.25">
      <c r="A141" s="26"/>
    </row>
    <row r="142" spans="1:13" x14ac:dyDescent="0.25">
      <c r="A142" s="26"/>
    </row>
    <row r="143" spans="1:13" x14ac:dyDescent="0.25">
      <c r="A143" s="26"/>
    </row>
    <row r="144" spans="1:13" x14ac:dyDescent="0.25">
      <c r="A144" s="26"/>
    </row>
    <row r="145" spans="1:13" x14ac:dyDescent="0.25">
      <c r="A145" s="26"/>
    </row>
    <row r="146" spans="1:13" x14ac:dyDescent="0.25">
      <c r="A146" s="26"/>
    </row>
    <row r="147" spans="1:13" x14ac:dyDescent="0.25">
      <c r="A147" s="26"/>
    </row>
    <row r="148" spans="1:13" x14ac:dyDescent="0.25">
      <c r="A148" s="26"/>
      <c r="K148" s="3" t="str">
        <f t="shared" ref="K148:M152" si="8">K126</f>
        <v>rs33383</v>
      </c>
      <c r="L148" s="3" t="str">
        <f t="shared" si="8"/>
        <v>rs33970119</v>
      </c>
      <c r="M148" s="3" t="str">
        <f t="shared" si="8"/>
        <v>rs270838</v>
      </c>
    </row>
    <row r="149" spans="1:13" s="21" customFormat="1" x14ac:dyDescent="0.25">
      <c r="A149" s="28"/>
      <c r="B149" s="20"/>
      <c r="K149" s="21" t="str">
        <f t="shared" si="8"/>
        <v>G1074A</v>
      </c>
      <c r="L149" s="21" t="str">
        <f t="shared" si="8"/>
        <v>C865T</v>
      </c>
      <c r="M149" s="21" t="e">
        <f t="shared" si="8"/>
        <v>#REF!</v>
      </c>
    </row>
    <row r="150" spans="1:13" x14ac:dyDescent="0.25">
      <c r="A150" s="14"/>
      <c r="K150" s="3" t="str">
        <f t="shared" si="8"/>
        <v>NC_000017.10:g.</v>
      </c>
      <c r="L150" s="3" t="str">
        <f t="shared" si="8"/>
        <v>NC_000005.9:g.</v>
      </c>
      <c r="M150" s="3" t="e">
        <f t="shared" si="8"/>
        <v>#REF!</v>
      </c>
    </row>
    <row r="151" spans="1:13" x14ac:dyDescent="0.25">
      <c r="A151" s="14"/>
      <c r="J151" s="3" t="str">
        <f>J129</f>
        <v>Variant</v>
      </c>
      <c r="K151" s="3" t="str">
        <f t="shared" si="8"/>
        <v>[4804902G&gt;A]</v>
      </c>
      <c r="L151" s="3" t="str">
        <f t="shared" si="8"/>
        <v>[142709986C&gt;T]</v>
      </c>
      <c r="M151" s="3" t="e">
        <f t="shared" si="8"/>
        <v>#REF!</v>
      </c>
    </row>
    <row r="152" spans="1:13" x14ac:dyDescent="0.25">
      <c r="A152" s="26"/>
      <c r="J152" s="3" t="str">
        <f>J130</f>
        <v>Wildtype</v>
      </c>
      <c r="K152" s="3" t="str">
        <f t="shared" si="8"/>
        <v>[4804902=]</v>
      </c>
      <c r="L152" s="3" t="str">
        <f t="shared" si="8"/>
        <v>[142709986=]</v>
      </c>
      <c r="M152" s="3" t="e">
        <f t="shared" si="8"/>
        <v>#REF!</v>
      </c>
    </row>
    <row r="153" spans="1:13" x14ac:dyDescent="0.25">
      <c r="A153" s="26"/>
      <c r="B153" s="36"/>
      <c r="J153" s="3" t="str">
        <f t="shared" ref="J153:M158" si="9">J131</f>
        <v>Het</v>
      </c>
      <c r="K153" s="3" t="str">
        <f t="shared" si="9"/>
        <v>NC_000017.10:g.[4804902G&gt;A];[4804902=]</v>
      </c>
      <c r="L153" s="3" t="str">
        <f t="shared" si="9"/>
        <v>NC_000005.9:g.[142709986C&gt;T];[142709986=]</v>
      </c>
      <c r="M153" s="3" t="e">
        <f t="shared" si="9"/>
        <v>#REF!</v>
      </c>
    </row>
    <row r="154" spans="1:13" x14ac:dyDescent="0.25">
      <c r="A154" s="26"/>
      <c r="J154" s="3" t="str">
        <f t="shared" si="9"/>
        <v>Homo</v>
      </c>
      <c r="K154" s="3" t="str">
        <f t="shared" si="9"/>
        <v>NC_000017.10:g.[4804902G&gt;A];[4804902G&gt;A]</v>
      </c>
      <c r="L154" s="3" t="str">
        <f t="shared" si="9"/>
        <v>NC_000005.9:g.[142709986C&gt;T];[142709986C&gt;T]</v>
      </c>
      <c r="M154" s="3" t="e">
        <f t="shared" si="9"/>
        <v>#REF!</v>
      </c>
    </row>
    <row r="155" spans="1:13" x14ac:dyDescent="0.25">
      <c r="A155" s="26"/>
      <c r="J155" s="3" t="str">
        <f t="shared" si="9"/>
        <v>Wildtype</v>
      </c>
      <c r="K155" s="3" t="str">
        <f t="shared" si="9"/>
        <v>NC_000017.10:g.[4804902=];[4804902=]</v>
      </c>
      <c r="L155" s="3" t="str">
        <f t="shared" si="9"/>
        <v>NC_000005.9:g.[142709986=];[142709986=]</v>
      </c>
      <c r="M155" s="3" t="e">
        <f t="shared" si="9"/>
        <v>#REF!</v>
      </c>
    </row>
    <row r="156" spans="1:13" x14ac:dyDescent="0.25">
      <c r="A156" s="26"/>
      <c r="J156" s="3" t="str">
        <f t="shared" si="9"/>
        <v>Het%</v>
      </c>
      <c r="K156" s="3">
        <f t="shared" si="9"/>
        <v>7.1</v>
      </c>
      <c r="L156" s="3">
        <f t="shared" si="9"/>
        <v>0</v>
      </c>
      <c r="M156" s="3">
        <f t="shared" si="9"/>
        <v>15.8</v>
      </c>
    </row>
    <row r="157" spans="1:13" x14ac:dyDescent="0.25">
      <c r="A157" s="26"/>
      <c r="J157" s="3" t="str">
        <f t="shared" si="9"/>
        <v>Homo%</v>
      </c>
      <c r="K157" s="3">
        <f t="shared" si="9"/>
        <v>0.2</v>
      </c>
      <c r="L157" s="3">
        <f t="shared" si="9"/>
        <v>0</v>
      </c>
      <c r="M157" s="3">
        <f t="shared" si="9"/>
        <v>4.7</v>
      </c>
    </row>
    <row r="158" spans="1:13" x14ac:dyDescent="0.25">
      <c r="A158" s="14"/>
      <c r="J158" s="3" t="str">
        <f t="shared" si="9"/>
        <v>Wildtype%</v>
      </c>
      <c r="K158" s="3">
        <f t="shared" si="9"/>
        <v>92.7</v>
      </c>
      <c r="L158" s="3">
        <f t="shared" si="9"/>
        <v>0</v>
      </c>
      <c r="M158" s="3">
        <f t="shared" si="9"/>
        <v>79.5</v>
      </c>
    </row>
    <row r="159" spans="1:13" x14ac:dyDescent="0.25">
      <c r="A159" s="14"/>
    </row>
    <row r="160" spans="1:13" x14ac:dyDescent="0.25">
      <c r="A160" s="14"/>
    </row>
    <row r="161" spans="1:13" x14ac:dyDescent="0.25">
      <c r="A161" s="14"/>
    </row>
    <row r="162" spans="1:13" x14ac:dyDescent="0.25">
      <c r="A162" s="14"/>
    </row>
    <row r="163" spans="1:13" x14ac:dyDescent="0.25">
      <c r="A163" s="26"/>
    </row>
    <row r="164" spans="1:13" x14ac:dyDescent="0.25">
      <c r="A164" s="26"/>
    </row>
    <row r="165" spans="1:13" x14ac:dyDescent="0.25">
      <c r="A165" s="26"/>
    </row>
    <row r="166" spans="1:13" x14ac:dyDescent="0.25">
      <c r="A166" s="26"/>
    </row>
    <row r="167" spans="1:13" x14ac:dyDescent="0.25">
      <c r="A167" s="26"/>
    </row>
    <row r="168" spans="1:13" x14ac:dyDescent="0.25">
      <c r="A168" s="26"/>
    </row>
    <row r="169" spans="1:13" x14ac:dyDescent="0.25">
      <c r="A169" s="26"/>
    </row>
    <row r="170" spans="1:13" x14ac:dyDescent="0.25">
      <c r="A170" s="26"/>
      <c r="K170" s="3" t="str">
        <f t="shared" ref="K170:M172" si="10">K148</f>
        <v>rs33383</v>
      </c>
      <c r="L170" s="3" t="str">
        <f t="shared" si="10"/>
        <v>rs33970119</v>
      </c>
      <c r="M170" s="3" t="str">
        <f t="shared" si="10"/>
        <v>rs270838</v>
      </c>
    </row>
    <row r="171" spans="1:13" s="21" customFormat="1" x14ac:dyDescent="0.25">
      <c r="A171" s="28" t="s">
        <v>70</v>
      </c>
      <c r="B171" s="20" t="str">
        <f>CONCATENATE(B39," and ",B83)</f>
        <v>G1074A (T;G) and C865T (T;T)</v>
      </c>
      <c r="K171" s="21" t="str">
        <f t="shared" si="10"/>
        <v>G1074A</v>
      </c>
      <c r="L171" s="21" t="str">
        <f t="shared" si="10"/>
        <v>C865T</v>
      </c>
      <c r="M171" s="21" t="e">
        <f t="shared" si="10"/>
        <v>#REF!</v>
      </c>
    </row>
    <row r="172" spans="1:13" x14ac:dyDescent="0.25">
      <c r="A172" s="14" t="s">
        <v>21</v>
      </c>
      <c r="B172" s="15" t="str">
        <f>K87</f>
        <v>NC_000017.10:g.[4804902G&gt;A];[4804902=]</v>
      </c>
      <c r="K172" s="3" t="str">
        <f t="shared" si="10"/>
        <v>NC_000017.10:g.</v>
      </c>
      <c r="L172" s="3" t="str">
        <f t="shared" si="10"/>
        <v>NC_000005.9:g.</v>
      </c>
      <c r="M172" s="3" t="e">
        <f t="shared" si="10"/>
        <v>#REF!</v>
      </c>
    </row>
    <row r="173" spans="1:13" x14ac:dyDescent="0.25">
      <c r="A173" s="14" t="s">
        <v>72</v>
      </c>
      <c r="J173" s="3" t="str">
        <f t="shared" ref="J173:M180" si="11">J151</f>
        <v>Variant</v>
      </c>
      <c r="K173" s="3" t="str">
        <f t="shared" si="11"/>
        <v>[4804902G&gt;A]</v>
      </c>
      <c r="L173" s="3" t="str">
        <f t="shared" si="11"/>
        <v>[142709986C&gt;T]</v>
      </c>
      <c r="M173" s="3" t="e">
        <f t="shared" si="11"/>
        <v>#REF!</v>
      </c>
    </row>
    <row r="174" spans="1:13" x14ac:dyDescent="0.25">
      <c r="A174" s="26" t="s">
        <v>75</v>
      </c>
      <c r="B174" s="15" t="str">
        <f>CONCATENATE("People with this variant have one copy of the ",B22, ", and ",B31," variants. This substitution of a single nucleotide is known as a missense mutation.")</f>
        <v>People with this variant have one copy of the [G1074A](https://www.ncbi.nlm.nih.gov/clinvar/variation/128767/), and [C865T](https://www.ncbi.nlm.nih.gov/clinvar/variation/18344/) variants. This substitution of a single nucleotide is known as a missense mutation.</v>
      </c>
      <c r="J174" s="3" t="str">
        <f t="shared" si="11"/>
        <v>Wildtype</v>
      </c>
      <c r="K174" s="3" t="str">
        <f t="shared" si="11"/>
        <v>[4804902=]</v>
      </c>
      <c r="L174" s="3" t="str">
        <f t="shared" si="11"/>
        <v>[142709986=]</v>
      </c>
      <c r="M174" s="3" t="e">
        <f t="shared" si="11"/>
        <v>#REF!</v>
      </c>
    </row>
    <row r="175" spans="1:13" x14ac:dyDescent="0.25">
      <c r="A175" s="26" t="s">
        <v>28</v>
      </c>
      <c r="B175" s="15" t="s">
        <v>115</v>
      </c>
      <c r="J175" s="3" t="str">
        <f t="shared" si="11"/>
        <v>Het</v>
      </c>
      <c r="K175" s="3" t="str">
        <f t="shared" si="11"/>
        <v>NC_000017.10:g.[4804902G&gt;A];[4804902=]</v>
      </c>
      <c r="L175" s="3" t="str">
        <f t="shared" si="11"/>
        <v>NC_000005.9:g.[142709986C&gt;T];[142709986=]</v>
      </c>
      <c r="M175" s="3" t="e">
        <f t="shared" si="11"/>
        <v>#REF!</v>
      </c>
    </row>
    <row r="176" spans="1:13" x14ac:dyDescent="0.25">
      <c r="A176" s="26" t="s">
        <v>73</v>
      </c>
      <c r="J176" s="3" t="str">
        <f t="shared" si="11"/>
        <v>Homo</v>
      </c>
      <c r="K176" s="3" t="str">
        <f t="shared" si="11"/>
        <v>NC_000017.10:g.[4804902G&gt;A];[4804902G&gt;A]</v>
      </c>
      <c r="L176" s="3" t="str">
        <f t="shared" si="11"/>
        <v>NC_000005.9:g.[142709986C&gt;T];[142709986C&gt;T]</v>
      </c>
      <c r="M176" s="3" t="e">
        <f t="shared" si="11"/>
        <v>#REF!</v>
      </c>
    </row>
    <row r="177" spans="1:13" x14ac:dyDescent="0.25">
      <c r="A177" s="26"/>
      <c r="J177" s="3" t="str">
        <f t="shared" si="11"/>
        <v>Wildtype</v>
      </c>
      <c r="K177" s="3" t="str">
        <f t="shared" si="11"/>
        <v>NC_000017.10:g.[4804902=];[4804902=]</v>
      </c>
      <c r="L177" s="3" t="str">
        <f t="shared" si="11"/>
        <v>NC_000005.9:g.[142709986=];[142709986=]</v>
      </c>
      <c r="M177" s="3" t="e">
        <f t="shared" si="11"/>
        <v>#REF!</v>
      </c>
    </row>
    <row r="178" spans="1:13" x14ac:dyDescent="0.25">
      <c r="A178" s="26"/>
      <c r="J178" s="3" t="str">
        <f t="shared" si="11"/>
        <v>Het%</v>
      </c>
      <c r="K178" s="3">
        <f t="shared" si="11"/>
        <v>7.1</v>
      </c>
      <c r="L178" s="3">
        <f t="shared" si="11"/>
        <v>0</v>
      </c>
      <c r="M178" s="3">
        <f t="shared" si="11"/>
        <v>15.8</v>
      </c>
    </row>
    <row r="179" spans="1:13" x14ac:dyDescent="0.25">
      <c r="A179" s="26"/>
      <c r="J179" s="3" t="str">
        <f t="shared" si="11"/>
        <v>Homo%</v>
      </c>
      <c r="K179" s="3">
        <f t="shared" si="11"/>
        <v>0.2</v>
      </c>
      <c r="L179" s="3">
        <f t="shared" si="11"/>
        <v>0</v>
      </c>
      <c r="M179" s="3">
        <f t="shared" si="11"/>
        <v>4.7</v>
      </c>
    </row>
    <row r="180" spans="1:13" x14ac:dyDescent="0.25">
      <c r="A180" s="14"/>
      <c r="J180" s="3" t="str">
        <f t="shared" si="11"/>
        <v>Wildtype%</v>
      </c>
      <c r="K180" s="3">
        <f t="shared" si="11"/>
        <v>92.7</v>
      </c>
      <c r="L180" s="3">
        <f t="shared" si="11"/>
        <v>0</v>
      </c>
      <c r="M180" s="3">
        <f t="shared" si="11"/>
        <v>79.5</v>
      </c>
    </row>
    <row r="181" spans="1:13" x14ac:dyDescent="0.25">
      <c r="A181" s="14"/>
    </row>
    <row r="182" spans="1:13" x14ac:dyDescent="0.25">
      <c r="A182" s="14"/>
    </row>
    <row r="183" spans="1:13" x14ac:dyDescent="0.25">
      <c r="A183" s="14"/>
    </row>
    <row r="184" spans="1:13" x14ac:dyDescent="0.25">
      <c r="A184" s="14"/>
    </row>
    <row r="185" spans="1:13" x14ac:dyDescent="0.25">
      <c r="A185" s="26"/>
    </row>
    <row r="186" spans="1:13" x14ac:dyDescent="0.25">
      <c r="A186" s="26"/>
    </row>
    <row r="187" spans="1:13" x14ac:dyDescent="0.25">
      <c r="A187" s="26"/>
    </row>
    <row r="188" spans="1:13" x14ac:dyDescent="0.25">
      <c r="A188" s="26"/>
    </row>
    <row r="189" spans="1:13" x14ac:dyDescent="0.25">
      <c r="A189" s="26"/>
    </row>
    <row r="190" spans="1:13" x14ac:dyDescent="0.25">
      <c r="A190" s="26"/>
    </row>
    <row r="191" spans="1:13" x14ac:dyDescent="0.25">
      <c r="A191" s="26"/>
    </row>
    <row r="192" spans="1:13" x14ac:dyDescent="0.25">
      <c r="A192" s="26"/>
      <c r="K192" s="3" t="str">
        <f t="shared" ref="K192:M194" si="12">K170</f>
        <v>rs33383</v>
      </c>
      <c r="L192" s="3" t="str">
        <f t="shared" si="12"/>
        <v>rs33970119</v>
      </c>
      <c r="M192" s="3" t="str">
        <f t="shared" si="12"/>
        <v>rs270838</v>
      </c>
    </row>
    <row r="193" spans="1:13" s="21" customFormat="1" x14ac:dyDescent="0.25">
      <c r="A193" s="28"/>
      <c r="B193" s="20"/>
      <c r="K193" s="21" t="str">
        <f t="shared" si="12"/>
        <v>G1074A</v>
      </c>
      <c r="L193" s="21" t="str">
        <f t="shared" si="12"/>
        <v>C865T</v>
      </c>
      <c r="M193" s="21" t="e">
        <f t="shared" si="12"/>
        <v>#REF!</v>
      </c>
    </row>
    <row r="194" spans="1:13" x14ac:dyDescent="0.25">
      <c r="A194" s="14"/>
      <c r="K194" s="3" t="str">
        <f t="shared" si="12"/>
        <v>NC_000017.10:g.</v>
      </c>
      <c r="L194" s="3" t="str">
        <f t="shared" si="12"/>
        <v>NC_000005.9:g.</v>
      </c>
      <c r="M194" s="3" t="e">
        <f t="shared" si="12"/>
        <v>#REF!</v>
      </c>
    </row>
    <row r="195" spans="1:13" x14ac:dyDescent="0.25">
      <c r="A195" s="14"/>
      <c r="J195" s="3" t="str">
        <f t="shared" ref="J195:M202" si="13">J173</f>
        <v>Variant</v>
      </c>
      <c r="K195" s="3" t="str">
        <f t="shared" si="13"/>
        <v>[4804902G&gt;A]</v>
      </c>
      <c r="L195" s="3" t="str">
        <f t="shared" si="13"/>
        <v>[142709986C&gt;T]</v>
      </c>
      <c r="M195" s="3" t="e">
        <f t="shared" si="13"/>
        <v>#REF!</v>
      </c>
    </row>
    <row r="196" spans="1:13" x14ac:dyDescent="0.25">
      <c r="A196" s="26"/>
      <c r="J196" s="3" t="str">
        <f t="shared" si="13"/>
        <v>Wildtype</v>
      </c>
      <c r="K196" s="3" t="str">
        <f t="shared" si="13"/>
        <v>[4804902=]</v>
      </c>
      <c r="L196" s="3" t="str">
        <f t="shared" si="13"/>
        <v>[142709986=]</v>
      </c>
      <c r="M196" s="3" t="e">
        <f t="shared" si="13"/>
        <v>#REF!</v>
      </c>
    </row>
    <row r="197" spans="1:13" x14ac:dyDescent="0.25">
      <c r="A197" s="26"/>
      <c r="J197" s="3" t="str">
        <f t="shared" si="13"/>
        <v>Het</v>
      </c>
      <c r="K197" s="3" t="str">
        <f t="shared" si="13"/>
        <v>NC_000017.10:g.[4804902G&gt;A];[4804902=]</v>
      </c>
      <c r="L197" s="3" t="str">
        <f t="shared" si="13"/>
        <v>NC_000005.9:g.[142709986C&gt;T];[142709986=]</v>
      </c>
      <c r="M197" s="3" t="e">
        <f t="shared" si="13"/>
        <v>#REF!</v>
      </c>
    </row>
    <row r="198" spans="1:13" x14ac:dyDescent="0.25">
      <c r="A198" s="26"/>
      <c r="J198" s="3" t="str">
        <f t="shared" si="13"/>
        <v>Homo</v>
      </c>
      <c r="K198" s="3" t="str">
        <f t="shared" si="13"/>
        <v>NC_000017.10:g.[4804902G&gt;A];[4804902G&gt;A]</v>
      </c>
      <c r="L198" s="3" t="str">
        <f t="shared" si="13"/>
        <v>NC_000005.9:g.[142709986C&gt;T];[142709986C&gt;T]</v>
      </c>
      <c r="M198" s="3" t="e">
        <f t="shared" si="13"/>
        <v>#REF!</v>
      </c>
    </row>
    <row r="199" spans="1:13" x14ac:dyDescent="0.25">
      <c r="A199" s="26"/>
      <c r="J199" s="3" t="str">
        <f t="shared" si="13"/>
        <v>Wildtype</v>
      </c>
      <c r="K199" s="3" t="str">
        <f t="shared" si="13"/>
        <v>NC_000017.10:g.[4804902=];[4804902=]</v>
      </c>
      <c r="L199" s="3" t="str">
        <f t="shared" si="13"/>
        <v>NC_000005.9:g.[142709986=];[142709986=]</v>
      </c>
      <c r="M199" s="3" t="e">
        <f t="shared" si="13"/>
        <v>#REF!</v>
      </c>
    </row>
    <row r="200" spans="1:13" x14ac:dyDescent="0.25">
      <c r="A200" s="26"/>
      <c r="J200" s="3" t="str">
        <f t="shared" si="13"/>
        <v>Het%</v>
      </c>
      <c r="K200" s="3">
        <f t="shared" si="13"/>
        <v>7.1</v>
      </c>
      <c r="L200" s="3">
        <f t="shared" si="13"/>
        <v>0</v>
      </c>
      <c r="M200" s="3">
        <f t="shared" si="13"/>
        <v>15.8</v>
      </c>
    </row>
    <row r="201" spans="1:13" x14ac:dyDescent="0.25">
      <c r="A201" s="26"/>
      <c r="J201" s="3" t="str">
        <f t="shared" si="13"/>
        <v>Homo%</v>
      </c>
      <c r="K201" s="3">
        <f t="shared" si="13"/>
        <v>0.2</v>
      </c>
      <c r="L201" s="3">
        <f t="shared" si="13"/>
        <v>0</v>
      </c>
      <c r="M201" s="3">
        <f t="shared" si="13"/>
        <v>4.7</v>
      </c>
    </row>
    <row r="202" spans="1:13" x14ac:dyDescent="0.25">
      <c r="A202" s="14"/>
      <c r="J202" s="3" t="str">
        <f t="shared" si="13"/>
        <v>Wildtype%</v>
      </c>
      <c r="K202" s="3">
        <f t="shared" si="13"/>
        <v>92.7</v>
      </c>
      <c r="L202" s="3">
        <f t="shared" si="13"/>
        <v>0</v>
      </c>
      <c r="M202" s="3">
        <f t="shared" si="13"/>
        <v>79.5</v>
      </c>
    </row>
    <row r="203" spans="1:13" x14ac:dyDescent="0.25">
      <c r="A203" s="14"/>
    </row>
    <row r="204" spans="1:13" x14ac:dyDescent="0.25">
      <c r="A204" s="14"/>
    </row>
    <row r="205" spans="1:13" x14ac:dyDescent="0.25">
      <c r="A205" s="14"/>
    </row>
    <row r="206" spans="1:13" x14ac:dyDescent="0.25">
      <c r="A206" s="14"/>
    </row>
    <row r="207" spans="1:13" x14ac:dyDescent="0.25">
      <c r="A207" s="26"/>
    </row>
    <row r="208" spans="1:13" x14ac:dyDescent="0.25">
      <c r="A208" s="26"/>
    </row>
    <row r="209" spans="1:13" x14ac:dyDescent="0.25">
      <c r="A209" s="26"/>
    </row>
    <row r="210" spans="1:13" x14ac:dyDescent="0.25">
      <c r="A210" s="26"/>
    </row>
    <row r="211" spans="1:13" x14ac:dyDescent="0.25">
      <c r="A211" s="26"/>
    </row>
    <row r="212" spans="1:13" x14ac:dyDescent="0.25">
      <c r="A212" s="26"/>
    </row>
    <row r="213" spans="1:13" x14ac:dyDescent="0.25">
      <c r="A213" s="26"/>
    </row>
    <row r="214" spans="1:13" x14ac:dyDescent="0.25">
      <c r="A214" s="26"/>
      <c r="K214" s="3" t="str">
        <f t="shared" ref="K214:M216" si="14">K192</f>
        <v>rs33383</v>
      </c>
      <c r="L214" s="3" t="str">
        <f t="shared" si="14"/>
        <v>rs33970119</v>
      </c>
      <c r="M214" s="3" t="str">
        <f t="shared" si="14"/>
        <v>rs270838</v>
      </c>
    </row>
    <row r="215" spans="1:13" s="21" customFormat="1" x14ac:dyDescent="0.25">
      <c r="A215" s="28" t="s">
        <v>70</v>
      </c>
      <c r="B215" s="20" t="str">
        <f>CONCATENATE(B61," and ",B83)</f>
        <v>G1074A (G;G) and C865T (T;T)</v>
      </c>
      <c r="C215" s="21" t="str">
        <f>CONCATENATE("&lt;# ",B215," #&gt;")</f>
        <v>&lt;# G1074A (G;G) and C865T (T;T) #&gt;</v>
      </c>
      <c r="K215" s="21" t="str">
        <f t="shared" si="14"/>
        <v>G1074A</v>
      </c>
      <c r="L215" s="21" t="str">
        <f t="shared" si="14"/>
        <v>C865T</v>
      </c>
      <c r="M215" s="21" t="e">
        <f t="shared" si="14"/>
        <v>#REF!</v>
      </c>
    </row>
    <row r="216" spans="1:13" x14ac:dyDescent="0.25">
      <c r="A216" s="14" t="s">
        <v>21</v>
      </c>
      <c r="B216" s="15" t="str">
        <f>K131</f>
        <v>NC_000017.10:g.[4804902G&gt;A];[4804902=]</v>
      </c>
      <c r="K216" s="3" t="str">
        <f t="shared" si="14"/>
        <v>NC_000017.10:g.</v>
      </c>
      <c r="L216" s="3" t="str">
        <f t="shared" si="14"/>
        <v>NC_000005.9:g.</v>
      </c>
      <c r="M216" s="3" t="e">
        <f t="shared" si="14"/>
        <v>#REF!</v>
      </c>
    </row>
    <row r="217" spans="1:13" x14ac:dyDescent="0.25">
      <c r="A217" s="14" t="s">
        <v>72</v>
      </c>
      <c r="C217" s="3" t="str">
        <f>CONCATENATE("  &lt;Analysis name=",CHAR(34),B215,CHAR(34))</f>
        <v xml:space="preserve">  &lt;Analysis name="G1074A (G;G) and C865T (T;T)"</v>
      </c>
      <c r="J217" s="3" t="str">
        <f t="shared" ref="J217:M224" si="15">J195</f>
        <v>Variant</v>
      </c>
      <c r="K217" s="3" t="str">
        <f t="shared" si="15"/>
        <v>[4804902G&gt;A]</v>
      </c>
      <c r="L217" s="3" t="str">
        <f t="shared" si="15"/>
        <v>[142709986C&gt;T]</v>
      </c>
      <c r="M217" s="3" t="e">
        <f t="shared" si="15"/>
        <v>#REF!</v>
      </c>
    </row>
    <row r="218" spans="1:13" x14ac:dyDescent="0.25">
      <c r="A218" s="26" t="s">
        <v>75</v>
      </c>
      <c r="B218" s="15" t="str">
        <f>CONCATENATE("People with this variant have two copies of the ",B22," variant and one copy of the ",B31," variant. This substitution of a single nucleotide is known as a missense mutation.")</f>
        <v>People with this variant have two copies of the [G1074A](https://www.ncbi.nlm.nih.gov/clinvar/variation/128767/) variant and one copy of the [C865T](https://www.ncbi.nlm.nih.gov/clinvar/variation/18344/) variant. This substitution of a single nucleotide is known as a missense mutation.</v>
      </c>
      <c r="C218" s="3" t="str">
        <f>CONCATENATE("            case={  variantCall ",CHAR(40),CHAR(34),K219,CHAR(34),CHAR(41))</f>
        <v xml:space="preserve">            case={  variantCall ("NC_000017.10:g.[4804902G&gt;A];[4804902=]")</v>
      </c>
      <c r="J218" s="3" t="str">
        <f t="shared" si="15"/>
        <v>Wildtype</v>
      </c>
      <c r="K218" s="3" t="str">
        <f t="shared" si="15"/>
        <v>[4804902=]</v>
      </c>
      <c r="L218" s="3" t="str">
        <f t="shared" si="15"/>
        <v>[142709986=]</v>
      </c>
      <c r="M218" s="3" t="e">
        <f t="shared" si="15"/>
        <v>#REF!</v>
      </c>
    </row>
    <row r="219" spans="1:13" x14ac:dyDescent="0.25">
      <c r="A219" s="26" t="s">
        <v>28</v>
      </c>
      <c r="B219" s="3" t="s">
        <v>117</v>
      </c>
      <c r="C219" s="3" t="s">
        <v>71</v>
      </c>
      <c r="J219" s="3" t="str">
        <f t="shared" si="15"/>
        <v>Het</v>
      </c>
      <c r="K219" s="3" t="str">
        <f t="shared" si="15"/>
        <v>NC_000017.10:g.[4804902G&gt;A];[4804902=]</v>
      </c>
      <c r="L219" s="3" t="str">
        <f t="shared" si="15"/>
        <v>NC_000005.9:g.[142709986C&gt;T];[142709986=]</v>
      </c>
      <c r="M219" s="3" t="e">
        <f t="shared" si="15"/>
        <v>#REF!</v>
      </c>
    </row>
    <row r="220" spans="1:13" x14ac:dyDescent="0.25">
      <c r="A220" s="26" t="s">
        <v>73</v>
      </c>
      <c r="C220" s="3" t="str">
        <f>CONCATENATE("                    variantCall ",CHAR(40),CHAR(34),L219,CHAR(34),CHAR(41))</f>
        <v xml:space="preserve">                    variantCall ("NC_000005.9:g.[142709986C&gt;T];[142709986=]")</v>
      </c>
      <c r="J220" s="3" t="str">
        <f t="shared" si="15"/>
        <v>Homo</v>
      </c>
      <c r="K220" s="3" t="str">
        <f t="shared" si="15"/>
        <v>NC_000017.10:g.[4804902G&gt;A];[4804902G&gt;A]</v>
      </c>
      <c r="L220" s="3" t="str">
        <f t="shared" si="15"/>
        <v>NC_000005.9:g.[142709986C&gt;T];[142709986C&gt;T]</v>
      </c>
      <c r="M220" s="3" t="e">
        <f t="shared" si="15"/>
        <v>#REF!</v>
      </c>
    </row>
    <row r="221" spans="1:13" x14ac:dyDescent="0.25">
      <c r="A221" s="26"/>
      <c r="J221" s="3" t="str">
        <f t="shared" si="15"/>
        <v>Wildtype</v>
      </c>
      <c r="K221" s="3" t="str">
        <f t="shared" si="15"/>
        <v>NC_000017.10:g.[4804902=];[4804902=]</v>
      </c>
      <c r="L221" s="3" t="str">
        <f t="shared" si="15"/>
        <v>NC_000005.9:g.[142709986=];[142709986=]</v>
      </c>
      <c r="M221" s="3" t="e">
        <f t="shared" si="15"/>
        <v>#REF!</v>
      </c>
    </row>
    <row r="222" spans="1:13" x14ac:dyDescent="0.25">
      <c r="A222" s="26"/>
      <c r="J222" s="3" t="str">
        <f t="shared" si="15"/>
        <v>Het%</v>
      </c>
      <c r="K222" s="3">
        <f t="shared" si="15"/>
        <v>7.1</v>
      </c>
      <c r="L222" s="3">
        <f t="shared" si="15"/>
        <v>0</v>
      </c>
      <c r="M222" s="3">
        <f t="shared" si="15"/>
        <v>15.8</v>
      </c>
    </row>
    <row r="223" spans="1:13" x14ac:dyDescent="0.25">
      <c r="A223" s="26"/>
      <c r="C223" s="3" t="str">
        <f>CONCATENATE("                  } &gt; ")</f>
        <v xml:space="preserve">                  } &gt; </v>
      </c>
      <c r="J223" s="3" t="str">
        <f t="shared" si="15"/>
        <v>Homo%</v>
      </c>
      <c r="K223" s="3">
        <f t="shared" si="15"/>
        <v>0.2</v>
      </c>
      <c r="L223" s="3">
        <f t="shared" si="15"/>
        <v>0</v>
      </c>
      <c r="M223" s="3">
        <f t="shared" si="15"/>
        <v>4.7</v>
      </c>
    </row>
    <row r="224" spans="1:13" x14ac:dyDescent="0.25">
      <c r="A224" s="14"/>
      <c r="J224" s="3" t="str">
        <f t="shared" si="15"/>
        <v>Wildtype%</v>
      </c>
      <c r="K224" s="3">
        <f t="shared" si="15"/>
        <v>92.7</v>
      </c>
      <c r="L224" s="3">
        <f t="shared" si="15"/>
        <v>0</v>
      </c>
      <c r="M224" s="3">
        <f t="shared" si="15"/>
        <v>79.5</v>
      </c>
    </row>
    <row r="225" spans="1:13" x14ac:dyDescent="0.25">
      <c r="A225" s="14"/>
      <c r="C225" s="3" t="s">
        <v>26</v>
      </c>
    </row>
    <row r="226" spans="1:13" x14ac:dyDescent="0.25">
      <c r="A226" s="14"/>
    </row>
    <row r="227" spans="1:13" x14ac:dyDescent="0.25">
      <c r="A227" s="14"/>
      <c r="C227" s="3" t="str">
        <f>CONCATENATE("    ",B218)</f>
        <v xml:space="preserve">    People with this variant have two copies of the [G1074A](https://www.ncbi.nlm.nih.gov/clinvar/variation/128767/) variant and one copy of the [C865T](https://www.ncbi.nlm.nih.gov/clinvar/variation/18344/) variant. This substitution of a single nucleotide is known as a missense mutation.</v>
      </c>
    </row>
    <row r="228" spans="1:13" x14ac:dyDescent="0.25">
      <c r="A228" s="14"/>
    </row>
    <row r="229" spans="1:13" x14ac:dyDescent="0.25">
      <c r="A229" s="26"/>
      <c r="C229" s="3" t="s">
        <v>29</v>
      </c>
    </row>
    <row r="230" spans="1:13" x14ac:dyDescent="0.25">
      <c r="A230" s="26"/>
    </row>
    <row r="231" spans="1:13" x14ac:dyDescent="0.25">
      <c r="A231" s="26"/>
      <c r="C231" s="3" t="str">
        <f>CONCATENATE(B219)</f>
        <v xml:space="preserve">    There is currently no data on the interaction between these variants.  However, some information exists on the individual variants. 
    # What is the effect of T928G?
Two copies of T928G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232" spans="1:13" x14ac:dyDescent="0.25">
      <c r="A232" s="26"/>
    </row>
    <row r="233" spans="1:13" x14ac:dyDescent="0.25">
      <c r="A233" s="26"/>
      <c r="C233" s="3" t="s">
        <v>30</v>
      </c>
    </row>
    <row r="234" spans="1:13" x14ac:dyDescent="0.25">
      <c r="A234" s="26"/>
    </row>
    <row r="235" spans="1:13" x14ac:dyDescent="0.25">
      <c r="A235" s="26"/>
      <c r="C235" s="3" t="str">
        <f>CONCATENATE( "    &lt;piechart percentage=",B220," /&gt;")</f>
        <v xml:space="preserve">    &lt;piechart percentage= /&gt;</v>
      </c>
    </row>
    <row r="236" spans="1:13" x14ac:dyDescent="0.25">
      <c r="A236" s="26"/>
      <c r="C236" s="3" t="str">
        <f>"  &lt;/Analysis&gt;"</f>
        <v xml:space="preserve">  &lt;/Analysis&gt;</v>
      </c>
      <c r="K236" s="3" t="str">
        <f t="shared" ref="K236:M238" si="16">K214</f>
        <v>rs33383</v>
      </c>
      <c r="L236" s="3" t="str">
        <f t="shared" si="16"/>
        <v>rs33970119</v>
      </c>
      <c r="M236" s="3" t="str">
        <f t="shared" si="16"/>
        <v>rs270838</v>
      </c>
    </row>
    <row r="237" spans="1:13" s="21" customFormat="1" x14ac:dyDescent="0.25">
      <c r="A237" s="28"/>
      <c r="B237" s="20"/>
      <c r="K237" s="21" t="str">
        <f t="shared" si="16"/>
        <v>G1074A</v>
      </c>
      <c r="L237" s="21" t="str">
        <f t="shared" si="16"/>
        <v>C865T</v>
      </c>
      <c r="M237" s="21" t="e">
        <f t="shared" si="16"/>
        <v>#REF!</v>
      </c>
    </row>
    <row r="238" spans="1:13" x14ac:dyDescent="0.25">
      <c r="A238" s="14"/>
      <c r="K238" s="3" t="str">
        <f t="shared" si="16"/>
        <v>NC_000017.10:g.</v>
      </c>
      <c r="L238" s="3" t="str">
        <f t="shared" si="16"/>
        <v>NC_000005.9:g.</v>
      </c>
      <c r="M238" s="3" t="e">
        <f t="shared" si="16"/>
        <v>#REF!</v>
      </c>
    </row>
    <row r="239" spans="1:13" x14ac:dyDescent="0.25">
      <c r="A239" s="14"/>
      <c r="J239" s="3" t="str">
        <f t="shared" ref="J239:M246" si="17">J217</f>
        <v>Variant</v>
      </c>
      <c r="K239" s="3" t="str">
        <f t="shared" si="17"/>
        <v>[4804902G&gt;A]</v>
      </c>
      <c r="L239" s="3" t="str">
        <f t="shared" si="17"/>
        <v>[142709986C&gt;T]</v>
      </c>
      <c r="M239" s="3" t="e">
        <f t="shared" si="17"/>
        <v>#REF!</v>
      </c>
    </row>
    <row r="240" spans="1:13" x14ac:dyDescent="0.25">
      <c r="A240" s="26"/>
      <c r="J240" s="3" t="str">
        <f t="shared" si="17"/>
        <v>Wildtype</v>
      </c>
      <c r="K240" s="3" t="str">
        <f t="shared" si="17"/>
        <v>[4804902=]</v>
      </c>
      <c r="L240" s="3" t="str">
        <f t="shared" si="17"/>
        <v>[142709986=]</v>
      </c>
      <c r="M240" s="3" t="e">
        <f t="shared" si="17"/>
        <v>#REF!</v>
      </c>
    </row>
    <row r="241" spans="1:13" x14ac:dyDescent="0.25">
      <c r="A241" s="26"/>
      <c r="J241" s="3" t="str">
        <f t="shared" si="17"/>
        <v>Het</v>
      </c>
      <c r="K241" s="3" t="str">
        <f t="shared" si="17"/>
        <v>NC_000017.10:g.[4804902G&gt;A];[4804902=]</v>
      </c>
      <c r="L241" s="3" t="str">
        <f t="shared" si="17"/>
        <v>NC_000005.9:g.[142709986C&gt;T];[142709986=]</v>
      </c>
      <c r="M241" s="3" t="e">
        <f t="shared" si="17"/>
        <v>#REF!</v>
      </c>
    </row>
    <row r="242" spans="1:13" x14ac:dyDescent="0.25">
      <c r="A242" s="26"/>
      <c r="J242" s="3" t="str">
        <f t="shared" si="17"/>
        <v>Homo</v>
      </c>
      <c r="K242" s="3" t="str">
        <f t="shared" si="17"/>
        <v>NC_000017.10:g.[4804902G&gt;A];[4804902G&gt;A]</v>
      </c>
      <c r="L242" s="3" t="str">
        <f t="shared" si="17"/>
        <v>NC_000005.9:g.[142709986C&gt;T];[142709986C&gt;T]</v>
      </c>
      <c r="M242" s="3" t="e">
        <f t="shared" si="17"/>
        <v>#REF!</v>
      </c>
    </row>
    <row r="243" spans="1:13" x14ac:dyDescent="0.25">
      <c r="A243" s="26"/>
      <c r="J243" s="3" t="str">
        <f t="shared" si="17"/>
        <v>Wildtype</v>
      </c>
      <c r="K243" s="3" t="str">
        <f t="shared" si="17"/>
        <v>NC_000017.10:g.[4804902=];[4804902=]</v>
      </c>
      <c r="L243" s="3" t="str">
        <f t="shared" si="17"/>
        <v>NC_000005.9:g.[142709986=];[142709986=]</v>
      </c>
      <c r="M243" s="3" t="e">
        <f t="shared" si="17"/>
        <v>#REF!</v>
      </c>
    </row>
    <row r="244" spans="1:13" x14ac:dyDescent="0.25">
      <c r="A244" s="26"/>
      <c r="J244" s="3" t="str">
        <f t="shared" si="17"/>
        <v>Het%</v>
      </c>
      <c r="K244" s="3">
        <f t="shared" si="17"/>
        <v>7.1</v>
      </c>
      <c r="L244" s="3">
        <f t="shared" si="17"/>
        <v>0</v>
      </c>
      <c r="M244" s="3">
        <f t="shared" si="17"/>
        <v>15.8</v>
      </c>
    </row>
    <row r="245" spans="1:13" x14ac:dyDescent="0.25">
      <c r="A245" s="26"/>
      <c r="J245" s="3" t="str">
        <f t="shared" si="17"/>
        <v>Homo%</v>
      </c>
      <c r="K245" s="3">
        <f t="shared" si="17"/>
        <v>0.2</v>
      </c>
      <c r="L245" s="3">
        <f t="shared" si="17"/>
        <v>0</v>
      </c>
      <c r="M245" s="3">
        <f t="shared" si="17"/>
        <v>4.7</v>
      </c>
    </row>
    <row r="246" spans="1:13" x14ac:dyDescent="0.25">
      <c r="A246" s="14"/>
      <c r="J246" s="3" t="str">
        <f t="shared" si="17"/>
        <v>Wildtype%</v>
      </c>
      <c r="K246" s="3">
        <f t="shared" si="17"/>
        <v>92.7</v>
      </c>
      <c r="L246" s="3">
        <f t="shared" si="17"/>
        <v>0</v>
      </c>
      <c r="M246" s="3">
        <f t="shared" si="17"/>
        <v>79.5</v>
      </c>
    </row>
    <row r="247" spans="1:13" x14ac:dyDescent="0.25">
      <c r="A247" s="14"/>
    </row>
    <row r="248" spans="1:13" x14ac:dyDescent="0.25">
      <c r="A248" s="14"/>
    </row>
    <row r="249" spans="1:13" x14ac:dyDescent="0.25">
      <c r="A249" s="14"/>
    </row>
    <row r="250" spans="1:13" x14ac:dyDescent="0.25">
      <c r="A250" s="14"/>
    </row>
    <row r="251" spans="1:13" x14ac:dyDescent="0.25">
      <c r="A251" s="26"/>
    </row>
    <row r="252" spans="1:13" x14ac:dyDescent="0.25">
      <c r="A252" s="26"/>
    </row>
    <row r="253" spans="1:13" x14ac:dyDescent="0.25">
      <c r="A253" s="26"/>
    </row>
    <row r="254" spans="1:13" x14ac:dyDescent="0.25">
      <c r="A254" s="26"/>
    </row>
    <row r="255" spans="1:13" x14ac:dyDescent="0.25">
      <c r="A255" s="26"/>
    </row>
    <row r="256" spans="1:13" x14ac:dyDescent="0.25">
      <c r="A256" s="26"/>
    </row>
    <row r="257" spans="1:13" x14ac:dyDescent="0.25">
      <c r="A257" s="26"/>
    </row>
    <row r="258" spans="1:13" x14ac:dyDescent="0.25">
      <c r="A258" s="26"/>
      <c r="K258" s="3" t="str">
        <f t="shared" ref="K258:M260" si="18">K236</f>
        <v>rs33383</v>
      </c>
      <c r="L258" s="3" t="str">
        <f t="shared" si="18"/>
        <v>rs33970119</v>
      </c>
      <c r="M258" s="3" t="str">
        <f t="shared" si="18"/>
        <v>rs270838</v>
      </c>
    </row>
    <row r="259" spans="1:13" s="21" customFormat="1" x14ac:dyDescent="0.25">
      <c r="A259" s="28"/>
      <c r="B259" s="20"/>
      <c r="K259" s="21" t="str">
        <f t="shared" si="18"/>
        <v>G1074A</v>
      </c>
      <c r="L259" s="21" t="str">
        <f t="shared" si="18"/>
        <v>C865T</v>
      </c>
      <c r="M259" s="21" t="e">
        <f t="shared" si="18"/>
        <v>#REF!</v>
      </c>
    </row>
    <row r="260" spans="1:13" x14ac:dyDescent="0.25">
      <c r="A260" s="14"/>
      <c r="K260" s="3" t="str">
        <f t="shared" si="18"/>
        <v>NC_000017.10:g.</v>
      </c>
      <c r="L260" s="3" t="str">
        <f t="shared" si="18"/>
        <v>NC_000005.9:g.</v>
      </c>
      <c r="M260" s="3" t="e">
        <f t="shared" si="18"/>
        <v>#REF!</v>
      </c>
    </row>
    <row r="261" spans="1:13" x14ac:dyDescent="0.25">
      <c r="A261" s="14"/>
      <c r="J261" s="3" t="str">
        <f t="shared" ref="J261:M268" si="19">J239</f>
        <v>Variant</v>
      </c>
      <c r="K261" s="3" t="str">
        <f t="shared" si="19"/>
        <v>[4804902G&gt;A]</v>
      </c>
      <c r="L261" s="3" t="str">
        <f t="shared" si="19"/>
        <v>[142709986C&gt;T]</v>
      </c>
      <c r="M261" s="3" t="e">
        <f t="shared" si="19"/>
        <v>#REF!</v>
      </c>
    </row>
    <row r="262" spans="1:13" x14ac:dyDescent="0.25">
      <c r="A262" s="26"/>
      <c r="J262" s="3" t="str">
        <f t="shared" si="19"/>
        <v>Wildtype</v>
      </c>
      <c r="K262" s="3" t="str">
        <f t="shared" si="19"/>
        <v>[4804902=]</v>
      </c>
      <c r="L262" s="3" t="str">
        <f t="shared" si="19"/>
        <v>[142709986=]</v>
      </c>
      <c r="M262" s="3" t="e">
        <f t="shared" si="19"/>
        <v>#REF!</v>
      </c>
    </row>
    <row r="263" spans="1:13" x14ac:dyDescent="0.25">
      <c r="A263" s="26"/>
      <c r="J263" s="3" t="str">
        <f t="shared" si="19"/>
        <v>Het</v>
      </c>
      <c r="K263" s="3" t="str">
        <f t="shared" si="19"/>
        <v>NC_000017.10:g.[4804902G&gt;A];[4804902=]</v>
      </c>
      <c r="L263" s="3" t="str">
        <f t="shared" si="19"/>
        <v>NC_000005.9:g.[142709986C&gt;T];[142709986=]</v>
      </c>
      <c r="M263" s="3" t="e">
        <f t="shared" si="19"/>
        <v>#REF!</v>
      </c>
    </row>
    <row r="264" spans="1:13" x14ac:dyDescent="0.25">
      <c r="A264" s="26"/>
      <c r="J264" s="3" t="str">
        <f t="shared" si="19"/>
        <v>Homo</v>
      </c>
      <c r="K264" s="3" t="str">
        <f t="shared" si="19"/>
        <v>NC_000017.10:g.[4804902G&gt;A];[4804902G&gt;A]</v>
      </c>
      <c r="L264" s="3" t="str">
        <f t="shared" si="19"/>
        <v>NC_000005.9:g.[142709986C&gt;T];[142709986C&gt;T]</v>
      </c>
      <c r="M264" s="3" t="e">
        <f t="shared" si="19"/>
        <v>#REF!</v>
      </c>
    </row>
    <row r="265" spans="1:13" x14ac:dyDescent="0.25">
      <c r="A265" s="26"/>
      <c r="J265" s="3" t="str">
        <f t="shared" si="19"/>
        <v>Wildtype</v>
      </c>
      <c r="K265" s="3" t="str">
        <f t="shared" si="19"/>
        <v>NC_000017.10:g.[4804902=];[4804902=]</v>
      </c>
      <c r="L265" s="3" t="str">
        <f t="shared" si="19"/>
        <v>NC_000005.9:g.[142709986=];[142709986=]</v>
      </c>
      <c r="M265" s="3" t="e">
        <f t="shared" si="19"/>
        <v>#REF!</v>
      </c>
    </row>
    <row r="266" spans="1:13" x14ac:dyDescent="0.25">
      <c r="A266" s="26"/>
      <c r="J266" s="3" t="str">
        <f t="shared" si="19"/>
        <v>Het%</v>
      </c>
      <c r="K266" s="3">
        <f t="shared" si="19"/>
        <v>7.1</v>
      </c>
      <c r="L266" s="3">
        <f t="shared" si="19"/>
        <v>0</v>
      </c>
      <c r="M266" s="3">
        <f t="shared" si="19"/>
        <v>15.8</v>
      </c>
    </row>
    <row r="267" spans="1:13" x14ac:dyDescent="0.25">
      <c r="A267" s="26"/>
      <c r="J267" s="3" t="str">
        <f t="shared" si="19"/>
        <v>Homo%</v>
      </c>
      <c r="K267" s="3">
        <f t="shared" si="19"/>
        <v>0.2</v>
      </c>
      <c r="L267" s="3">
        <f t="shared" si="19"/>
        <v>0</v>
      </c>
      <c r="M267" s="3">
        <f t="shared" si="19"/>
        <v>4.7</v>
      </c>
    </row>
    <row r="268" spans="1:13" x14ac:dyDescent="0.25">
      <c r="A268" s="14"/>
      <c r="J268" s="3" t="str">
        <f t="shared" si="19"/>
        <v>Wildtype%</v>
      </c>
      <c r="K268" s="3">
        <f t="shared" si="19"/>
        <v>92.7</v>
      </c>
      <c r="L268" s="3">
        <f t="shared" si="19"/>
        <v>0</v>
      </c>
      <c r="M268" s="3">
        <f t="shared" si="19"/>
        <v>79.5</v>
      </c>
    </row>
    <row r="269" spans="1:13" x14ac:dyDescent="0.25">
      <c r="A269" s="14"/>
    </row>
    <row r="270" spans="1:13" x14ac:dyDescent="0.25">
      <c r="A270" s="14"/>
    </row>
    <row r="271" spans="1:13" x14ac:dyDescent="0.25">
      <c r="A271" s="14"/>
    </row>
    <row r="272" spans="1:13" x14ac:dyDescent="0.25">
      <c r="A272" s="14"/>
    </row>
    <row r="273" spans="1:13" x14ac:dyDescent="0.25">
      <c r="A273" s="26"/>
    </row>
    <row r="274" spans="1:13" x14ac:dyDescent="0.25">
      <c r="A274" s="26"/>
    </row>
    <row r="275" spans="1:13" x14ac:dyDescent="0.25">
      <c r="A275" s="26"/>
    </row>
    <row r="276" spans="1:13" x14ac:dyDescent="0.25">
      <c r="A276" s="26"/>
    </row>
    <row r="277" spans="1:13" x14ac:dyDescent="0.25">
      <c r="A277" s="26"/>
    </row>
    <row r="278" spans="1:13" x14ac:dyDescent="0.25">
      <c r="A278" s="26"/>
    </row>
    <row r="279" spans="1:13" x14ac:dyDescent="0.25">
      <c r="A279" s="26"/>
    </row>
    <row r="280" spans="1:13" x14ac:dyDescent="0.25">
      <c r="A280" s="26"/>
      <c r="K280" s="3" t="str">
        <f t="shared" ref="K280:M284" si="20">K126</f>
        <v>rs33383</v>
      </c>
      <c r="L280" s="3" t="str">
        <f t="shared" si="20"/>
        <v>rs33970119</v>
      </c>
      <c r="M280" s="3" t="str">
        <f t="shared" si="20"/>
        <v>rs270838</v>
      </c>
    </row>
    <row r="281" spans="1:13" s="21" customFormat="1" x14ac:dyDescent="0.25">
      <c r="A281" s="28" t="s">
        <v>70</v>
      </c>
      <c r="B281" s="20" t="s">
        <v>85</v>
      </c>
      <c r="C281" s="21" t="str">
        <f>CONCATENATE("&lt;# ",B281," #&gt;")</f>
        <v>&lt;# Wild type #&gt;</v>
      </c>
      <c r="K281" s="21" t="str">
        <f t="shared" si="20"/>
        <v>G1074A</v>
      </c>
      <c r="L281" s="21" t="str">
        <f t="shared" si="20"/>
        <v>C865T</v>
      </c>
      <c r="M281" s="21" t="e">
        <f t="shared" si="20"/>
        <v>#REF!</v>
      </c>
    </row>
    <row r="282" spans="1:13" x14ac:dyDescent="0.25">
      <c r="A282" s="14" t="s">
        <v>21</v>
      </c>
      <c r="B282" s="15" t="str">
        <f>K45</f>
        <v>NC_000017.10:g.[4804902=];[4804902=]</v>
      </c>
      <c r="K282" s="3" t="str">
        <f t="shared" si="20"/>
        <v>NC_000017.10:g.</v>
      </c>
      <c r="L282" s="3" t="str">
        <f t="shared" si="20"/>
        <v>NC_000005.9:g.</v>
      </c>
      <c r="M282" s="3" t="e">
        <f t="shared" si="20"/>
        <v>#REF!</v>
      </c>
    </row>
    <row r="283" spans="1:13" x14ac:dyDescent="0.25">
      <c r="A283" s="14" t="s">
        <v>72</v>
      </c>
      <c r="B283" s="15" t="str">
        <f>L45</f>
        <v>NC_000005.9:g.[142709986=];[142709986=]</v>
      </c>
      <c r="C283" s="3" t="str">
        <f>CONCATENATE("  &lt;Analysis name=",CHAR(34),B281,CHAR(34))</f>
        <v xml:space="preserve">  &lt;Analysis name="Wild type"</v>
      </c>
      <c r="J283" s="3" t="str">
        <f>J129</f>
        <v>Variant</v>
      </c>
      <c r="K283" s="3" t="str">
        <f t="shared" si="20"/>
        <v>[4804902G&gt;A]</v>
      </c>
      <c r="L283" s="3" t="str">
        <f t="shared" si="20"/>
        <v>[142709986C&gt;T]</v>
      </c>
      <c r="M283" s="3" t="e">
        <f t="shared" si="20"/>
        <v>#REF!</v>
      </c>
    </row>
    <row r="284" spans="1:13" x14ac:dyDescent="0.25">
      <c r="A284" s="26" t="s">
        <v>75</v>
      </c>
      <c r="B284" s="15" t="str">
        <f>CONCATENATE("Your ",B12," gene has no variants. A normal gene is referred to as a ",CHAR(34),"wild-type",CHAR(34)," gene.")</f>
        <v>Your CHRNE gene has no variants. A normal gene is referred to as a "wild-type" gene.</v>
      </c>
      <c r="C284" s="3" t="str">
        <f>CONCATENATE("            case={  ",CHAR(40),"variantCall ",CHAR(40),CHAR(34),K285,CHAR(34),CHAR(41)," or variantCall ",CHAR(40),CHAR(34),K287,CHAR(34),CHAR(41),CHAR(41))</f>
        <v xml:space="preserve">            case={  (variantCall ("NC_000017.10:g.[4804902G&gt;A];[4804902=]") or variantCall ("NC_000017.10:g.[4804902=];[4804902=]"))</v>
      </c>
      <c r="J284" s="3" t="str">
        <f>J130</f>
        <v>Wildtype</v>
      </c>
      <c r="K284" s="3" t="str">
        <f t="shared" si="20"/>
        <v>[4804902=]</v>
      </c>
      <c r="L284" s="3" t="str">
        <f t="shared" si="20"/>
        <v>[142709986=]</v>
      </c>
      <c r="M284" s="3" t="e">
        <f t="shared" si="20"/>
        <v>#REF!</v>
      </c>
    </row>
    <row r="285" spans="1:13" x14ac:dyDescent="0.25">
      <c r="A285" s="26" t="s">
        <v>28</v>
      </c>
      <c r="C285" s="3" t="s">
        <v>71</v>
      </c>
      <c r="J285" s="3" t="str">
        <f t="shared" ref="J285:M290" si="21">J131</f>
        <v>Het</v>
      </c>
      <c r="K285" s="3" t="str">
        <f t="shared" si="21"/>
        <v>NC_000017.10:g.[4804902G&gt;A];[4804902=]</v>
      </c>
      <c r="L285" s="3" t="str">
        <f t="shared" si="21"/>
        <v>NC_000005.9:g.[142709986C&gt;T];[142709986=]</v>
      </c>
      <c r="M285" s="3" t="e">
        <f t="shared" si="21"/>
        <v>#REF!</v>
      </c>
    </row>
    <row r="286" spans="1:13" x14ac:dyDescent="0.25">
      <c r="A286" s="26" t="s">
        <v>73</v>
      </c>
      <c r="C286" s="3" t="str">
        <f>CONCATENATE("                    ",CHAR(40),"variantCall ",CHAR(40),CHAR(34),L285,CHAR(34),CHAR(41)," or variantCall ",CHAR(40),CHAR(34),L287,CHAR(34),CHAR(41),CHAR(41))</f>
        <v xml:space="preserve">                    (variantCall ("NC_000005.9:g.[142709986C&gt;T];[142709986=]") or variantCall ("NC_000005.9:g.[142709986=];[142709986=]"))</v>
      </c>
      <c r="J286" s="3" t="str">
        <f t="shared" si="21"/>
        <v>Homo</v>
      </c>
      <c r="K286" s="3" t="str">
        <f t="shared" si="21"/>
        <v>NC_000017.10:g.[4804902G&gt;A];[4804902G&gt;A]</v>
      </c>
      <c r="L286" s="3" t="str">
        <f t="shared" si="21"/>
        <v>NC_000005.9:g.[142709986C&gt;T];[142709986C&gt;T]</v>
      </c>
      <c r="M286" s="3" t="e">
        <f t="shared" si="21"/>
        <v>#REF!</v>
      </c>
    </row>
    <row r="287" spans="1:13" x14ac:dyDescent="0.25">
      <c r="A287" s="26"/>
      <c r="J287" s="3" t="str">
        <f t="shared" si="21"/>
        <v>Wildtype</v>
      </c>
      <c r="K287" s="3" t="str">
        <f t="shared" si="21"/>
        <v>NC_000017.10:g.[4804902=];[4804902=]</v>
      </c>
      <c r="L287" s="3" t="str">
        <f t="shared" si="21"/>
        <v>NC_000005.9:g.[142709986=];[142709986=]</v>
      </c>
      <c r="M287" s="3" t="e">
        <f t="shared" si="21"/>
        <v>#REF!</v>
      </c>
    </row>
    <row r="288" spans="1:13" x14ac:dyDescent="0.25">
      <c r="A288" s="26"/>
      <c r="J288" s="3" t="str">
        <f t="shared" si="21"/>
        <v>Het%</v>
      </c>
      <c r="K288" s="3">
        <f t="shared" si="21"/>
        <v>7.1</v>
      </c>
      <c r="L288" s="3">
        <f t="shared" si="21"/>
        <v>0</v>
      </c>
      <c r="M288" s="3">
        <f t="shared" si="21"/>
        <v>15.8</v>
      </c>
    </row>
    <row r="289" spans="1:13" x14ac:dyDescent="0.25">
      <c r="A289" s="26"/>
      <c r="C289" s="3" t="str">
        <f>CONCATENATE("                  } &gt; ")</f>
        <v xml:space="preserve">                  } &gt; </v>
      </c>
      <c r="J289" s="3" t="str">
        <f t="shared" si="21"/>
        <v>Homo%</v>
      </c>
      <c r="K289" s="3">
        <f t="shared" si="21"/>
        <v>0.2</v>
      </c>
      <c r="L289" s="3">
        <f t="shared" si="21"/>
        <v>0</v>
      </c>
      <c r="M289" s="3">
        <f t="shared" si="21"/>
        <v>4.7</v>
      </c>
    </row>
    <row r="290" spans="1:13" x14ac:dyDescent="0.25">
      <c r="A290" s="14"/>
      <c r="J290" s="3" t="str">
        <f t="shared" si="21"/>
        <v>Wildtype%</v>
      </c>
      <c r="K290" s="3">
        <f t="shared" si="21"/>
        <v>92.7</v>
      </c>
      <c r="L290" s="3">
        <f t="shared" si="21"/>
        <v>0</v>
      </c>
      <c r="M290" s="3">
        <f t="shared" si="21"/>
        <v>79.5</v>
      </c>
    </row>
    <row r="291" spans="1:13" x14ac:dyDescent="0.25">
      <c r="A291" s="14"/>
      <c r="C291" s="3" t="s">
        <v>26</v>
      </c>
    </row>
    <row r="292" spans="1:13" x14ac:dyDescent="0.25">
      <c r="A292" s="14"/>
    </row>
    <row r="293" spans="1:13" x14ac:dyDescent="0.25">
      <c r="A293" s="26"/>
      <c r="C293" s="3" t="str">
        <f>CONCATENATE("    ",B284)</f>
        <v xml:space="preserve">    Your CHRNE gene has no variants. A normal gene is referred to as a "wild-type" gene.</v>
      </c>
    </row>
    <row r="294" spans="1:13" x14ac:dyDescent="0.25">
      <c r="A294" s="26"/>
    </row>
    <row r="295" spans="1:13" x14ac:dyDescent="0.25">
      <c r="A295" s="26"/>
      <c r="C295" s="3" t="s">
        <v>30</v>
      </c>
    </row>
    <row r="296" spans="1:13" x14ac:dyDescent="0.25">
      <c r="A296" s="26"/>
    </row>
    <row r="297" spans="1:13" x14ac:dyDescent="0.25">
      <c r="A297" s="26"/>
      <c r="C297" s="3" t="str">
        <f>CONCATENATE( "    &lt;piechart percentage=",B286," /&gt;")</f>
        <v xml:space="preserve">    &lt;piechart percentage= /&gt;</v>
      </c>
    </row>
    <row r="298" spans="1:13" x14ac:dyDescent="0.25">
      <c r="A298" s="26"/>
      <c r="C298" s="3" t="str">
        <f>"  &lt;/Analysis&gt;"</f>
        <v xml:space="preserve">  &lt;/Analysis&gt;</v>
      </c>
    </row>
    <row r="299" spans="1:13" s="21" customFormat="1" x14ac:dyDescent="0.25">
      <c r="A299" s="28" t="s">
        <v>70</v>
      </c>
      <c r="B299" s="20" t="s">
        <v>86</v>
      </c>
      <c r="C299" s="21" t="str">
        <f>CONCATENATE("&lt;# ",B299," #&gt;")</f>
        <v>&lt;# Unknown #&gt;</v>
      </c>
    </row>
    <row r="300" spans="1:13" x14ac:dyDescent="0.25">
      <c r="A300" s="14" t="s">
        <v>21</v>
      </c>
      <c r="B300" s="15" t="str">
        <f>K63</f>
        <v>[4804902G&gt;A]</v>
      </c>
    </row>
    <row r="301" spans="1:13" x14ac:dyDescent="0.25">
      <c r="A301" s="14" t="s">
        <v>72</v>
      </c>
      <c r="C301" s="3" t="str">
        <f>CONCATENATE("  &lt;Analysis name=",CHAR(34),B299,CHAR(34), " case=true&gt;")</f>
        <v xml:space="preserve">  &lt;Analysis name="Unknown" case=true&gt;</v>
      </c>
    </row>
    <row r="302" spans="1:13" x14ac:dyDescent="0.25">
      <c r="A302" s="26" t="s">
        <v>75</v>
      </c>
      <c r="B302" s="15" t="s">
        <v>31</v>
      </c>
    </row>
    <row r="303" spans="1:13" x14ac:dyDescent="0.25">
      <c r="A303" s="26" t="s">
        <v>73</v>
      </c>
      <c r="B303" s="15">
        <v>0</v>
      </c>
      <c r="C303" s="3" t="s">
        <v>26</v>
      </c>
    </row>
    <row r="304" spans="1:13" x14ac:dyDescent="0.25">
      <c r="A304" s="26"/>
    </row>
    <row r="305" spans="1:3" x14ac:dyDescent="0.25">
      <c r="A305" s="14"/>
      <c r="C305" s="3" t="str">
        <f>CONCATENATE("    ",B302)</f>
        <v xml:space="preserve">    The effect is unknown.</v>
      </c>
    </row>
    <row r="306" spans="1:3" x14ac:dyDescent="0.25">
      <c r="A306" s="14"/>
    </row>
    <row r="307" spans="1:3" x14ac:dyDescent="0.25">
      <c r="A307" s="14"/>
      <c r="C307" s="3" t="s">
        <v>30</v>
      </c>
    </row>
    <row r="308" spans="1:3" x14ac:dyDescent="0.25">
      <c r="A308" s="26"/>
    </row>
    <row r="309" spans="1:3" x14ac:dyDescent="0.25">
      <c r="A309" s="26"/>
      <c r="C309" s="3" t="str">
        <f>CONCATENATE( "    &lt;piechart percentage=",B303," /&gt;")</f>
        <v xml:space="preserve">    &lt;piechart percentage=0 /&gt;</v>
      </c>
    </row>
    <row r="310" spans="1:3" x14ac:dyDescent="0.25">
      <c r="A310" s="26"/>
      <c r="C310" s="3" t="str">
        <f>"  &lt;/Analysis&gt;"</f>
        <v xml:space="preserve">  &lt;/Analysis&gt;</v>
      </c>
    </row>
    <row r="311" spans="1:3" x14ac:dyDescent="0.25">
      <c r="A311" s="14"/>
      <c r="C311" s="31" t="s">
        <v>78</v>
      </c>
    </row>
    <row r="312" spans="1:3" s="21" customFormat="1" x14ac:dyDescent="0.25">
      <c r="A312" s="19"/>
      <c r="B312" s="20"/>
      <c r="C312" s="35"/>
    </row>
    <row r="313" spans="1:3" x14ac:dyDescent="0.25">
      <c r="A313" s="14" t="s">
        <v>79</v>
      </c>
      <c r="B313" s="15" t="s">
        <v>125</v>
      </c>
      <c r="C313" s="10" t="str">
        <f>CONCATENATE("&lt;# ",A313," ",B313," #&gt;")</f>
        <v>&lt;# Tissues brain D001921 #&gt;</v>
      </c>
    </row>
    <row r="314" spans="1:3" x14ac:dyDescent="0.25">
      <c r="A314" s="14"/>
    </row>
    <row r="315" spans="1:3" x14ac:dyDescent="0.25">
      <c r="A315" s="14"/>
      <c r="B315" s="15" t="s">
        <v>126</v>
      </c>
      <c r="C315" s="31" t="str">
        <f>CONCATENATE("&lt;TopicBar ",B315," /&gt;")</f>
        <v>&lt;TopicBar brain /&gt;</v>
      </c>
    </row>
    <row r="316" spans="1:3" x14ac:dyDescent="0.25">
      <c r="A316" s="14"/>
    </row>
    <row r="317" spans="1:3" x14ac:dyDescent="0.25">
      <c r="A317" s="14" t="s">
        <v>32</v>
      </c>
      <c r="B317" s="15" t="s">
        <v>121</v>
      </c>
      <c r="C317" s="10" t="str">
        <f>CONCATENATE("&lt;# ",A317," ",B317," #&gt;")</f>
        <v>&lt;# Symptoms depression, stress, problems with thinking or memory, brain fog, pain #&gt;</v>
      </c>
    </row>
    <row r="318" spans="1:3" x14ac:dyDescent="0.25">
      <c r="A318" s="14"/>
    </row>
    <row r="319" spans="1:3" x14ac:dyDescent="0.25">
      <c r="A319" s="14"/>
      <c r="B319" s="15" t="s">
        <v>122</v>
      </c>
      <c r="C319" s="31" t="str">
        <f>CONCATENATE("&lt;TopicBar ",B319," /&gt;")</f>
        <v>&lt;TopicBar mesh_D003863 mesh_D040701 mesh_D008569 mesh_D010146 /&gt;</v>
      </c>
    </row>
    <row r="320" spans="1:3" x14ac:dyDescent="0.25">
      <c r="A320" s="14"/>
      <c r="C320" s="31"/>
    </row>
    <row r="321" spans="1:3" x14ac:dyDescent="0.25">
      <c r="A321" s="14" t="s">
        <v>48</v>
      </c>
      <c r="B321" s="15" t="s">
        <v>123</v>
      </c>
      <c r="C321" s="10" t="str">
        <f>CONCATENATE("&lt;# ",A321," ",B321," #&gt;")</f>
        <v>&lt;# Diseases schizophrenia D012559; major depressive disorder D003866; ME/CFS D015673;  #&gt;</v>
      </c>
    </row>
    <row r="322" spans="1:3" x14ac:dyDescent="0.25">
      <c r="A322" s="14"/>
    </row>
    <row r="323" spans="1:3" x14ac:dyDescent="0.25">
      <c r="A323" s="14"/>
      <c r="B323" s="15" t="s">
        <v>124</v>
      </c>
      <c r="C323" s="31" t="str">
        <f>CONCATENATE("&lt;TopicBar ",B323," /&gt;")</f>
        <v>&lt;TopicBar mesh_D012559 mesh_D003866 mesh_D015673 /&gt;</v>
      </c>
    </row>
    <row r="324" spans="1:3" x14ac:dyDescent="0.25">
      <c r="A324" s="14"/>
    </row>
    <row r="325" spans="1:3" s="21" customFormat="1" x14ac:dyDescent="0.25">
      <c r="A325" s="28"/>
      <c r="B325" s="20"/>
    </row>
    <row r="326" spans="1:3" x14ac:dyDescent="0.25">
      <c r="B326" s="30"/>
    </row>
    <row r="328" spans="1:3" x14ac:dyDescent="0.25">
      <c r="B328" s="30"/>
    </row>
    <row r="330" spans="1:3" x14ac:dyDescent="0.25">
      <c r="B330" s="30"/>
    </row>
    <row r="332" spans="1:3" x14ac:dyDescent="0.25">
      <c r="B332" s="30"/>
    </row>
    <row r="334" spans="1:3" x14ac:dyDescent="0.25">
      <c r="B334" s="3"/>
    </row>
    <row r="336" spans="1:3" x14ac:dyDescent="0.25">
      <c r="B336" s="3"/>
    </row>
    <row r="1008" spans="3:3" x14ac:dyDescent="0.25">
      <c r="C1008" s="3" t="str">
        <f>CONCATENATE("    This variant is a change at a specific point in the ",B999," gene from ",B1008," to ",B1009," resulting in incorrect ",B1002,"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14" spans="3:3" x14ac:dyDescent="0.25">
      <c r="C1014" s="3" t="str">
        <f>CONCATENATE("    This variant is a change at a specific point in the ",B999," gene from ",B1014," to ",B1015," resulting in incorrect ",B1002,"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44" spans="3:3" x14ac:dyDescent="0.25">
      <c r="C1144" s="3" t="str">
        <f>CONCATENATE("    This variant is a change at a specific point in the ",B1135," gene from ",B1144," to ",B1145," resulting in incorrect ",B1138,"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0" spans="3:3" x14ac:dyDescent="0.25">
      <c r="C1150" s="3" t="str">
        <f>CONCATENATE("    This variant is a change at a specific point in the ",B1135," gene from ",B1150," to ",B1151," resulting in incorrect ",B1138,"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52" spans="3:3" x14ac:dyDescent="0.25">
      <c r="C1552" s="3" t="str">
        <f>CONCATENATE("    This variant is a change at a specific point in the ",B1543," gene from ",B1552," to ",B1553," resulting in incorrect ",B1546,"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58" spans="3:3" x14ac:dyDescent="0.25">
      <c r="C1558" s="3" t="str">
        <f>CONCATENATE("    This variant is a change at a specific point in the ",B1543," gene from ",B1558," to ",B1559," resulting in incorrect ",B1546,"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88" spans="3:3" x14ac:dyDescent="0.25">
      <c r="C1688" s="3" t="str">
        <f>CONCATENATE("    This variant is a change at a specific point in the ",B1679," gene from ",B1688," to ",B1689," resulting in incorrect ",B1682,"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94" spans="3:3" x14ac:dyDescent="0.25">
      <c r="C1694" s="3" t="str">
        <f>CONCATENATE("    This variant is a change at a specific point in the ",B1679," gene from ",B1694," to ",B1695," resulting in incorrect ",B1682,"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24" spans="3:3" x14ac:dyDescent="0.25">
      <c r="C1824" s="3" t="str">
        <f>CONCATENATE("    This variant is a change at a specific point in the ",B1815," gene from ",B1824," to ",B1825," resulting in incorrect ",B1818,"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0" spans="3:3" x14ac:dyDescent="0.25">
      <c r="C1830" s="3" t="str">
        <f>CONCATENATE("    This variant is a change at a specific point in the ",B1815," gene from ",B1830," to ",B1831," resulting in incorrect ",B1818,"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60" spans="3:3" x14ac:dyDescent="0.25">
      <c r="C1960" s="3" t="str">
        <f>CONCATENATE("    This variant is a change at a specific point in the ",B1951," gene from ",B1960," to ",B1961," resulting in incorrect ",B1954,"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66" spans="3:3" x14ac:dyDescent="0.25">
      <c r="C1966" s="3" t="str">
        <f>CONCATENATE("    This variant is a change at a specific point in the ",B1951," gene from ",B1966," to ",B1967," resulting in incorrect ",B1954,"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96" spans="3:3" x14ac:dyDescent="0.25">
      <c r="C2096" s="3" t="str">
        <f>CONCATENATE("    This variant is a change at a specific point in the ",B2087," gene from ",B2096," to ",B2097," resulting in incorrect ",B2090,"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2" spans="3:3" x14ac:dyDescent="0.25">
      <c r="C2102" s="3" t="str">
        <f>CONCATENATE("    This variant is a change at a specific point in the ",B2087," gene from ",B2102," to ",B2103," resulting in incorrect ",B2090,"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32" spans="3:3" x14ac:dyDescent="0.25">
      <c r="C2232" s="3" t="str">
        <f>CONCATENATE("    This variant is a change at a specific point in the ",B2223," gene from ",B2232," to ",B2233," resulting in incorrect ",B2226,"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38" spans="3:3" x14ac:dyDescent="0.25">
      <c r="C2238" s="3" t="str">
        <f>CONCATENATE("    This variant is a change at a specific point in the ",B2223," gene from ",B2238," to ",B2239," resulting in incorrect ",B2226,"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68" spans="3:3" x14ac:dyDescent="0.25">
      <c r="C2368" s="3" t="str">
        <f>CONCATENATE("    This variant is a change at a specific point in the ",B2359," gene from ",B2368," to ",B2369," resulting in incorrect ",B2362,"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74" spans="3:3" x14ac:dyDescent="0.25">
      <c r="C2374" s="3" t="str">
        <f>CONCATENATE("    This variant is a change at a specific point in the ",B2359," gene from ",B2374," to ",B2375," resulting in incorrect ",B2362,"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04" spans="3:3" x14ac:dyDescent="0.25">
      <c r="C2504" s="3" t="str">
        <f>CONCATENATE("    This variant is a change at a specific point in the ",B2495," gene from ",B2504," to ",B2505," resulting in incorrect ",B2498,"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0" spans="3:3" x14ac:dyDescent="0.25">
      <c r="C2510" s="3" t="str">
        <f>CONCATENATE("    This variant is a change at a specific point in the ",B2495," gene from ",B2510," to ",B2511," resulting in incorrect ",B2498,"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44087-EF93-4A10-9A69-0588EA669690}">
  <dimension ref="A1:AJ2297"/>
  <sheetViews>
    <sheetView topLeftCell="A16" workbookViewId="0">
      <selection activeCell="C17" sqref="C17"/>
    </sheetView>
  </sheetViews>
  <sheetFormatPr defaultRowHeight="15.75" x14ac:dyDescent="0.25"/>
  <cols>
    <col min="1" max="1" width="16.28515625" style="3" customWidth="1"/>
    <col min="2" max="2" width="58.28515625" style="15" customWidth="1"/>
    <col min="3" max="6" width="9.140625" style="3"/>
    <col min="7" max="7" width="10.28515625" style="3" bestFit="1" customWidth="1"/>
    <col min="8" max="8" width="13" style="3" customWidth="1"/>
    <col min="9" max="9" width="13.4257812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8" t="s">
        <v>0</v>
      </c>
      <c r="B1" s="9" t="s">
        <v>1</v>
      </c>
      <c r="C1" s="8" t="s">
        <v>2</v>
      </c>
      <c r="H1" s="10"/>
      <c r="I1" s="11"/>
      <c r="J1" s="10"/>
      <c r="K1" s="10"/>
      <c r="L1" s="10"/>
      <c r="Y1" s="12"/>
      <c r="AC1" s="12"/>
      <c r="AF1" s="13"/>
      <c r="AG1" s="13"/>
      <c r="AJ1" s="13"/>
    </row>
    <row r="2" spans="1:36" x14ac:dyDescent="0.25">
      <c r="A2" s="14" t="s">
        <v>35</v>
      </c>
      <c r="B2" t="s">
        <v>127</v>
      </c>
      <c r="C2" s="3" t="str">
        <f>CONCATENATE("&lt;",A2," ",B2," /&gt;")</f>
        <v>&lt;Gene_Name CLYBL /&gt;</v>
      </c>
      <c r="D2" s="15"/>
      <c r="H2" s="10"/>
      <c r="I2" s="11"/>
      <c r="J2" s="10"/>
      <c r="K2" s="10"/>
      <c r="L2" s="10"/>
      <c r="Y2" s="12"/>
      <c r="AC2" s="12"/>
      <c r="AF2" s="13"/>
      <c r="AG2" s="13"/>
      <c r="AJ2" s="13"/>
    </row>
    <row r="3" spans="1:36" x14ac:dyDescent="0.25">
      <c r="A3" s="8"/>
      <c r="B3" s="9"/>
      <c r="C3" s="8"/>
      <c r="D3" s="15"/>
      <c r="H3" s="10"/>
      <c r="I3" s="11"/>
      <c r="J3" s="10"/>
      <c r="K3" s="10"/>
      <c r="L3" s="10"/>
      <c r="Y3" s="12"/>
      <c r="AC3" s="12"/>
      <c r="AF3" s="13"/>
      <c r="AG3" s="13"/>
      <c r="AJ3" s="13"/>
    </row>
    <row r="4" spans="1:36" x14ac:dyDescent="0.25">
      <c r="A4" s="14" t="s">
        <v>37</v>
      </c>
      <c r="B4" s="15" t="s">
        <v>128</v>
      </c>
      <c r="C4" s="3" t="str">
        <f>CONCATENATE("&lt;",A4," ",B4," /&gt;")</f>
        <v>&lt;GeneName_full Citramalyl-CoA lyase, mitochondrial /&gt;</v>
      </c>
      <c r="D4" s="15"/>
      <c r="H4" s="10"/>
      <c r="I4" s="11"/>
      <c r="J4" s="10"/>
      <c r="K4" s="10"/>
      <c r="L4" s="10"/>
      <c r="Y4" s="12"/>
      <c r="AC4" s="12"/>
      <c r="AF4" s="13"/>
      <c r="AG4" s="13"/>
      <c r="AJ4" s="13"/>
    </row>
    <row r="5" spans="1:36" x14ac:dyDescent="0.25">
      <c r="A5" s="14"/>
      <c r="B5" s="9"/>
      <c r="C5" s="8"/>
      <c r="D5" s="15"/>
      <c r="H5" s="10"/>
      <c r="I5" s="11"/>
      <c r="J5" s="10"/>
      <c r="K5" s="10"/>
      <c r="L5" s="10"/>
      <c r="Y5" s="12"/>
      <c r="AC5" s="12"/>
      <c r="AF5" s="13"/>
      <c r="AG5" s="13"/>
      <c r="AJ5" s="13"/>
    </row>
    <row r="6" spans="1:36" x14ac:dyDescent="0.25">
      <c r="A6" s="14"/>
      <c r="B6" s="3"/>
      <c r="C6" s="3" t="str">
        <f>CONCATENATE("# What does the ",B2," gene do?")</f>
        <v># What does the CLYBL gene do?</v>
      </c>
      <c r="H6" s="10"/>
      <c r="I6" s="11"/>
      <c r="J6" s="10"/>
      <c r="K6" s="10"/>
      <c r="L6" s="10"/>
      <c r="Y6" s="16"/>
      <c r="Z6" s="16"/>
      <c r="AA6" s="16"/>
      <c r="AC6" s="16"/>
      <c r="AF6" s="13"/>
      <c r="AJ6" s="13"/>
    </row>
    <row r="7" spans="1:36" x14ac:dyDescent="0.25">
      <c r="A7" s="14"/>
      <c r="I7" s="17"/>
      <c r="Y7" s="16"/>
      <c r="Z7" s="16"/>
      <c r="AA7" s="16"/>
      <c r="AC7" s="16"/>
      <c r="AF7" s="13"/>
      <c r="AJ7" s="13"/>
    </row>
    <row r="8" spans="1:36" x14ac:dyDescent="0.25">
      <c r="A8" s="14" t="s">
        <v>5</v>
      </c>
      <c r="B8" s="37" t="s">
        <v>129</v>
      </c>
      <c r="C8" s="3" t="str">
        <f>CONCATENATE(B8," This gene is located on chromosome ",B9,".")</f>
        <v>[CLYBL](http://www.uniprot.org/uniprot/Q8N0X4) creates an energy production enzyme involved in the metabolism of vitamin B12 . It also involved in removing metals like magnesium and the citric acid cycle, which controls energy production and biosynthesis. Vitamin B12 is required for red blood cell formation, protein metabolism, neurological function, homocysteine conversion, and replicating DNA. Vitamin B12 plays a fundamental role in [detoxification](https://www.ncbi.nlm.nih.gov/pubmed/19409980) due to its substantial [antioxidant](https://www.ncbi.nlm.nih.gov/pubmed/19799418) properties. Vitamin B12 deficiency is linked with [anemia, neurodegenerative disorder, cardiovascular disease, gastrointestinal disease](https://www.ncbi.nlm.nih.gov/pubmed/22367966), and [ME/CFS](https://www.ncbi.nlm.nih.gov/pubmed/29100069). This gene is located on chromosome 13.</v>
      </c>
      <c r="I8" s="17"/>
      <c r="X8" s="18"/>
      <c r="Y8" s="16"/>
      <c r="Z8" s="16"/>
      <c r="AA8" s="16"/>
      <c r="AC8" s="16"/>
    </row>
    <row r="9" spans="1:36" x14ac:dyDescent="0.25">
      <c r="A9" s="14" t="s">
        <v>6</v>
      </c>
      <c r="B9" s="2">
        <v>13</v>
      </c>
      <c r="I9" s="17"/>
      <c r="Y9" s="16"/>
      <c r="Z9" s="16"/>
      <c r="AA9" s="16"/>
      <c r="AC9" s="16"/>
    </row>
    <row r="10" spans="1:36" x14ac:dyDescent="0.25">
      <c r="A10" s="14" t="s">
        <v>7</v>
      </c>
      <c r="B10" s="2" t="s">
        <v>130</v>
      </c>
      <c r="Y10" s="12"/>
      <c r="AC10" s="16"/>
    </row>
    <row r="11" spans="1:36" s="21" customFormat="1" ht="16.5" thickBot="1" x14ac:dyDescent="0.3">
      <c r="A11" s="19"/>
      <c r="B11" s="20"/>
    </row>
    <row r="12" spans="1:36" ht="16.5" thickBot="1" x14ac:dyDescent="0.3">
      <c r="A12" s="14" t="s">
        <v>3</v>
      </c>
      <c r="B12" t="s">
        <v>127</v>
      </c>
      <c r="C12" s="3" t="str">
        <f>CONCATENATE("&lt;GeneMap name= ",CHAR(34),B12,CHAR(34)," interval=",CHAR(34),B13,"=",CHAR(34),"&gt;")</f>
        <v>&lt;GeneMap name= "CLYBL" interval="NC_000013.10:g.100258919_100549388="&gt;</v>
      </c>
      <c r="J12" s="23"/>
      <c r="K12" s="23"/>
      <c r="L12" s="23"/>
      <c r="M12" s="23"/>
      <c r="N12" s="23"/>
      <c r="O12" s="24"/>
      <c r="P12" s="25"/>
      <c r="Q12" s="24"/>
      <c r="R12" s="24"/>
      <c r="S12" s="25"/>
      <c r="T12" s="25"/>
      <c r="U12" s="24"/>
      <c r="V12" s="24"/>
      <c r="W12" s="25"/>
      <c r="X12" s="25"/>
      <c r="Y12" s="25"/>
      <c r="Z12" s="25"/>
    </row>
    <row r="13" spans="1:36" x14ac:dyDescent="0.25">
      <c r="A13" s="14" t="s">
        <v>9</v>
      </c>
      <c r="B13" t="s">
        <v>134</v>
      </c>
      <c r="J13" s="15"/>
      <c r="K13" s="15"/>
      <c r="L13" s="15"/>
      <c r="M13" s="15"/>
      <c r="N13" s="15"/>
      <c r="O13" s="15"/>
      <c r="P13" s="15"/>
      <c r="Q13" s="15"/>
      <c r="R13" s="15"/>
      <c r="S13" s="15"/>
      <c r="T13" s="15"/>
      <c r="U13" s="15"/>
      <c r="V13" s="15"/>
      <c r="W13" s="15"/>
      <c r="X13" s="15"/>
      <c r="Y13" s="15"/>
      <c r="Z13" s="15"/>
    </row>
    <row r="14" spans="1:36" x14ac:dyDescent="0.25">
      <c r="A14" s="14" t="s">
        <v>11</v>
      </c>
      <c r="B14" t="s">
        <v>131</v>
      </c>
      <c r="C14" s="3" t="str">
        <f>CONCATENATE("# What are some common variants of ",B12,"?")</f>
        <v># What are some common variants of CLYBL?</v>
      </c>
      <c r="J14" s="15"/>
      <c r="K14" s="15"/>
      <c r="L14" s="15"/>
      <c r="M14" s="15"/>
      <c r="N14" s="15"/>
      <c r="O14" s="15"/>
      <c r="P14" s="15"/>
      <c r="Q14" s="15"/>
      <c r="R14" s="15"/>
      <c r="S14" s="15"/>
      <c r="T14" s="15"/>
      <c r="U14" s="15"/>
      <c r="V14" s="15"/>
      <c r="W14" s="15"/>
      <c r="X14" s="15"/>
      <c r="Y14" s="15"/>
      <c r="Z14" s="15"/>
    </row>
    <row r="15" spans="1:36" x14ac:dyDescent="0.25">
      <c r="A15" s="14"/>
      <c r="B15"/>
      <c r="C15" s="3" t="s">
        <v>13</v>
      </c>
      <c r="J15" s="15"/>
      <c r="K15" s="15"/>
      <c r="L15" s="15"/>
      <c r="M15" s="15"/>
      <c r="N15" s="15"/>
      <c r="O15" s="15"/>
      <c r="P15" s="15"/>
      <c r="Q15" s="15"/>
      <c r="R15" s="15"/>
      <c r="S15" s="15"/>
      <c r="T15" s="15"/>
      <c r="U15" s="15"/>
      <c r="V15" s="15"/>
      <c r="W15" s="15"/>
      <c r="X15" s="15"/>
      <c r="Y15" s="15"/>
      <c r="Z15" s="15"/>
    </row>
    <row r="16" spans="1:36" x14ac:dyDescent="0.25">
      <c r="B16"/>
      <c r="C16" s="3" t="str">
        <f>CONCATENATE("A variant is a change at a specific point in the gene from the expected nucleotide sequence to another, resulting in incorrect ", B10," function. There is ",B14," common variant in ",B12,": ",B22,".")</f>
        <v>A variant is a change at a specific point in the gene from the expected nucleotide sequence to another, resulting in incorrect mitochondrial enzyme function. There is one common variant in CLYBL: [C775T (Arg259Ter)](https://www.ncbi.nlm.nih.gov/pubmed/29100069).</v>
      </c>
      <c r="J16" s="15"/>
      <c r="K16" s="15"/>
      <c r="L16" s="15"/>
      <c r="M16" s="15"/>
      <c r="N16" s="15"/>
      <c r="O16" s="15"/>
      <c r="P16" s="15"/>
      <c r="Q16" s="15"/>
      <c r="R16" s="15"/>
      <c r="S16" s="15"/>
      <c r="T16" s="15"/>
      <c r="U16" s="15"/>
      <c r="V16" s="15"/>
      <c r="W16" s="15"/>
      <c r="X16" s="15"/>
      <c r="Y16" s="15"/>
      <c r="Z16" s="15"/>
    </row>
    <row r="17" spans="1:26" x14ac:dyDescent="0.25">
      <c r="B17"/>
      <c r="J17" s="15"/>
      <c r="K17" s="15"/>
      <c r="L17" s="15"/>
      <c r="M17" s="15"/>
      <c r="N17" s="15"/>
      <c r="O17" s="15"/>
      <c r="P17" s="15"/>
      <c r="Q17" s="15"/>
      <c r="R17" s="15"/>
      <c r="S17" s="15"/>
      <c r="T17" s="15"/>
      <c r="U17" s="15"/>
      <c r="V17" s="15"/>
      <c r="W17" s="15"/>
      <c r="X17" s="15"/>
      <c r="Y17" s="15"/>
      <c r="Z17" s="15"/>
    </row>
    <row r="18" spans="1:26" x14ac:dyDescent="0.25">
      <c r="A18" s="14" t="s">
        <v>14</v>
      </c>
      <c r="B18" t="s">
        <v>136</v>
      </c>
      <c r="C18" s="3" t="str">
        <f>CONCATENATE("&lt;# ",B19," #&gt;")</f>
        <v>&lt;# C775T #&gt;</v>
      </c>
      <c r="J18" s="15"/>
      <c r="K18" s="15"/>
      <c r="L18" s="15"/>
      <c r="M18" s="15"/>
      <c r="N18" s="15"/>
      <c r="O18" s="15"/>
      <c r="P18" s="15"/>
      <c r="Q18" s="15"/>
      <c r="R18" s="15"/>
      <c r="S18" s="15"/>
      <c r="T18" s="15"/>
      <c r="U18" s="15"/>
      <c r="V18" s="15"/>
      <c r="W18" s="15"/>
      <c r="X18" s="15"/>
      <c r="Y18" s="15"/>
      <c r="Z18" s="15"/>
    </row>
    <row r="19" spans="1:26" x14ac:dyDescent="0.25">
      <c r="A19" s="26" t="s">
        <v>15</v>
      </c>
      <c r="B19" t="s">
        <v>132</v>
      </c>
      <c r="J19" s="6"/>
      <c r="K19" s="15"/>
      <c r="L19" s="15"/>
      <c r="M19" s="15"/>
      <c r="N19" s="15"/>
      <c r="O19" s="15"/>
      <c r="P19" s="15"/>
      <c r="Q19" s="15"/>
      <c r="R19" s="15"/>
      <c r="S19" s="15"/>
      <c r="T19" s="15"/>
      <c r="U19" s="15"/>
      <c r="V19" s="15"/>
      <c r="W19" s="15"/>
      <c r="X19" s="15"/>
      <c r="Y19" s="15"/>
      <c r="Z19" s="15"/>
    </row>
    <row r="20" spans="1:26" x14ac:dyDescent="0.25">
      <c r="A20" s="26" t="s">
        <v>17</v>
      </c>
      <c r="B20" t="s">
        <v>18</v>
      </c>
      <c r="C20" s="3" t="str">
        <f>CONCATENATE("  &lt;Variant hgvs=",CHAR(34),B18,CHAR(34)," name=",CHAR(34),B19,CHAR(34),"&gt; ")</f>
        <v xml:space="preserve">  &lt;Variant hgvs="NC_000013.10:g.100518634C&gt;T" name="C775T"&gt; </v>
      </c>
      <c r="J20" s="2"/>
      <c r="K20" s="15"/>
      <c r="L20" s="15"/>
      <c r="M20" s="15"/>
      <c r="N20" s="15"/>
      <c r="O20" s="15"/>
      <c r="P20" s="15"/>
      <c r="Q20" s="15"/>
      <c r="R20" s="15"/>
      <c r="S20" s="15"/>
      <c r="T20" s="15"/>
      <c r="U20" s="15"/>
      <c r="V20" s="15"/>
      <c r="W20" s="15"/>
      <c r="X20" s="15"/>
      <c r="Y20" s="15"/>
      <c r="Z20" s="15"/>
    </row>
    <row r="21" spans="1:26" x14ac:dyDescent="0.25">
      <c r="A21" s="26" t="s">
        <v>19</v>
      </c>
      <c r="B21" t="s">
        <v>20</v>
      </c>
      <c r="H21" s="15"/>
      <c r="I21" s="15"/>
      <c r="J21" s="2"/>
      <c r="K21" s="15"/>
      <c r="L21" s="15"/>
      <c r="M21" s="15"/>
      <c r="N21" s="15"/>
      <c r="O21" s="15"/>
      <c r="P21" s="15"/>
      <c r="Q21" s="15"/>
      <c r="R21" s="15"/>
      <c r="S21" s="15"/>
      <c r="T21" s="15"/>
      <c r="U21" s="15"/>
      <c r="V21" s="15"/>
      <c r="W21" s="15"/>
      <c r="X21" s="15"/>
      <c r="Y21" s="15"/>
      <c r="Z21" s="15"/>
    </row>
    <row r="22" spans="1:26" x14ac:dyDescent="0.25">
      <c r="A22" s="26" t="s">
        <v>21</v>
      </c>
      <c r="B22" t="s">
        <v>133</v>
      </c>
      <c r="C22" s="3" t="str">
        <f>CONCATENATE("    Instead of ",B20,", there is a ",B21," nucleotide.")</f>
        <v xml:space="preserve">    Instead of cytosine (C), there is a thymine (T) nucleotide.</v>
      </c>
      <c r="H22" s="15"/>
      <c r="I22" s="15"/>
      <c r="J22" s="7"/>
      <c r="K22" s="15"/>
      <c r="L22" s="15"/>
      <c r="M22" s="15"/>
      <c r="N22" s="15"/>
      <c r="O22" s="15"/>
      <c r="P22" s="15"/>
      <c r="Q22" s="15"/>
      <c r="R22" s="15"/>
      <c r="S22" s="15"/>
      <c r="T22" s="15"/>
      <c r="U22" s="15"/>
      <c r="V22" s="15"/>
      <c r="W22" s="15"/>
      <c r="X22" s="15"/>
      <c r="Y22" s="15"/>
      <c r="Z22" s="15"/>
    </row>
    <row r="23" spans="1:26" x14ac:dyDescent="0.25">
      <c r="A23" s="3" t="s">
        <v>65</v>
      </c>
      <c r="B23" t="s">
        <v>137</v>
      </c>
      <c r="H23" s="2"/>
      <c r="I23" s="2"/>
      <c r="J23" s="15"/>
      <c r="K23" s="15"/>
      <c r="L23" s="15"/>
      <c r="M23" s="15"/>
      <c r="N23" s="15"/>
      <c r="O23" s="15"/>
      <c r="P23" s="15"/>
      <c r="Q23" s="15"/>
      <c r="R23" s="15"/>
      <c r="S23" s="15"/>
      <c r="T23" s="15"/>
      <c r="U23" s="15"/>
      <c r="V23" s="15"/>
      <c r="W23" s="15"/>
      <c r="X23" s="15"/>
      <c r="Y23" s="15"/>
      <c r="Z23" s="15"/>
    </row>
    <row r="24" spans="1:26" x14ac:dyDescent="0.25">
      <c r="A24" s="3" t="s">
        <v>51</v>
      </c>
      <c r="B24" s="7" t="s">
        <v>138</v>
      </c>
      <c r="C24" s="3" t="str">
        <f>"  &lt;/Variant&gt;"</f>
        <v xml:space="preserve">  &lt;/Variant&gt;</v>
      </c>
      <c r="H24" s="2"/>
      <c r="I24" s="2"/>
      <c r="J24" s="15"/>
      <c r="K24" s="15"/>
      <c r="L24" s="15"/>
      <c r="M24" s="15"/>
      <c r="N24" s="15"/>
      <c r="O24" s="15"/>
      <c r="P24" s="15"/>
      <c r="Q24" s="15"/>
      <c r="R24" s="15"/>
      <c r="S24" s="15"/>
      <c r="T24" s="15"/>
      <c r="U24" s="15"/>
      <c r="V24" s="15"/>
      <c r="W24" s="15"/>
      <c r="X24" s="15"/>
      <c r="Y24" s="15"/>
      <c r="Z24" s="15"/>
    </row>
    <row r="25" spans="1:26" x14ac:dyDescent="0.25">
      <c r="A25" s="26" t="s">
        <v>52</v>
      </c>
      <c r="B25" s="7" t="s">
        <v>139</v>
      </c>
      <c r="J25" s="6"/>
    </row>
    <row r="26" spans="1:26" x14ac:dyDescent="0.25">
      <c r="B26" s="3"/>
    </row>
    <row r="27" spans="1:26" s="21" customFormat="1" x14ac:dyDescent="0.25">
      <c r="A27" s="28"/>
      <c r="B27" s="20"/>
    </row>
    <row r="28" spans="1:26" s="10" customFormat="1" x14ac:dyDescent="0.25">
      <c r="A28" s="32"/>
      <c r="B28" s="33"/>
      <c r="C28" s="34" t="s">
        <v>62</v>
      </c>
      <c r="L28" s="38"/>
    </row>
    <row r="29" spans="1:26" s="10" customFormat="1" x14ac:dyDescent="0.25">
      <c r="A29" s="32"/>
      <c r="B29" s="33"/>
      <c r="K29" s="39" t="s">
        <v>135</v>
      </c>
      <c r="L29" s="38"/>
      <c r="M29" s="11"/>
    </row>
    <row r="30" spans="1:26" s="21" customFormat="1" x14ac:dyDescent="0.25">
      <c r="A30" s="28" t="s">
        <v>70</v>
      </c>
      <c r="B30" s="20" t="str">
        <f>CONCATENATE(B19," (C;T)")</f>
        <v>C775T (C;T)</v>
      </c>
      <c r="C30" s="21" t="str">
        <f>CONCATENATE("&lt;# ",B30," #&gt;")</f>
        <v>&lt;# C775T (C;T) #&gt;</v>
      </c>
      <c r="K30" s="21" t="str">
        <f>B19</f>
        <v>C775T</v>
      </c>
    </row>
    <row r="31" spans="1:26" s="10" customFormat="1" x14ac:dyDescent="0.25">
      <c r="A31" s="3" t="s">
        <v>21</v>
      </c>
      <c r="B31" s="29" t="str">
        <f>K34</f>
        <v>NC_000013.10:g.[100518634C&gt;T];[100518634=]</v>
      </c>
      <c r="J31" s="3"/>
      <c r="K31" s="22" t="str">
        <f>B23</f>
        <v>NC_000013.10:g.</v>
      </c>
      <c r="L31" s="22"/>
    </row>
    <row r="32" spans="1:26" x14ac:dyDescent="0.25">
      <c r="B32" s="29"/>
      <c r="C32" s="3" t="str">
        <f>CONCATENATE("  &lt;Analysis name=",CHAR(34),B30,CHAR(34))</f>
        <v xml:space="preserve">  &lt;Analysis name="C775T (C;T)"</v>
      </c>
      <c r="J32" s="3" t="s">
        <v>21</v>
      </c>
      <c r="K32" s="15" t="str">
        <f>B24</f>
        <v>[100518634C&gt;T]</v>
      </c>
      <c r="L32" s="22"/>
      <c r="M32" s="10"/>
    </row>
    <row r="33" spans="1:13" x14ac:dyDescent="0.25">
      <c r="A33" s="5" t="s">
        <v>27</v>
      </c>
      <c r="B33" s="29" t="str">
        <f>CONCATENATE("People with this variant have one copy of the ",B22," variant. This substitution of a single nucleotide is known as a missense mutation.")</f>
        <v>People with this variant have one copy of the [C775T (Arg259Ter)](https://www.ncbi.nlm.nih.gov/pubmed/29100069) variant. This substitution of a single nucleotide is known as a missense mutation.</v>
      </c>
      <c r="C33" s="3" t="str">
        <f>CONCATENATE("            case={  variantCall ",CHAR(40),CHAR(34),K34,CHAR(34),CHAR(41))</f>
        <v xml:space="preserve">            case={  variantCall ("NC_000013.10:g.[100518634C&gt;T];[100518634=]")</v>
      </c>
      <c r="J33" s="3" t="s">
        <v>52</v>
      </c>
      <c r="K33" s="15" t="str">
        <f>B25</f>
        <v>[100518634=]</v>
      </c>
      <c r="L33" s="22"/>
      <c r="M33" s="10"/>
    </row>
    <row r="34" spans="1:13" x14ac:dyDescent="0.25">
      <c r="A34" s="1" t="s">
        <v>28</v>
      </c>
      <c r="B34" s="29" t="s">
        <v>141</v>
      </c>
      <c r="C34" s="3" t="s">
        <v>71</v>
      </c>
      <c r="J34" s="3" t="s">
        <v>63</v>
      </c>
      <c r="K34" s="15" t="str">
        <f>CONCATENATE(K31,K32,";",K33)</f>
        <v>NC_000013.10:g.[100518634C&gt;T];[100518634=]</v>
      </c>
      <c r="L34" s="15"/>
      <c r="M34" s="15"/>
    </row>
    <row r="35" spans="1:13" x14ac:dyDescent="0.25">
      <c r="A35" s="3" t="s">
        <v>73</v>
      </c>
      <c r="B35" s="29">
        <f>K37</f>
        <v>5.3</v>
      </c>
      <c r="C35" s="3" t="str">
        <f>CONCATENATE("                    ",CHAR(40),"variantCall ",CHAR(40),CHAR(34),L35,CHAR(34),CHAR(41)," or variantCall ",CHAR(40),CHAR(34),L36,CHAR(34),CHAR(41),CHAR(41))</f>
        <v xml:space="preserve">                    (variantCall ("") or variantCall (""))</v>
      </c>
      <c r="J35" s="3" t="s">
        <v>64</v>
      </c>
      <c r="K35" s="15" t="str">
        <f>CONCATENATE(K31,K32,";",K32)</f>
        <v>NC_000013.10:g.[100518634C&gt;T];[100518634C&gt;T]</v>
      </c>
      <c r="L35" s="15"/>
      <c r="M35" s="15"/>
    </row>
    <row r="36" spans="1:13" x14ac:dyDescent="0.25">
      <c r="J36" s="3" t="s">
        <v>52</v>
      </c>
      <c r="K36" s="2" t="str">
        <f>CONCATENATE(K31,K33,";",K33)</f>
        <v>NC_000013.10:g.[100518634=];[100518634=]</v>
      </c>
      <c r="L36" s="2"/>
      <c r="M36" s="2"/>
    </row>
    <row r="37" spans="1:13" x14ac:dyDescent="0.25">
      <c r="J37" s="3" t="s">
        <v>67</v>
      </c>
      <c r="K37" s="3">
        <v>5.3</v>
      </c>
      <c r="L37" s="2"/>
      <c r="M37" s="2"/>
    </row>
    <row r="38" spans="1:13" x14ac:dyDescent="0.25">
      <c r="A38" s="14"/>
      <c r="C38" s="3" t="str">
        <f>CONCATENATE("                  } &gt; ")</f>
        <v xml:space="preserve">                  } &gt; </v>
      </c>
      <c r="J38" s="3" t="s">
        <v>68</v>
      </c>
      <c r="K38" s="3">
        <v>0.9</v>
      </c>
      <c r="L38" s="2"/>
      <c r="M38" s="2"/>
    </row>
    <row r="39" spans="1:13" x14ac:dyDescent="0.25">
      <c r="A39" s="26"/>
      <c r="J39" s="3" t="s">
        <v>69</v>
      </c>
      <c r="K39" s="3">
        <v>93.8</v>
      </c>
      <c r="L39" s="2"/>
      <c r="M39" s="2"/>
    </row>
    <row r="40" spans="1:13" x14ac:dyDescent="0.25">
      <c r="A40" s="14"/>
      <c r="C40" s="3" t="s">
        <v>26</v>
      </c>
      <c r="K40"/>
      <c r="L40" s="2"/>
      <c r="M40" s="2"/>
    </row>
    <row r="41" spans="1:13" x14ac:dyDescent="0.25">
      <c r="A41" s="14"/>
      <c r="K41" s="15"/>
      <c r="L41" s="15"/>
      <c r="M41" s="15"/>
    </row>
    <row r="42" spans="1:13" x14ac:dyDescent="0.25">
      <c r="A42" s="26"/>
      <c r="C42" s="3" t="str">
        <f>CONCATENATE("    ",B33)</f>
        <v xml:space="preserve">    People with this variant have one copy of the [C775T (Arg259Ter)](https://www.ncbi.nlm.nih.gov/pubmed/29100069) variant. This substitution of a single nucleotide is known as a missense mutation.</v>
      </c>
      <c r="K42" s="15"/>
      <c r="L42" s="15"/>
      <c r="M42" s="15"/>
    </row>
    <row r="43" spans="1:13" x14ac:dyDescent="0.25">
      <c r="A43" s="14"/>
      <c r="K43" s="2"/>
      <c r="L43" s="2"/>
      <c r="M43" s="2"/>
    </row>
    <row r="44" spans="1:13" x14ac:dyDescent="0.25">
      <c r="A44" s="14"/>
      <c r="C44" s="3" t="s">
        <v>29</v>
      </c>
    </row>
    <row r="45" spans="1:13" x14ac:dyDescent="0.25">
      <c r="A45" s="14"/>
    </row>
    <row r="46" spans="1:13" x14ac:dyDescent="0.25">
      <c r="A46" s="14"/>
      <c r="C46" s="3" t="str">
        <f>CONCATENATE(B34)</f>
        <v xml:space="preserve">    This variant [shortens the protein](https://www.ncbi.nlm.nih.gov/pubmed/22367966), which may lead to [malabsorption of B12 and mental fatigue](https://www.ncbi.nlm.nih.gov/pubmed/25902009) due to improper binding between the protein and ions (electrically charged particles) or metals. People with this variant have blood serum vitamin B12 levels [88.9% lower](https://www.ncbi.nlm.nih.gov/pubmed/22367966) than normal and may have higher homocysteine levels. 
    This variant is also more common in people with [ME/CFS](https://www.ncbi.nlm.nih.gov/pubmed/29100069). In ME/CFS, [hypomethylation](http://dx.doi.org/10.4172/2155-9899.1000228), or reduced gene expression and protein expression, is seen in a majority of certain [immune cells](https://www.ncbi.nlm.nih.gov/pubmed/25111603/). Hypomethylation is greatly affected by the vitamins B12 and folate (B9), suggesting a blockage of B12 across the blood brain barrier. The reduction of circulating vitamin B12 also causes increased levels of [itaconate](https://www.ncbi.nlm.nih.gov/pubmed/29056341), an anti-microbial and immune regulating metabolic compound, which in turn deactivates vitamin B12. 
    # What should I do about this?
    - Check blood serum vitamin B12 levels. If too low, consider an [oral or injectable B12](https://www.ncbi.nlm.nih.gov/pubmed/25902009) supplement if low. 
    - Be cautious when taking [opioids, duloxetine, pregabalin](https://www.ncbi.nlm.nih.gov/pubmed/25902009), and [metformin](https://www.ncbi.nlm.nih.gov/pubmed/20488910?dopt=Abstract), which lower B12 levels.</v>
      </c>
    </row>
    <row r="47" spans="1:13" x14ac:dyDescent="0.25">
      <c r="A47" s="26"/>
    </row>
    <row r="48" spans="1:13" x14ac:dyDescent="0.25">
      <c r="A48" s="26"/>
      <c r="C48" s="3" t="s">
        <v>30</v>
      </c>
    </row>
    <row r="49" spans="1:13" x14ac:dyDescent="0.25">
      <c r="A49" s="26"/>
    </row>
    <row r="50" spans="1:13" x14ac:dyDescent="0.25">
      <c r="A50" s="26"/>
      <c r="C50" s="3" t="str">
        <f>CONCATENATE( "    &lt;piechart percentage=",B35," /&gt;")</f>
        <v xml:space="preserve">    &lt;piechart percentage=5.3 /&gt;</v>
      </c>
    </row>
    <row r="51" spans="1:13" x14ac:dyDescent="0.25">
      <c r="A51" s="26"/>
      <c r="C51" s="3" t="str">
        <f>"  &lt;/Analysis&gt;"</f>
        <v xml:space="preserve">  &lt;/Analysis&gt;</v>
      </c>
      <c r="K51" s="3" t="str">
        <f t="shared" ref="K51:M51" si="0">K29</f>
        <v>rs41281112 </v>
      </c>
      <c r="L51" s="3">
        <f t="shared" si="0"/>
        <v>0</v>
      </c>
      <c r="M51" s="3">
        <f t="shared" si="0"/>
        <v>0</v>
      </c>
    </row>
    <row r="52" spans="1:13" s="21" customFormat="1" x14ac:dyDescent="0.25">
      <c r="A52" s="28" t="s">
        <v>70</v>
      </c>
      <c r="B52" s="20" t="str">
        <f>CONCATENATE(B19," (T;T)")</f>
        <v>C775T (T;T)</v>
      </c>
      <c r="C52" s="21" t="str">
        <f>CONCATENATE("&lt;# ",B52," #&gt;")</f>
        <v>&lt;# C775T (T;T) #&gt;</v>
      </c>
      <c r="K52" s="21" t="str">
        <f t="shared" ref="K52:M53" si="1">K30</f>
        <v>C775T</v>
      </c>
      <c r="L52" s="21">
        <f t="shared" si="1"/>
        <v>0</v>
      </c>
      <c r="M52" s="21">
        <f t="shared" si="1"/>
        <v>0</v>
      </c>
    </row>
    <row r="53" spans="1:13" x14ac:dyDescent="0.25">
      <c r="A53" s="3" t="s">
        <v>21</v>
      </c>
      <c r="B53" s="29" t="str">
        <f>K35</f>
        <v>NC_000013.10:g.[100518634C&gt;T];[100518634C&gt;T]</v>
      </c>
      <c r="C53" s="10"/>
      <c r="K53" s="3" t="str">
        <f t="shared" si="1"/>
        <v>NC_000013.10:g.</v>
      </c>
      <c r="L53" s="3">
        <f t="shared" si="1"/>
        <v>0</v>
      </c>
      <c r="M53" s="3">
        <f t="shared" si="1"/>
        <v>0</v>
      </c>
    </row>
    <row r="54" spans="1:13" x14ac:dyDescent="0.25">
      <c r="B54" s="29"/>
      <c r="C54" s="3" t="str">
        <f>CONCATENATE("  &lt;Analysis name=",CHAR(34),B52,CHAR(34))</f>
        <v xml:space="preserve">  &lt;Analysis name="C775T (T;T)"</v>
      </c>
      <c r="J54" s="3" t="str">
        <f t="shared" ref="J54:M61" si="2">J32</f>
        <v>Variant</v>
      </c>
      <c r="K54" s="3" t="str">
        <f t="shared" si="2"/>
        <v>[100518634C&gt;T]</v>
      </c>
      <c r="L54" s="3">
        <f t="shared" si="2"/>
        <v>0</v>
      </c>
      <c r="M54" s="3">
        <f t="shared" si="2"/>
        <v>0</v>
      </c>
    </row>
    <row r="55" spans="1:13" x14ac:dyDescent="0.25">
      <c r="A55" s="5" t="s">
        <v>75</v>
      </c>
      <c r="B55" s="2" t="str">
        <f>CONCATENATE("People with this variant have two copies of the ",B22," variant. This substitution of a single nucleotide is known as a missense mutation.")</f>
        <v>People with this variant have two copies of the [C775T (Arg259Ter)](https://www.ncbi.nlm.nih.gov/pubmed/29100069) variant. This substitution of a single nucleotide is known as a missense mutation.</v>
      </c>
      <c r="C55" s="3" t="str">
        <f>CONCATENATE("            case={  variantCall ",CHAR(40),CHAR(34),B53,CHAR(34),CHAR(41))</f>
        <v xml:space="preserve">            case={  variantCall ("NC_000013.10:g.[100518634C&gt;T];[100518634C&gt;T]")</v>
      </c>
      <c r="J55" s="3" t="str">
        <f t="shared" si="2"/>
        <v>Wildtype</v>
      </c>
      <c r="K55" s="3" t="str">
        <f t="shared" si="2"/>
        <v>[100518634=]</v>
      </c>
      <c r="L55" s="3">
        <f t="shared" si="2"/>
        <v>0</v>
      </c>
      <c r="M55" s="3">
        <f t="shared" si="2"/>
        <v>0</v>
      </c>
    </row>
    <row r="56" spans="1:13" x14ac:dyDescent="0.25">
      <c r="A56" s="1" t="s">
        <v>28</v>
      </c>
      <c r="B56" s="29" t="s">
        <v>140</v>
      </c>
      <c r="C56" s="3" t="str">
        <f>CONCATENATE("                  } &gt; ")</f>
        <v xml:space="preserve">                  } &gt; </v>
      </c>
      <c r="J56" s="3" t="str">
        <f t="shared" si="2"/>
        <v>Het</v>
      </c>
      <c r="K56" s="3" t="str">
        <f t="shared" si="2"/>
        <v>NC_000013.10:g.[100518634C&gt;T];[100518634=]</v>
      </c>
      <c r="L56" s="3">
        <f t="shared" si="2"/>
        <v>0</v>
      </c>
      <c r="M56" s="3">
        <f t="shared" si="2"/>
        <v>0</v>
      </c>
    </row>
    <row r="57" spans="1:13" x14ac:dyDescent="0.25">
      <c r="A57" s="3" t="s">
        <v>73</v>
      </c>
      <c r="B57" s="29">
        <f>K38</f>
        <v>0.9</v>
      </c>
      <c r="J57" s="3" t="str">
        <f t="shared" si="2"/>
        <v>Homo</v>
      </c>
      <c r="K57" s="3" t="str">
        <f t="shared" si="2"/>
        <v>NC_000013.10:g.[100518634C&gt;T];[100518634C&gt;T]</v>
      </c>
      <c r="L57" s="3">
        <f t="shared" si="2"/>
        <v>0</v>
      </c>
      <c r="M57" s="3">
        <f t="shared" si="2"/>
        <v>0</v>
      </c>
    </row>
    <row r="58" spans="1:13" x14ac:dyDescent="0.25">
      <c r="C58" s="3" t="s">
        <v>26</v>
      </c>
      <c r="J58" s="3" t="str">
        <f t="shared" si="2"/>
        <v>Wildtype</v>
      </c>
      <c r="K58" s="3" t="str">
        <f t="shared" si="2"/>
        <v>NC_000013.10:g.[100518634=];[100518634=]</v>
      </c>
      <c r="L58" s="3">
        <f t="shared" si="2"/>
        <v>0</v>
      </c>
      <c r="M58" s="3">
        <f t="shared" si="2"/>
        <v>0</v>
      </c>
    </row>
    <row r="59" spans="1:13" x14ac:dyDescent="0.25">
      <c r="J59" s="3" t="str">
        <f t="shared" si="2"/>
        <v>Het%</v>
      </c>
      <c r="K59" s="3">
        <f t="shared" ref="K59" si="3">K37</f>
        <v>5.3</v>
      </c>
      <c r="L59" s="3">
        <f t="shared" si="2"/>
        <v>0</v>
      </c>
      <c r="M59" s="3">
        <f t="shared" si="2"/>
        <v>0</v>
      </c>
    </row>
    <row r="60" spans="1:13" x14ac:dyDescent="0.25">
      <c r="A60" s="14"/>
      <c r="C60" s="3" t="str">
        <f>CONCATENATE("    ",B55)</f>
        <v xml:space="preserve">    People with this variant have two copies of the [C775T (Arg259Ter)](https://www.ncbi.nlm.nih.gov/pubmed/29100069) variant. This substitution of a single nucleotide is known as a missense mutation.</v>
      </c>
      <c r="J60" s="3" t="str">
        <f t="shared" si="2"/>
        <v>Homo%</v>
      </c>
      <c r="K60" s="3">
        <f t="shared" ref="K60" si="4">K38</f>
        <v>0.9</v>
      </c>
      <c r="L60" s="3">
        <f t="shared" si="2"/>
        <v>0</v>
      </c>
      <c r="M60" s="3">
        <f t="shared" si="2"/>
        <v>0</v>
      </c>
    </row>
    <row r="61" spans="1:13" x14ac:dyDescent="0.25">
      <c r="A61" s="26"/>
      <c r="J61" s="3" t="str">
        <f t="shared" si="2"/>
        <v>Wildtype%</v>
      </c>
      <c r="K61" s="3">
        <f t="shared" ref="K61" si="5">K39</f>
        <v>93.8</v>
      </c>
      <c r="L61" s="3">
        <f t="shared" si="2"/>
        <v>0</v>
      </c>
      <c r="M61" s="3">
        <f t="shared" si="2"/>
        <v>0</v>
      </c>
    </row>
    <row r="62" spans="1:13" x14ac:dyDescent="0.25">
      <c r="A62" s="14"/>
      <c r="C62" s="3" t="s">
        <v>29</v>
      </c>
    </row>
    <row r="63" spans="1:13" x14ac:dyDescent="0.25">
      <c r="A63" s="14"/>
    </row>
    <row r="64" spans="1:13" x14ac:dyDescent="0.25">
      <c r="A64" s="26"/>
      <c r="C64" s="3" t="str">
        <f>CONCATENATE(B56)</f>
        <v xml:space="preserve">    This variant [shortens the protein](https://www.ncbi.nlm.nih.gov/pubmed/22367966), which may lead to [malabsorption of B12](https://www.ncbi.nlm.nih.gov/pubmed/25902009) due to improper binding with ions (electrically charged particles) and metals. People with this variant have blood serum vitamin B12 levels [36.2% lower](https://www.ncbi.nlm.nih.gov/pubmed/22367966) than normal. Vitamin B12 deficiency is linked to [anemia, loss of balance, numbness or tingling in the arms and legs, and weakness](https://medlineplus.gov/ency/article/002403.htm). Low levels of B12 may also cause increased levels of homocysteine, increasing the chance of [coronary heart disease, stroke, peripheral vascular disease, hardening of the arteries](https://labtestsonline.org/tests/homocysteine), and [mental fatigue](https://www.ncbi.nlm.nih.gov/pubmed/25902009).
    This variant is much more common in people with [ME/CFS](https://www.ncbi.nlm.nih.gov/pubmed/29100069). In ME/CFS, [hypomethylation](http://dx.doi.org/10.4172/2155-9899.1000228), or reduced gene expression and protein expression, is seen in a majority of certain [immune cells](https://www.ncbi.nlm.nih.gov/pubmed/25111603/). Hypomethylation is greatly affected by the vitamins B12 and folate (B9), suggesting a blockage of B12 across the blood brain barrier. The reduction of circulating vitamin B12 also causes increased levels of [itaconate](https://www.ncbi.nlm.nih.gov/pubmed/29056341), an anti-microbial and immune regulating metabolic compound, which in turn deactivates vitamin B12. 
    # What should I do about this?
    -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If elevated, consider taking [folate](https://medlineplus.gov/druginfo/natural/1017.html). 
    - If [homocysteine is elevated](https://www.ncbi.nlm.nih.gov/pubmed/18709886), watch for eye lens dislocations, “Marfan type” body shape, stroke, blood clotting issues, and low thyroid hormones (hypothyroidism).</v>
      </c>
    </row>
    <row r="65" spans="1:11" x14ac:dyDescent="0.25">
      <c r="A65" s="14"/>
    </row>
    <row r="66" spans="1:11" x14ac:dyDescent="0.25">
      <c r="A66" s="14"/>
      <c r="C66" s="3" t="s">
        <v>30</v>
      </c>
    </row>
    <row r="67" spans="1:11" x14ac:dyDescent="0.25">
      <c r="A67" s="14"/>
    </row>
    <row r="68" spans="1:11" x14ac:dyDescent="0.25">
      <c r="A68" s="14"/>
      <c r="C68" s="3" t="str">
        <f>CONCATENATE( "    &lt;piechart percentage=",B57," /&gt;")</f>
        <v xml:space="preserve">    &lt;piechart percentage=0.9 /&gt;</v>
      </c>
    </row>
    <row r="69" spans="1:11" x14ac:dyDescent="0.25">
      <c r="A69" s="26"/>
      <c r="C69" s="3" t="str">
        <f>"  &lt;/Analysis&gt;"</f>
        <v xml:space="preserve">  &lt;/Analysis&gt;</v>
      </c>
    </row>
    <row r="70" spans="1:11" x14ac:dyDescent="0.25">
      <c r="A70" s="26"/>
      <c r="K70" s="3" t="str">
        <f>K51</f>
        <v>rs41281112 </v>
      </c>
    </row>
    <row r="71" spans="1:11" s="21" customFormat="1" x14ac:dyDescent="0.25">
      <c r="A71" s="28" t="s">
        <v>70</v>
      </c>
      <c r="B71" s="20" t="s">
        <v>85</v>
      </c>
      <c r="C71" s="21" t="str">
        <f>CONCATENATE("&lt;# ",B71," #&gt;")</f>
        <v>&lt;# Wild type #&gt;</v>
      </c>
      <c r="K71" s="21" t="str">
        <f>K30</f>
        <v>C775T</v>
      </c>
    </row>
    <row r="72" spans="1:11" x14ac:dyDescent="0.25">
      <c r="A72" s="14" t="s">
        <v>21</v>
      </c>
      <c r="B72" s="15" t="str">
        <f>K36</f>
        <v>NC_000013.10:g.[100518634=];[100518634=]</v>
      </c>
      <c r="K72" s="21" t="str">
        <f t="shared" ref="J72:K80" si="6">K31</f>
        <v>NC_000013.10:g.</v>
      </c>
    </row>
    <row r="73" spans="1:11" x14ac:dyDescent="0.25">
      <c r="A73" s="14" t="s">
        <v>72</v>
      </c>
      <c r="B73" s="15">
        <f>L36</f>
        <v>0</v>
      </c>
      <c r="C73" s="3" t="str">
        <f>CONCATENATE("  &lt;Analysis name=",CHAR(34),B71,CHAR(34))</f>
        <v xml:space="preserve">  &lt;Analysis name="Wild type"</v>
      </c>
      <c r="J73" s="21" t="str">
        <f t="shared" si="6"/>
        <v>Variant</v>
      </c>
      <c r="K73" s="21" t="str">
        <f t="shared" si="6"/>
        <v>[100518634C&gt;T]</v>
      </c>
    </row>
    <row r="74" spans="1:11" x14ac:dyDescent="0.25">
      <c r="A74" s="26" t="s">
        <v>75</v>
      </c>
      <c r="B74" s="15" t="str">
        <f>CONCATENATE("Your ",B12," gene has no variants. A normal gene is referred to as a ",CHAR(34),"wild-type",CHAR(34)," gene.")</f>
        <v>Your CLYBL gene has no variants. A normal gene is referred to as a "wild-type" gene.</v>
      </c>
      <c r="C74" s="3" t="str">
        <f>CONCATENATE("            case={  variantCall ",CHAR(40),CHAR(34),B72,CHAR(34),CHAR(41))</f>
        <v xml:space="preserve">            case={  variantCall ("NC_000013.10:g.[100518634=];[100518634=]")</v>
      </c>
      <c r="J74" s="21" t="str">
        <f t="shared" ref="J74" si="7">J33</f>
        <v>Wildtype</v>
      </c>
      <c r="K74" s="21" t="str">
        <f t="shared" si="6"/>
        <v>[100518634=]</v>
      </c>
    </row>
    <row r="75" spans="1:11" x14ac:dyDescent="0.25">
      <c r="A75" s="26" t="s">
        <v>28</v>
      </c>
      <c r="C75" s="3" t="str">
        <f>CONCATENATE("                  } &gt; ")</f>
        <v xml:space="preserve">                  } &gt; </v>
      </c>
      <c r="J75" s="21" t="str">
        <f t="shared" ref="J75" si="8">J34</f>
        <v>Het</v>
      </c>
      <c r="K75" s="21" t="str">
        <f t="shared" si="6"/>
        <v>NC_000013.10:g.[100518634C&gt;T];[100518634=]</v>
      </c>
    </row>
    <row r="76" spans="1:11" x14ac:dyDescent="0.25">
      <c r="A76" s="26" t="s">
        <v>73</v>
      </c>
      <c r="J76" s="21" t="str">
        <f t="shared" ref="J76" si="9">J35</f>
        <v>Homo</v>
      </c>
      <c r="K76" s="21" t="str">
        <f t="shared" si="6"/>
        <v>NC_000013.10:g.[100518634C&gt;T];[100518634C&gt;T]</v>
      </c>
    </row>
    <row r="77" spans="1:11" x14ac:dyDescent="0.25">
      <c r="A77" s="26"/>
      <c r="C77" s="3" t="s">
        <v>26</v>
      </c>
      <c r="J77" s="21" t="str">
        <f t="shared" ref="J77" si="10">J36</f>
        <v>Wildtype</v>
      </c>
      <c r="K77" s="21" t="str">
        <f t="shared" si="6"/>
        <v>NC_000013.10:g.[100518634=];[100518634=]</v>
      </c>
    </row>
    <row r="78" spans="1:11" x14ac:dyDescent="0.25">
      <c r="A78" s="26"/>
      <c r="J78" s="21" t="str">
        <f t="shared" ref="J78" si="11">J37</f>
        <v>Het%</v>
      </c>
      <c r="K78" s="21">
        <f t="shared" si="6"/>
        <v>5.3</v>
      </c>
    </row>
    <row r="79" spans="1:11" x14ac:dyDescent="0.25">
      <c r="A79" s="26"/>
      <c r="C79" s="3" t="str">
        <f>CONCATENATE("    ",B74)</f>
        <v xml:space="preserve">    Your CLYBL gene has no variants. A normal gene is referred to as a "wild-type" gene.</v>
      </c>
      <c r="J79" s="21" t="str">
        <f t="shared" ref="J79" si="12">J38</f>
        <v>Homo%</v>
      </c>
      <c r="K79" s="21">
        <f t="shared" si="6"/>
        <v>0.9</v>
      </c>
    </row>
    <row r="80" spans="1:11" x14ac:dyDescent="0.25">
      <c r="A80" s="14"/>
      <c r="J80" s="21" t="str">
        <f t="shared" ref="J80" si="13">J39</f>
        <v>Wildtype%</v>
      </c>
      <c r="K80" s="21">
        <f t="shared" si="6"/>
        <v>93.8</v>
      </c>
    </row>
    <row r="81" spans="1:3" x14ac:dyDescent="0.25">
      <c r="A81" s="14"/>
      <c r="C81" s="3" t="s">
        <v>30</v>
      </c>
    </row>
    <row r="82" spans="1:3" x14ac:dyDescent="0.25">
      <c r="A82" s="14"/>
    </row>
    <row r="83" spans="1:3" x14ac:dyDescent="0.25">
      <c r="A83" s="26"/>
      <c r="C83" s="3" t="str">
        <f>CONCATENATE( "    &lt;piechart percentage=",B76," /&gt;")</f>
        <v xml:space="preserve">    &lt;piechart percentage= /&gt;</v>
      </c>
    </row>
    <row r="84" spans="1:3" x14ac:dyDescent="0.25">
      <c r="A84" s="26"/>
      <c r="C84" s="3" t="str">
        <f>"  &lt;/Analysis&gt;"</f>
        <v xml:space="preserve">  &lt;/Analysis&gt;</v>
      </c>
    </row>
    <row r="85" spans="1:3" x14ac:dyDescent="0.25">
      <c r="A85" s="26"/>
    </row>
    <row r="86" spans="1:3" s="21" customFormat="1" x14ac:dyDescent="0.25">
      <c r="A86" s="28" t="s">
        <v>70</v>
      </c>
      <c r="B86" s="20" t="s">
        <v>86</v>
      </c>
      <c r="C86" s="21" t="str">
        <f>CONCATENATE("&lt;# ",B86," #&gt;")</f>
        <v>&lt;# Unknown #&gt;</v>
      </c>
    </row>
    <row r="87" spans="1:3" x14ac:dyDescent="0.25">
      <c r="A87" s="14" t="s">
        <v>21</v>
      </c>
      <c r="B87" s="15" t="str">
        <f>K54</f>
        <v>[100518634C&gt;T]</v>
      </c>
    </row>
    <row r="88" spans="1:3" x14ac:dyDescent="0.25">
      <c r="A88" s="14" t="s">
        <v>72</v>
      </c>
      <c r="C88" s="3" t="str">
        <f>CONCATENATE("  &lt;Analysis name=",CHAR(34),B86,CHAR(34), " case=true&gt;")</f>
        <v xml:space="preserve">  &lt;Analysis name="Unknown" case=true&gt;</v>
      </c>
    </row>
    <row r="89" spans="1:3" x14ac:dyDescent="0.25">
      <c r="A89" s="26" t="s">
        <v>75</v>
      </c>
      <c r="B89" s="15" t="s">
        <v>31</v>
      </c>
    </row>
    <row r="90" spans="1:3" x14ac:dyDescent="0.25">
      <c r="A90" s="26" t="s">
        <v>73</v>
      </c>
      <c r="B90" s="15">
        <v>0</v>
      </c>
      <c r="C90" s="3" t="s">
        <v>26</v>
      </c>
    </row>
    <row r="91" spans="1:3" x14ac:dyDescent="0.25">
      <c r="A91" s="26"/>
    </row>
    <row r="92" spans="1:3" x14ac:dyDescent="0.25">
      <c r="A92" s="14"/>
      <c r="C92" s="3" t="str">
        <f>CONCATENATE("    ",B89)</f>
        <v xml:space="preserve">    The effect is unknown.</v>
      </c>
    </row>
    <row r="93" spans="1:3" x14ac:dyDescent="0.25">
      <c r="A93" s="14"/>
    </row>
    <row r="94" spans="1:3" x14ac:dyDescent="0.25">
      <c r="A94" s="14"/>
      <c r="C94" s="3" t="s">
        <v>30</v>
      </c>
    </row>
    <row r="95" spans="1:3" x14ac:dyDescent="0.25">
      <c r="A95" s="26"/>
    </row>
    <row r="96" spans="1:3" x14ac:dyDescent="0.25">
      <c r="A96" s="26"/>
      <c r="C96" s="3" t="str">
        <f>CONCATENATE( "    &lt;piechart percentage=",B90," /&gt;")</f>
        <v xml:space="preserve">    &lt;piechart percentage=0 /&gt;</v>
      </c>
    </row>
    <row r="97" spans="1:3" x14ac:dyDescent="0.25">
      <c r="A97" s="26"/>
      <c r="C97" s="3" t="str">
        <f>"  &lt;/Analysis&gt;"</f>
        <v xml:space="preserve">  &lt;/Analysis&gt;</v>
      </c>
    </row>
    <row r="98" spans="1:3" x14ac:dyDescent="0.25">
      <c r="A98" s="14"/>
      <c r="C98" s="31" t="s">
        <v>78</v>
      </c>
    </row>
    <row r="99" spans="1:3" s="21" customFormat="1" x14ac:dyDescent="0.25">
      <c r="A99" s="19"/>
      <c r="B99" s="20"/>
      <c r="C99" s="35"/>
    </row>
    <row r="100" spans="1:3" x14ac:dyDescent="0.25">
      <c r="A100" s="14" t="s">
        <v>79</v>
      </c>
      <c r="B100" s="40" t="s">
        <v>143</v>
      </c>
      <c r="C100" s="10" t="str">
        <f>CONCATENATE("&lt;# ",A100," ",B100," #&gt;")</f>
        <v>&lt;# Tissues [kidney, liver](https://www.ncbi.nlm.nih.gov/gene/171425#gene-expression), and blood; circulatory and cardiovascular system D002319 Kidney and urinary bladder D005221 liver D008099  #&gt;</v>
      </c>
    </row>
    <row r="101" spans="1:3" x14ac:dyDescent="0.25">
      <c r="A101" s="14"/>
    </row>
    <row r="102" spans="1:3" x14ac:dyDescent="0.25">
      <c r="A102" s="14"/>
      <c r="B102" s="40" t="s">
        <v>147</v>
      </c>
      <c r="C102" s="31" t="str">
        <f>CONCATENATE("&lt;TopicBar ",B102," /&gt;")</f>
        <v>&lt;TopicBar mesh_D002319 mesh_D005221 mesh_D008099  /&gt;</v>
      </c>
    </row>
    <row r="103" spans="1:3" x14ac:dyDescent="0.25">
      <c r="A103" s="14"/>
    </row>
    <row r="104" spans="1:3" x14ac:dyDescent="0.25">
      <c r="A104" s="14" t="s">
        <v>32</v>
      </c>
      <c r="B104" s="40" t="s">
        <v>142</v>
      </c>
      <c r="C104" s="10" t="str">
        <f>CONCATENATE("&lt;# ",A104," ",B104," #&gt;")</f>
        <v>&lt;# Symptoms fatigue D005221 memory problems D008569 inflamation D007249 muscle aches and pain D063806 #&gt;</v>
      </c>
    </row>
    <row r="105" spans="1:3" x14ac:dyDescent="0.25">
      <c r="A105" s="14"/>
    </row>
    <row r="106" spans="1:3" x14ac:dyDescent="0.25">
      <c r="A106" s="14"/>
      <c r="B106" s="40" t="s">
        <v>146</v>
      </c>
      <c r="C106" s="31" t="str">
        <f>CONCATENATE("&lt;TopicBar ",B106," /&gt;")</f>
        <v>&lt;TopicBar mesh_D005221 mesh_D008569 mesh_D007249 mesh_D063806 /&gt;</v>
      </c>
    </row>
    <row r="107" spans="1:3" x14ac:dyDescent="0.25">
      <c r="A107" s="14"/>
      <c r="C107" s="31"/>
    </row>
    <row r="108" spans="1:3" x14ac:dyDescent="0.25">
      <c r="A108" s="14" t="s">
        <v>48</v>
      </c>
      <c r="B108" s="40" t="s">
        <v>144</v>
      </c>
      <c r="C108" s="10" t="str">
        <f>CONCATENATE("&lt;# ",A108," ",B108," #&gt;")</f>
        <v>&lt;# Diseases anemia D000740 neurodegenerative disorder D000752 cardiovascular disease D002318 gastrointestinal disease D005767 ME/CFS D015673 coronary heart disease D003327 stroke  D016491 #&gt;</v>
      </c>
    </row>
    <row r="109" spans="1:3" x14ac:dyDescent="0.25">
      <c r="A109" s="14"/>
    </row>
    <row r="110" spans="1:3" x14ac:dyDescent="0.25">
      <c r="A110" s="14"/>
      <c r="B110" s="40" t="s">
        <v>145</v>
      </c>
      <c r="C110" s="31" t="str">
        <f>CONCATENATE("&lt;TopicBar ",B110," /&gt;")</f>
        <v>&lt;TopicBar mesh_D000740 mesh_D000752 mesh_D002318 mesh_D005767 mesh_D015673 mesh_D003327 mesh_D016491 /&gt;</v>
      </c>
    </row>
    <row r="111" spans="1:3" x14ac:dyDescent="0.25">
      <c r="A111" s="14"/>
    </row>
    <row r="112" spans="1:3" s="21" customFormat="1" x14ac:dyDescent="0.25">
      <c r="A112" s="28"/>
      <c r="B112" s="20"/>
    </row>
    <row r="113" spans="2:2" x14ac:dyDescent="0.25">
      <c r="B113" s="30"/>
    </row>
    <row r="115" spans="2:2" x14ac:dyDescent="0.25">
      <c r="B115" s="30"/>
    </row>
    <row r="117" spans="2:2" x14ac:dyDescent="0.25">
      <c r="B117" s="30"/>
    </row>
    <row r="119" spans="2:2" x14ac:dyDescent="0.25">
      <c r="B119" s="30"/>
    </row>
    <row r="121" spans="2:2" x14ac:dyDescent="0.25">
      <c r="B121" s="3"/>
    </row>
    <row r="123" spans="2:2" x14ac:dyDescent="0.25">
      <c r="B123" s="3"/>
    </row>
    <row r="795" spans="3:3" x14ac:dyDescent="0.25">
      <c r="C795" s="3" t="str">
        <f>CONCATENATE("    This variant is a change at a specific point in the ",B786," gene from ",B795," to ",B796," resulting in incorrect ",B789,"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01" spans="3:3" x14ac:dyDescent="0.25">
      <c r="C801" s="3" t="str">
        <f>CONCATENATE("    This variant is a change at a specific point in the ",B786," gene from ",B801," to ",B802," resulting in incorrect ",B789,"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31" spans="3:3" x14ac:dyDescent="0.25">
      <c r="C931" s="3" t="str">
        <f>CONCATENATE("    This variant is a change at a specific point in the ",B922," gene from ",B931," to ",B932," resulting in incorrect ",B925,"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37" spans="3:3" x14ac:dyDescent="0.25">
      <c r="C937" s="3" t="str">
        <f>CONCATENATE("    This variant is a change at a specific point in the ",B922," gene from ",B937," to ",B938," resulting in incorrect ",B925,"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39" spans="3:3" x14ac:dyDescent="0.25">
      <c r="C1339" s="3" t="str">
        <f>CONCATENATE("    This variant is a change at a specific point in the ",B1330," gene from ",B1339," to ",B1340," resulting in incorrect ",B1333,"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45" spans="3:3" x14ac:dyDescent="0.25">
      <c r="C1345" s="3" t="str">
        <f>CONCATENATE("    This variant is a change at a specific point in the ",B1330," gene from ",B1345," to ",B1346," resulting in incorrect ",B1333,"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5" spans="3:3" x14ac:dyDescent="0.25">
      <c r="C1475" s="3" t="str">
        <f>CONCATENATE("    This variant is a change at a specific point in the ",B1466," gene from ",B1475," to ",B1476," resulting in incorrect ",B1469,"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81" spans="3:3" x14ac:dyDescent="0.25">
      <c r="C1481" s="3" t="str">
        <f>CONCATENATE("    This variant is a change at a specific point in the ",B1466," gene from ",B1481," to ",B1482," resulting in incorrect ",B1469,"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11" spans="3:3" x14ac:dyDescent="0.25">
      <c r="C1611" s="3" t="str">
        <f>CONCATENATE("    This variant is a change at a specific point in the ",B1602," gene from ",B1611," to ",B1612," resulting in incorrect ",B1605,"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17" spans="3:3" x14ac:dyDescent="0.25">
      <c r="C1617" s="3" t="str">
        <f>CONCATENATE("    This variant is a change at a specific point in the ",B1602," gene from ",B1617," to ",B1618," resulting in incorrect ",B1605,"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7" spans="3:3" x14ac:dyDescent="0.25">
      <c r="C1747" s="3" t="str">
        <f>CONCATENATE("    This variant is a change at a specific point in the ",B1738," gene from ",B1747," to ",B1748," resulting in incorrect ",B1741,"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53" spans="3:3" x14ac:dyDescent="0.25">
      <c r="C1753" s="3" t="str">
        <f>CONCATENATE("    This variant is a change at a specific point in the ",B1738," gene from ",B1753," to ",B1754," resulting in incorrect ",B1741,"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83" spans="3:3" x14ac:dyDescent="0.25">
      <c r="C1883" s="3" t="str">
        <f>CONCATENATE("    This variant is a change at a specific point in the ",B1874," gene from ",B1883," to ",B1884," resulting in incorrect ",B1877,"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89" spans="3:3" x14ac:dyDescent="0.25">
      <c r="C1889" s="3" t="str">
        <f>CONCATENATE("    This variant is a change at a specific point in the ",B1874," gene from ",B1889," to ",B1890," resulting in incorrect ",B1877,"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9" spans="3:3" x14ac:dyDescent="0.25">
      <c r="C2019" s="3" t="str">
        <f>CONCATENATE("    This variant is a change at a specific point in the ",B2010," gene from ",B2019," to ",B2020," resulting in incorrect ",B2013,"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25" spans="3:3" x14ac:dyDescent="0.25">
      <c r="C2025" s="3" t="str">
        <f>CONCATENATE("    This variant is a change at a specific point in the ",B2010," gene from ",B2025," to ",B2026," resulting in incorrect ",B2013,"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5" spans="3:3" x14ac:dyDescent="0.25">
      <c r="C2155" s="3" t="str">
        <f>CONCATENATE("    This variant is a change at a specific point in the ",B2146," gene from ",B2155," to ",B2156," resulting in incorrect ",B2149,"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61" spans="3:3" x14ac:dyDescent="0.25">
      <c r="C2161" s="3" t="str">
        <f>CONCATENATE("    This variant is a change at a specific point in the ",B2146," gene from ",B2161," to ",B2162," resulting in incorrect ",B2149,"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91" spans="3:3" x14ac:dyDescent="0.25">
      <c r="C2291" s="3" t="str">
        <f>CONCATENATE("    This variant is a change at a specific point in the ",B2282," gene from ",B2291," to ",B2292," resulting in incorrect ",B2285,"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97" spans="3:3" x14ac:dyDescent="0.25">
      <c r="C2297" s="3" t="str">
        <f>CONCATENATE("    This variant is a change at a specific point in the ",B2282," gene from ",B2297," to ",B2298," resulting in incorrect ",B2285,"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63C06-3F47-41E4-AA51-5E837A06BA0E}">
  <dimension ref="A1:AJ2365"/>
  <sheetViews>
    <sheetView topLeftCell="A115" workbookViewId="0">
      <selection activeCell="B11" sqref="B11"/>
    </sheetView>
  </sheetViews>
  <sheetFormatPr defaultRowHeight="15.75" x14ac:dyDescent="0.25"/>
  <cols>
    <col min="1" max="1" width="16.28515625" style="3" customWidth="1"/>
    <col min="2" max="2" width="42.7109375" style="15" customWidth="1"/>
    <col min="3" max="6" width="9.140625" style="3"/>
    <col min="7" max="7" width="10.28515625" style="3" bestFit="1" customWidth="1"/>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8" t="s">
        <v>0</v>
      </c>
      <c r="B1" s="9" t="s">
        <v>1</v>
      </c>
      <c r="C1" s="8" t="s">
        <v>2</v>
      </c>
      <c r="H1" s="10"/>
      <c r="I1" s="11"/>
      <c r="J1" s="10"/>
      <c r="K1" s="10"/>
      <c r="L1" s="10"/>
      <c r="Y1" s="12"/>
      <c r="AC1" s="12"/>
      <c r="AF1" s="13"/>
      <c r="AG1" s="13"/>
      <c r="AJ1" s="13"/>
    </row>
    <row r="2" spans="1:36" x14ac:dyDescent="0.25">
      <c r="A2" s="14" t="s">
        <v>35</v>
      </c>
      <c r="B2" s="2" t="s">
        <v>4</v>
      </c>
      <c r="C2" s="3" t="str">
        <f>CONCATENATE("&lt;",A2," ",B2," /&gt;")</f>
        <v>&lt;Gene_Name MTHFR /&gt;</v>
      </c>
      <c r="D2" s="15"/>
      <c r="H2" s="10"/>
      <c r="I2" s="11"/>
      <c r="J2" s="10"/>
      <c r="K2" s="10"/>
      <c r="L2" s="10"/>
      <c r="Y2" s="12"/>
      <c r="AC2" s="12"/>
      <c r="AF2" s="13"/>
      <c r="AG2" s="13"/>
      <c r="AJ2" s="13"/>
    </row>
    <row r="3" spans="1:36" x14ac:dyDescent="0.25">
      <c r="A3" s="8"/>
      <c r="B3" s="2"/>
      <c r="C3" s="8"/>
      <c r="D3" s="15"/>
      <c r="H3" s="10"/>
      <c r="I3" s="11"/>
      <c r="J3" s="10"/>
      <c r="K3" s="10"/>
      <c r="L3" s="10"/>
      <c r="Y3" s="12"/>
      <c r="AC3" s="12"/>
      <c r="AF3" s="13"/>
      <c r="AG3" s="13"/>
      <c r="AJ3" s="13"/>
    </row>
    <row r="4" spans="1:36" ht="17.25" x14ac:dyDescent="0.3">
      <c r="A4" s="14" t="s">
        <v>37</v>
      </c>
      <c r="B4" s="4" t="s">
        <v>50</v>
      </c>
      <c r="C4" s="3" t="str">
        <f>CONCATENATE("&lt;",A4," ",B4," /&gt;")</f>
        <v>&lt;GeneName_full Methylenetetrahydrofolate reductase /&gt;</v>
      </c>
      <c r="D4" s="15"/>
      <c r="H4" s="10"/>
      <c r="I4" s="11"/>
      <c r="J4" s="10"/>
      <c r="K4" s="10"/>
      <c r="L4" s="10"/>
      <c r="Y4" s="12"/>
      <c r="AC4" s="12"/>
      <c r="AF4" s="13"/>
      <c r="AG4" s="13"/>
      <c r="AJ4" s="13"/>
    </row>
    <row r="5" spans="1:36" x14ac:dyDescent="0.25">
      <c r="A5" s="14"/>
      <c r="B5" s="9"/>
      <c r="C5" s="8"/>
      <c r="D5" s="15"/>
      <c r="H5" s="10"/>
      <c r="I5" s="11"/>
      <c r="J5" s="10"/>
      <c r="K5" s="10"/>
      <c r="L5" s="10"/>
      <c r="Y5" s="12"/>
      <c r="AC5" s="12"/>
      <c r="AF5" s="13"/>
      <c r="AG5" s="13"/>
      <c r="AJ5" s="13"/>
    </row>
    <row r="6" spans="1:36" x14ac:dyDescent="0.25">
      <c r="A6" s="14"/>
      <c r="B6" s="3"/>
      <c r="C6" s="3" t="str">
        <f>CONCATENATE("# What does the ",B2," gene do?")</f>
        <v># What does the MTHFR gene do?</v>
      </c>
      <c r="H6" s="10"/>
      <c r="I6" s="11"/>
      <c r="J6" s="10"/>
      <c r="K6" s="10"/>
      <c r="L6" s="10"/>
      <c r="Y6" s="16"/>
      <c r="Z6" s="16"/>
      <c r="AA6" s="16"/>
      <c r="AC6" s="16"/>
      <c r="AF6" s="13"/>
      <c r="AJ6" s="13"/>
    </row>
    <row r="7" spans="1:36" x14ac:dyDescent="0.25">
      <c r="A7" s="14"/>
      <c r="I7" s="17"/>
      <c r="Y7" s="16"/>
      <c r="Z7" s="16"/>
      <c r="AA7" s="16"/>
      <c r="AC7" s="16"/>
      <c r="AF7" s="13"/>
      <c r="AJ7" s="13"/>
    </row>
    <row r="8" spans="1:36" ht="17.25" x14ac:dyDescent="0.3">
      <c r="A8" s="14" t="s">
        <v>5</v>
      </c>
      <c r="B8" s="4" t="s">
        <v>34</v>
      </c>
      <c r="C8" s="3" t="str">
        <f>CONCATENATE(B8," This gene is located on chromosome ",B9,".")</f>
        <v>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 This gene is located on chromosome 1.</v>
      </c>
      <c r="I8" s="17"/>
      <c r="X8" s="18"/>
      <c r="Y8" s="16"/>
      <c r="Z8" s="16"/>
      <c r="AA8" s="16"/>
      <c r="AC8" s="16"/>
    </row>
    <row r="9" spans="1:36" x14ac:dyDescent="0.25">
      <c r="A9" s="14" t="s">
        <v>6</v>
      </c>
      <c r="B9" s="2">
        <v>1</v>
      </c>
      <c r="I9" s="17"/>
      <c r="Y9" s="16"/>
      <c r="Z9" s="16"/>
      <c r="AA9" s="16"/>
      <c r="AC9" s="16"/>
    </row>
    <row r="10" spans="1:36" x14ac:dyDescent="0.25">
      <c r="A10" s="14" t="s">
        <v>7</v>
      </c>
      <c r="B10" s="2" t="s">
        <v>8</v>
      </c>
      <c r="Y10" s="12"/>
      <c r="AC10" s="16"/>
    </row>
    <row r="11" spans="1:36" s="21" customFormat="1" ht="16.5" thickBot="1" x14ac:dyDescent="0.3">
      <c r="A11" s="19"/>
      <c r="B11" s="20"/>
    </row>
    <row r="12" spans="1:36" ht="16.5" thickBot="1" x14ac:dyDescent="0.3">
      <c r="A12" s="14" t="s">
        <v>3</v>
      </c>
      <c r="B12" s="2" t="str">
        <f>B2</f>
        <v>MTHFR</v>
      </c>
      <c r="C12" s="3" t="str">
        <f>CONCATENATE("&lt;GeneMap name= ",CHAR(34),B12,CHAR(34)," interval=",CHAR(34),B13,"=",CHAR(34),"&gt;")</f>
        <v>&lt;GeneMap name= "MTHFR" interval="NC_000001.11 :g.11785730_11806103="&gt;</v>
      </c>
      <c r="J12" s="23"/>
      <c r="K12" s="23"/>
      <c r="L12" s="23"/>
      <c r="M12" s="23"/>
      <c r="N12" s="23"/>
      <c r="O12" s="24"/>
      <c r="P12" s="25"/>
      <c r="Q12" s="24"/>
      <c r="R12" s="24"/>
      <c r="S12" s="25"/>
      <c r="T12" s="25"/>
      <c r="U12" s="24"/>
      <c r="V12" s="24"/>
      <c r="W12" s="25"/>
      <c r="X12" s="25"/>
      <c r="Y12" s="25"/>
      <c r="Z12" s="25"/>
    </row>
    <row r="13" spans="1:36" x14ac:dyDescent="0.25">
      <c r="A13" s="14" t="s">
        <v>9</v>
      </c>
      <c r="B13" s="2" t="s">
        <v>10</v>
      </c>
      <c r="J13" s="15"/>
      <c r="K13" s="15"/>
      <c r="L13" s="15"/>
      <c r="M13" s="15"/>
      <c r="N13" s="15"/>
      <c r="O13" s="15"/>
      <c r="P13" s="15"/>
      <c r="Q13" s="15"/>
      <c r="R13" s="15"/>
      <c r="S13" s="15"/>
      <c r="T13" s="15"/>
      <c r="U13" s="15"/>
      <c r="V13" s="15"/>
      <c r="W13" s="15"/>
      <c r="X13" s="15"/>
      <c r="Y13" s="15"/>
      <c r="Z13" s="15"/>
    </row>
    <row r="14" spans="1:36" x14ac:dyDescent="0.25">
      <c r="A14" s="14" t="s">
        <v>11</v>
      </c>
      <c r="B14" s="2" t="s">
        <v>12</v>
      </c>
      <c r="C14" s="3" t="str">
        <f>CONCATENATE("# What are some common variants of ",B12,"?")</f>
        <v># What are some common variants of MTHFR?</v>
      </c>
      <c r="J14" s="15"/>
      <c r="K14" s="15"/>
      <c r="L14" s="15"/>
      <c r="M14" s="15"/>
      <c r="N14" s="15"/>
      <c r="O14" s="15"/>
      <c r="P14" s="15"/>
      <c r="Q14" s="15"/>
      <c r="R14" s="15"/>
      <c r="S14" s="15"/>
      <c r="T14" s="15"/>
      <c r="U14" s="15"/>
      <c r="V14" s="15"/>
      <c r="W14" s="15"/>
      <c r="X14" s="15"/>
      <c r="Y14" s="15"/>
      <c r="Z14" s="15"/>
    </row>
    <row r="15" spans="1:36" x14ac:dyDescent="0.25">
      <c r="A15" s="14"/>
      <c r="B15" s="2"/>
      <c r="C15" s="3" t="s">
        <v>13</v>
      </c>
      <c r="J15" s="15"/>
      <c r="K15" s="15"/>
      <c r="L15" s="15"/>
      <c r="M15" s="15"/>
      <c r="N15" s="15"/>
      <c r="O15" s="15"/>
      <c r="P15" s="15"/>
      <c r="Q15" s="15"/>
      <c r="R15" s="15"/>
      <c r="S15" s="15"/>
      <c r="T15" s="15"/>
      <c r="U15" s="15"/>
      <c r="V15" s="15"/>
      <c r="W15" s="15"/>
      <c r="X15" s="15"/>
      <c r="Y15" s="15"/>
      <c r="Z15" s="15"/>
    </row>
    <row r="16" spans="1:36" x14ac:dyDescent="0.25">
      <c r="B16" s="2"/>
      <c r="C16" s="3" t="str">
        <f>CONCATENATE("A variant is a change at a specific point in the gene from the expected nucleotide sequence to another, resulting in incorrect ", B10," function. There are ",B14," common variants in ",B12,": ",B22," and ",B31,".")</f>
        <v>A variant is a change at a specific point in the gene from the expected nucleotide sequence to another, resulting in incorrect enzyme function. There are two common variants in MTHFR: [C677T](http://gnomad.broadinstitute.org/variant/1-11856378-G-A) and [A1298C](https://www.ncbi.nlm.nih.gov/projects/SNP/snp_ref.cgi?rs=1801131).</v>
      </c>
      <c r="J16" s="15"/>
      <c r="K16" s="15"/>
      <c r="L16" s="15"/>
      <c r="M16" s="15"/>
      <c r="N16" s="15"/>
      <c r="O16" s="15"/>
      <c r="P16" s="15"/>
      <c r="Q16" s="15"/>
      <c r="R16" s="15"/>
      <c r="S16" s="15"/>
      <c r="T16" s="15"/>
      <c r="U16" s="15"/>
      <c r="V16" s="15"/>
      <c r="W16" s="15"/>
      <c r="X16" s="15"/>
      <c r="Y16" s="15"/>
      <c r="Z16" s="15"/>
    </row>
    <row r="17" spans="1:26" x14ac:dyDescent="0.25">
      <c r="B17" s="2"/>
      <c r="J17" s="15"/>
      <c r="K17" s="15"/>
      <c r="L17" s="15"/>
      <c r="M17" s="15"/>
      <c r="N17" s="15"/>
      <c r="O17" s="15"/>
      <c r="P17" s="15"/>
      <c r="Q17" s="15"/>
      <c r="R17" s="15"/>
      <c r="S17" s="15"/>
      <c r="T17" s="15"/>
      <c r="U17" s="15"/>
      <c r="V17" s="15"/>
      <c r="W17" s="15"/>
      <c r="X17" s="15"/>
      <c r="Y17" s="15"/>
      <c r="Z17" s="15"/>
    </row>
    <row r="18" spans="1:26" x14ac:dyDescent="0.25">
      <c r="A18" s="14" t="s">
        <v>14</v>
      </c>
      <c r="B18" s="6" t="s">
        <v>58</v>
      </c>
      <c r="C18" s="3" t="str">
        <f>CONCATENATE("&lt;# ",B19," #&gt;")</f>
        <v>&lt;# C677T #&gt;</v>
      </c>
      <c r="J18" s="15"/>
      <c r="K18" s="15"/>
      <c r="L18" s="15"/>
      <c r="M18" s="15"/>
      <c r="N18" s="15"/>
      <c r="O18" s="15"/>
      <c r="P18" s="15"/>
      <c r="Q18" s="15"/>
      <c r="R18" s="15"/>
      <c r="S18" s="15"/>
      <c r="T18" s="15"/>
      <c r="U18" s="15"/>
      <c r="V18" s="15"/>
      <c r="W18" s="15"/>
      <c r="X18" s="15"/>
      <c r="Y18" s="15"/>
      <c r="Z18" s="15"/>
    </row>
    <row r="19" spans="1:26" x14ac:dyDescent="0.25">
      <c r="A19" s="26" t="s">
        <v>15</v>
      </c>
      <c r="B19" s="6" t="s">
        <v>16</v>
      </c>
      <c r="J19" s="6"/>
      <c r="K19" s="15"/>
      <c r="L19" s="15"/>
      <c r="M19" s="15"/>
      <c r="N19" s="15"/>
      <c r="O19" s="15"/>
      <c r="P19" s="15"/>
      <c r="Q19" s="15"/>
      <c r="R19" s="15"/>
      <c r="S19" s="15"/>
      <c r="T19" s="15"/>
      <c r="U19" s="15"/>
      <c r="V19" s="15"/>
      <c r="W19" s="15"/>
      <c r="X19" s="15"/>
      <c r="Y19" s="15"/>
      <c r="Z19" s="15"/>
    </row>
    <row r="20" spans="1:26" x14ac:dyDescent="0.25">
      <c r="A20" s="26" t="s">
        <v>17</v>
      </c>
      <c r="B20" s="2" t="s">
        <v>18</v>
      </c>
      <c r="C20" s="3" t="str">
        <f>CONCATENATE("  &lt;Variant hgvs=",CHAR(34),B18,CHAR(34)," name=",CHAR(34),B19,CHAR(34),"&gt; ")</f>
        <v xml:space="preserve">  &lt;Variant hgvs="NC_000001.10:g.11856378G&gt;A" name="C677T"&gt; </v>
      </c>
      <c r="J20" s="2"/>
      <c r="K20" s="15"/>
      <c r="L20" s="15"/>
      <c r="M20" s="15"/>
      <c r="N20" s="15"/>
      <c r="O20" s="15"/>
      <c r="P20" s="15"/>
      <c r="Q20" s="15"/>
      <c r="R20" s="15"/>
      <c r="S20" s="15"/>
      <c r="T20" s="15"/>
      <c r="U20" s="15"/>
      <c r="V20" s="15"/>
      <c r="W20" s="15"/>
      <c r="X20" s="15"/>
      <c r="Y20" s="15"/>
      <c r="Z20" s="15"/>
    </row>
    <row r="21" spans="1:26" x14ac:dyDescent="0.25">
      <c r="A21" s="26" t="s">
        <v>19</v>
      </c>
      <c r="B21" s="2" t="s">
        <v>20</v>
      </c>
      <c r="H21" s="15"/>
      <c r="I21" s="15"/>
      <c r="J21" s="2"/>
      <c r="K21" s="15"/>
      <c r="L21" s="15"/>
      <c r="M21" s="15"/>
      <c r="N21" s="15"/>
      <c r="O21" s="15"/>
      <c r="P21" s="15"/>
      <c r="Q21" s="15"/>
      <c r="R21" s="15"/>
      <c r="S21" s="15"/>
      <c r="T21" s="15"/>
      <c r="U21" s="15"/>
      <c r="V21" s="15"/>
      <c r="W21" s="15"/>
      <c r="X21" s="15"/>
      <c r="Y21" s="15"/>
      <c r="Z21" s="15"/>
    </row>
    <row r="22" spans="1:26" x14ac:dyDescent="0.25">
      <c r="A22" s="26" t="s">
        <v>21</v>
      </c>
      <c r="B22" s="7" t="s">
        <v>22</v>
      </c>
      <c r="C22" s="3" t="str">
        <f>CONCATENATE("    Instead of ",B20,", there is a ",B21," nucleotide.")</f>
        <v xml:space="preserve">    Instead of cytosine (C), there is a thymine (T) nucleotide.</v>
      </c>
      <c r="H22" s="15"/>
      <c r="I22" s="15"/>
      <c r="J22" s="7"/>
      <c r="K22" s="15"/>
      <c r="L22" s="15"/>
      <c r="M22" s="15"/>
      <c r="N22" s="15"/>
      <c r="O22" s="15"/>
      <c r="P22" s="15"/>
      <c r="Q22" s="15"/>
      <c r="R22" s="15"/>
      <c r="S22" s="15"/>
      <c r="T22" s="15"/>
      <c r="U22" s="15"/>
      <c r="V22" s="15"/>
      <c r="W22" s="15"/>
      <c r="X22" s="15"/>
      <c r="Y22" s="15"/>
      <c r="Z22" s="15"/>
    </row>
    <row r="23" spans="1:26" x14ac:dyDescent="0.25">
      <c r="A23" s="3" t="s">
        <v>65</v>
      </c>
      <c r="B23" s="3" t="s">
        <v>66</v>
      </c>
      <c r="H23" s="2"/>
      <c r="I23" s="2"/>
      <c r="J23" s="15"/>
      <c r="K23" s="15"/>
      <c r="L23" s="15"/>
      <c r="M23" s="15"/>
      <c r="N23" s="15"/>
      <c r="O23" s="15"/>
      <c r="P23" s="15"/>
      <c r="Q23" s="15"/>
      <c r="R23" s="15"/>
      <c r="S23" s="15"/>
      <c r="T23" s="15"/>
      <c r="U23" s="15"/>
      <c r="V23" s="15"/>
      <c r="W23" s="15"/>
      <c r="X23" s="15"/>
      <c r="Y23" s="15"/>
      <c r="Z23" s="15"/>
    </row>
    <row r="24" spans="1:26" x14ac:dyDescent="0.25">
      <c r="A24" s="3" t="s">
        <v>51</v>
      </c>
      <c r="B24" s="7" t="s">
        <v>59</v>
      </c>
      <c r="C24" s="3" t="str">
        <f>"  &lt;/Variant&gt;"</f>
        <v xml:space="preserve">  &lt;/Variant&gt;</v>
      </c>
      <c r="H24" s="2"/>
      <c r="I24" s="2"/>
      <c r="J24" s="15"/>
      <c r="K24" s="15"/>
      <c r="L24" s="15"/>
      <c r="M24" s="15"/>
      <c r="N24" s="15"/>
      <c r="O24" s="15"/>
      <c r="P24" s="15"/>
      <c r="Q24" s="15"/>
      <c r="R24" s="15"/>
      <c r="S24" s="15"/>
      <c r="T24" s="15"/>
      <c r="U24" s="15"/>
      <c r="V24" s="15"/>
      <c r="W24" s="15"/>
      <c r="X24" s="15"/>
      <c r="Y24" s="15"/>
      <c r="Z24" s="15"/>
    </row>
    <row r="25" spans="1:26" x14ac:dyDescent="0.25">
      <c r="A25" s="26" t="s">
        <v>52</v>
      </c>
      <c r="B25" s="7" t="s">
        <v>60</v>
      </c>
      <c r="J25" s="6"/>
    </row>
    <row r="26" spans="1:26" x14ac:dyDescent="0.25">
      <c r="B26" s="3"/>
      <c r="C26" s="3" t="str">
        <f>CONCATENATE("&lt;# ",B28," #&gt;")</f>
        <v>&lt;# A1298C #&gt;</v>
      </c>
      <c r="J26" s="6"/>
    </row>
    <row r="27" spans="1:26" x14ac:dyDescent="0.25">
      <c r="A27" s="14" t="s">
        <v>14</v>
      </c>
      <c r="B27" s="6" t="s">
        <v>55</v>
      </c>
      <c r="J27" s="2"/>
    </row>
    <row r="28" spans="1:26" x14ac:dyDescent="0.25">
      <c r="A28" s="26" t="s">
        <v>15</v>
      </c>
      <c r="B28" s="7" t="s">
        <v>23</v>
      </c>
      <c r="C28" s="3" t="str">
        <f>CONCATENATE("  &lt;Variant hgvs=",CHAR(34),B27,CHAR(34)," name=",CHAR(34),B28,CHAR(34),"&gt; ")</f>
        <v xml:space="preserve">  &lt;Variant hgvs="NC_000001.10:g.11854476T&gt;G" name="A1298C"&gt; </v>
      </c>
      <c r="J28" s="2"/>
    </row>
    <row r="29" spans="1:26" x14ac:dyDescent="0.25">
      <c r="A29" s="26" t="s">
        <v>17</v>
      </c>
      <c r="B29" s="2" t="s">
        <v>24</v>
      </c>
      <c r="J29" s="7"/>
    </row>
    <row r="30" spans="1:26" x14ac:dyDescent="0.25">
      <c r="A30" s="26" t="s">
        <v>19</v>
      </c>
      <c r="B30" s="2" t="str">
        <f>"cytosine (C)"</f>
        <v>cytosine (C)</v>
      </c>
      <c r="C30" s="3" t="str">
        <f>CONCATENATE("    Instead of ",B29,", there is a ",B30," nucleotide.")</f>
        <v xml:space="preserve">    Instead of adenine (A), there is a cytosine (C) nucleotide.</v>
      </c>
    </row>
    <row r="31" spans="1:26" x14ac:dyDescent="0.25">
      <c r="A31" s="26" t="s">
        <v>21</v>
      </c>
      <c r="B31" s="7" t="s">
        <v>25</v>
      </c>
      <c r="J31" s="7"/>
    </row>
    <row r="32" spans="1:26" x14ac:dyDescent="0.25">
      <c r="A32" s="3" t="s">
        <v>65</v>
      </c>
      <c r="B32" s="3" t="s">
        <v>66</v>
      </c>
      <c r="C32" s="3" t="str">
        <f>"  &lt;/Variant&gt;"</f>
        <v xml:space="preserve">  &lt;/Variant&gt;</v>
      </c>
      <c r="J32" s="7"/>
    </row>
    <row r="33" spans="1:12" x14ac:dyDescent="0.25">
      <c r="A33" s="3" t="s">
        <v>51</v>
      </c>
      <c r="B33" s="3" t="s">
        <v>56</v>
      </c>
    </row>
    <row r="34" spans="1:12" x14ac:dyDescent="0.25">
      <c r="A34" s="26" t="s">
        <v>52</v>
      </c>
      <c r="B34" s="7" t="s">
        <v>57</v>
      </c>
      <c r="C34" s="3" t="s">
        <v>61</v>
      </c>
    </row>
    <row r="35" spans="1:12" s="21" customFormat="1" x14ac:dyDescent="0.25">
      <c r="A35" s="28"/>
      <c r="B35" s="20"/>
    </row>
    <row r="36" spans="1:12" s="10" customFormat="1" x14ac:dyDescent="0.25">
      <c r="A36" s="32"/>
      <c r="B36" s="33"/>
      <c r="C36" s="34" t="s">
        <v>62</v>
      </c>
    </row>
    <row r="37" spans="1:12" s="10" customFormat="1" x14ac:dyDescent="0.25">
      <c r="A37" s="32"/>
      <c r="B37" s="33"/>
      <c r="K37" s="10" t="s">
        <v>53</v>
      </c>
      <c r="L37" s="11" t="s">
        <v>54</v>
      </c>
    </row>
    <row r="38" spans="1:12" s="21" customFormat="1" x14ac:dyDescent="0.25">
      <c r="A38" s="28" t="s">
        <v>70</v>
      </c>
      <c r="B38" s="20" t="str">
        <f>CONCATENATE(B19," (C;T)")</f>
        <v>C677T (C;T)</v>
      </c>
      <c r="C38" s="21" t="str">
        <f>CONCATENATE("&lt;# ",B38," #&gt;")</f>
        <v>&lt;# C677T (C;T) #&gt;</v>
      </c>
      <c r="K38" s="21" t="str">
        <f>B19</f>
        <v>C677T</v>
      </c>
      <c r="L38" s="21" t="str">
        <f>B28</f>
        <v>A1298C</v>
      </c>
    </row>
    <row r="39" spans="1:12" s="10" customFormat="1" x14ac:dyDescent="0.25">
      <c r="A39" s="3" t="s">
        <v>21</v>
      </c>
      <c r="B39" s="29" t="str">
        <f>K42</f>
        <v>NC_000001.10:g.[11856378G&gt;A];[11856378=]</v>
      </c>
      <c r="J39" s="3"/>
      <c r="K39" s="22" t="str">
        <f>B23</f>
        <v>NC_000001.10:g.</v>
      </c>
      <c r="L39" s="22" t="str">
        <f>B32</f>
        <v>NC_000001.10:g.</v>
      </c>
    </row>
    <row r="40" spans="1:12" x14ac:dyDescent="0.25">
      <c r="A40" s="3" t="s">
        <v>72</v>
      </c>
      <c r="B40" s="29" t="str">
        <f>L44</f>
        <v>NC_000001.10:g.[11854476=];[11854476=]</v>
      </c>
      <c r="C40" s="3" t="str">
        <f>CONCATENATE("  &lt;Analysis name=",CHAR(34),B38,CHAR(34))</f>
        <v xml:space="preserve">  &lt;Analysis name="C677T (C;T)"</v>
      </c>
      <c r="J40" s="3" t="s">
        <v>21</v>
      </c>
      <c r="K40" s="15" t="str">
        <f>B24</f>
        <v>[11856378G&gt;A]</v>
      </c>
      <c r="L40" s="22" t="str">
        <f>B33</f>
        <v>[11854476T&gt;G]</v>
      </c>
    </row>
    <row r="41" spans="1:12" x14ac:dyDescent="0.25">
      <c r="A41" s="5" t="s">
        <v>27</v>
      </c>
      <c r="B41" s="2" t="str">
        <f>CONCATENATE("People with this variant have one copy of the ",B22," variant. This substitution of a single nucleotide is known as a missense mutation.")</f>
        <v>People with this variant have one copy of the [C677T](http://gnomad.broadinstitute.org/variant/1-11856378-G-A) variant. This substitution of a single nucleotide is known as a missense mutation.</v>
      </c>
      <c r="C41" s="3" t="str">
        <f>CONCATENATE("            case={  variantCall ",CHAR(40),CHAR(34),B39,CHAR(34),CHAR(41))</f>
        <v xml:space="preserve">            case={  variantCall ("NC_000001.10:g.[11856378G&gt;A];[11856378=]")</v>
      </c>
      <c r="J41" s="3" t="s">
        <v>52</v>
      </c>
      <c r="K41" s="15" t="str">
        <f>B25</f>
        <v>[11856378=]</v>
      </c>
      <c r="L41" s="22" t="str">
        <f>B34</f>
        <v>[11854476=]</v>
      </c>
    </row>
    <row r="42" spans="1:12" x14ac:dyDescent="0.25">
      <c r="A42" s="1" t="s">
        <v>28</v>
      </c>
      <c r="B42" s="2" t="s">
        <v>74</v>
      </c>
      <c r="C42" s="3" t="s">
        <v>71</v>
      </c>
      <c r="J42" s="3" t="s">
        <v>63</v>
      </c>
      <c r="K42" s="15" t="str">
        <f>CONCATENATE(K39,K40,";",K41)</f>
        <v>NC_000001.10:g.[11856378G&gt;A];[11856378=]</v>
      </c>
      <c r="L42" s="15" t="str">
        <f>CONCATENATE(L39,L40,";",L41)</f>
        <v>NC_000001.10:g.[11854476T&gt;G];[11854476=]</v>
      </c>
    </row>
    <row r="43" spans="1:12" x14ac:dyDescent="0.25">
      <c r="A43" s="3" t="s">
        <v>73</v>
      </c>
      <c r="B43" s="29">
        <f>K45</f>
        <v>30</v>
      </c>
      <c r="C43" s="3" t="str">
        <f>CONCATENATE("                    variantCall ",CHAR(40),CHAR(34),B40,CHAR(34),CHAR(41))</f>
        <v xml:space="preserve">                    variantCall ("NC_000001.10:g.[11854476=];[11854476=]")</v>
      </c>
      <c r="J43" s="3" t="s">
        <v>64</v>
      </c>
      <c r="K43" s="15" t="str">
        <f>CONCATENATE(K39,K40,";",K40)</f>
        <v>NC_000001.10:g.[11856378G&gt;A];[11856378G&gt;A]</v>
      </c>
      <c r="L43" s="15" t="str">
        <f>CONCATENATE(L39,L40,";",L40)</f>
        <v>NC_000001.10:g.[11854476T&gt;G];[11854476T&gt;G]</v>
      </c>
    </row>
    <row r="44" spans="1:12" x14ac:dyDescent="0.25">
      <c r="C44" s="3" t="str">
        <f>CONCATENATE("                  } &gt; ")</f>
        <v xml:space="preserve">                  } &gt; </v>
      </c>
      <c r="J44" s="3" t="s">
        <v>52</v>
      </c>
      <c r="K44" s="2" t="str">
        <f>CONCATENATE(K39,K41,";",K41)</f>
        <v>NC_000001.10:g.[11856378=];[11856378=]</v>
      </c>
      <c r="L44" s="2" t="str">
        <f>CONCATENATE(L39,L41,";",L41)</f>
        <v>NC_000001.10:g.[11854476=];[11854476=]</v>
      </c>
    </row>
    <row r="45" spans="1:12" x14ac:dyDescent="0.25">
      <c r="J45" s="3" t="s">
        <v>67</v>
      </c>
      <c r="K45" s="15">
        <v>30</v>
      </c>
      <c r="L45" s="15">
        <v>20</v>
      </c>
    </row>
    <row r="46" spans="1:12" x14ac:dyDescent="0.25">
      <c r="A46" s="14"/>
      <c r="C46" s="3" t="s">
        <v>26</v>
      </c>
      <c r="J46" s="3" t="s">
        <v>68</v>
      </c>
      <c r="K46" s="2">
        <v>9</v>
      </c>
      <c r="L46" s="2">
        <v>4</v>
      </c>
    </row>
    <row r="47" spans="1:12" x14ac:dyDescent="0.25">
      <c r="A47" s="26"/>
      <c r="J47" s="3" t="s">
        <v>69</v>
      </c>
      <c r="K47" s="2">
        <v>61</v>
      </c>
      <c r="L47" s="2">
        <v>76</v>
      </c>
    </row>
    <row r="48" spans="1:12" x14ac:dyDescent="0.25">
      <c r="A48" s="14"/>
      <c r="C48" s="3" t="str">
        <f>CONCATENATE("    ",B41)</f>
        <v xml:space="preserve">    People with this variant have one copy of the [C677T](http://gnomad.broadinstitute.org/variant/1-11856378-G-A) variant. This substitution of a single nucleotide is known as a missense mutation.</v>
      </c>
    </row>
    <row r="49" spans="1:3" x14ac:dyDescent="0.25">
      <c r="A49" s="14"/>
    </row>
    <row r="50" spans="1:3" x14ac:dyDescent="0.25">
      <c r="A50" s="26"/>
      <c r="C50" s="3" t="s">
        <v>29</v>
      </c>
    </row>
    <row r="51" spans="1:3" x14ac:dyDescent="0.25">
      <c r="A51" s="14"/>
    </row>
    <row r="52" spans="1:3" x14ac:dyDescent="0.25">
      <c r="A52" s="14"/>
      <c r="C52" s="3" t="str">
        <f>CONCATENATE(B42)</f>
        <v xml:space="preserve">    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
    # What should I do about this?
    Some people with mild loss of function variant may benefit from supplementing their diets with an [oral folic acid](https://www.ncbi.nlm.nih.gov/pubmed/25902009) supplement. Consult your physician. </v>
      </c>
    </row>
    <row r="53" spans="1:3" x14ac:dyDescent="0.25">
      <c r="A53" s="14"/>
    </row>
    <row r="54" spans="1:3" x14ac:dyDescent="0.25">
      <c r="A54" s="14"/>
      <c r="C54" s="3" t="s">
        <v>30</v>
      </c>
    </row>
    <row r="55" spans="1:3" x14ac:dyDescent="0.25">
      <c r="A55" s="26"/>
    </row>
    <row r="56" spans="1:3" x14ac:dyDescent="0.25">
      <c r="A56" s="26"/>
      <c r="C56" s="3" t="str">
        <f>CONCATENATE( "    &lt;piechart percentage=",B43," /&gt;")</f>
        <v xml:space="preserve">    &lt;piechart percentage=30 /&gt;</v>
      </c>
    </row>
    <row r="57" spans="1:3" x14ac:dyDescent="0.25">
      <c r="A57" s="26"/>
      <c r="C57" s="3" t="str">
        <f>"  &lt;/Analysis&gt;"</f>
        <v xml:space="preserve">  &lt;/Analysis&gt;</v>
      </c>
    </row>
    <row r="58" spans="1:3" s="21" customFormat="1" x14ac:dyDescent="0.25">
      <c r="A58" s="28" t="s">
        <v>70</v>
      </c>
      <c r="B58" s="20" t="str">
        <f>CONCATENATE(B19," (T;T)")</f>
        <v>C677T (T;T)</v>
      </c>
      <c r="C58" s="21" t="str">
        <f>CONCATENATE("&lt;# ",B58," #&gt;")</f>
        <v>&lt;# C677T (T;T) #&gt;</v>
      </c>
    </row>
    <row r="59" spans="1:3" x14ac:dyDescent="0.25">
      <c r="A59" s="3" t="s">
        <v>21</v>
      </c>
      <c r="B59" s="29" t="str">
        <f>K43</f>
        <v>NC_000001.10:g.[11856378G&gt;A];[11856378G&gt;A]</v>
      </c>
      <c r="C59" s="10"/>
    </row>
    <row r="60" spans="1:3" x14ac:dyDescent="0.25">
      <c r="A60" s="3" t="s">
        <v>72</v>
      </c>
      <c r="B60" s="29" t="str">
        <f>L44</f>
        <v>NC_000001.10:g.[11854476=];[11854476=]</v>
      </c>
      <c r="C60" s="3" t="str">
        <f>CONCATENATE("  &lt;Analysis name=",CHAR(34),B58,CHAR(34))</f>
        <v xml:space="preserve">  &lt;Analysis name="C677T (T;T)"</v>
      </c>
    </row>
    <row r="61" spans="1:3" x14ac:dyDescent="0.25">
      <c r="A61" s="5" t="s">
        <v>75</v>
      </c>
      <c r="B61" s="2" t="str">
        <f>CONCATENATE("People with this variant have two copies of the ",B22," variant. This substitution of a single nucleotide is known as a missense mutation.")</f>
        <v>People with this variant have two copies of the [C677T](http://gnomad.broadinstitute.org/variant/1-11856378-G-A) variant. This substitution of a single nucleotide is known as a missense mutation.</v>
      </c>
      <c r="C61" s="3" t="str">
        <f>CONCATENATE("            case={  variantCall ",CHAR(40),CHAR(34),B59,CHAR(34),CHAR(41))</f>
        <v xml:space="preserve">            case={  variantCall ("NC_000001.10:g.[11856378G&gt;A];[11856378G&gt;A]")</v>
      </c>
    </row>
    <row r="62" spans="1:3" x14ac:dyDescent="0.25">
      <c r="A62" s="1" t="s">
        <v>28</v>
      </c>
      <c r="B62" s="2" t="s">
        <v>76</v>
      </c>
      <c r="C62" s="3" t="s">
        <v>71</v>
      </c>
    </row>
    <row r="63" spans="1:3" x14ac:dyDescent="0.25">
      <c r="A63" s="3" t="s">
        <v>73</v>
      </c>
      <c r="B63" s="29">
        <f>K46</f>
        <v>9</v>
      </c>
      <c r="C63" s="3" t="str">
        <f>CONCATENATE("                    variantCall ",CHAR(40),CHAR(34),B60,CHAR(34),CHAR(41))</f>
        <v xml:space="preserve">                    variantCall ("NC_000001.10:g.[11854476=];[11854476=]")</v>
      </c>
    </row>
    <row r="64" spans="1:3" x14ac:dyDescent="0.25">
      <c r="C64" s="3" t="str">
        <f>CONCATENATE("                  } &gt; ")</f>
        <v xml:space="preserve">                  } &gt; </v>
      </c>
    </row>
    <row r="66" spans="1:12" x14ac:dyDescent="0.25">
      <c r="A66" s="14"/>
      <c r="C66" s="3" t="s">
        <v>26</v>
      </c>
    </row>
    <row r="67" spans="1:12" x14ac:dyDescent="0.25">
      <c r="A67" s="26"/>
    </row>
    <row r="68" spans="1:12" x14ac:dyDescent="0.25">
      <c r="A68" s="14"/>
      <c r="C68" s="3" t="str">
        <f>CONCATENATE("    ",B61)</f>
        <v xml:space="preserve">    People with this variant have two copies of the [C677T](http://gnomad.broadinstitute.org/variant/1-11856378-G-A) variant. This substitution of a single nucleotide is known as a missense mutation.</v>
      </c>
    </row>
    <row r="69" spans="1:12" x14ac:dyDescent="0.25">
      <c r="A69" s="14"/>
    </row>
    <row r="70" spans="1:12" x14ac:dyDescent="0.25">
      <c r="A70" s="26"/>
      <c r="C70" s="3" t="s">
        <v>29</v>
      </c>
    </row>
    <row r="71" spans="1:12" x14ac:dyDescent="0.25">
      <c r="A71" s="14"/>
    </row>
    <row r="72" spans="1:12" x14ac:dyDescent="0.25">
      <c r="A72" s="14"/>
      <c r="C72" s="3" t="str">
        <f>CONCATENATE(B62)</f>
        <v xml:space="preserve">    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
    # What should I do about this?
    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v>
      </c>
    </row>
    <row r="73" spans="1:12" x14ac:dyDescent="0.25">
      <c r="A73" s="14"/>
    </row>
    <row r="74" spans="1:12" x14ac:dyDescent="0.25">
      <c r="A74" s="14"/>
      <c r="C74" s="3" t="s">
        <v>30</v>
      </c>
    </row>
    <row r="75" spans="1:12" x14ac:dyDescent="0.25">
      <c r="A75" s="26"/>
    </row>
    <row r="76" spans="1:12" x14ac:dyDescent="0.25">
      <c r="A76" s="26"/>
      <c r="C76" s="3" t="str">
        <f>CONCATENATE( "    &lt;piechart percentage=",B63," /&gt;")</f>
        <v xml:space="preserve">    &lt;piechart percentage=9 /&gt;</v>
      </c>
    </row>
    <row r="77" spans="1:12" x14ac:dyDescent="0.25">
      <c r="A77" s="26"/>
      <c r="C77" s="3" t="str">
        <f>"  &lt;/Analysis&gt;"</f>
        <v xml:space="preserve">  &lt;/Analysis&gt;</v>
      </c>
    </row>
    <row r="78" spans="1:12" s="21" customFormat="1" x14ac:dyDescent="0.25">
      <c r="A78" s="28" t="s">
        <v>70</v>
      </c>
      <c r="B78" s="20" t="str">
        <f>CONCATENATE(B28," (A;C)")</f>
        <v>A1298C (A;C)</v>
      </c>
      <c r="C78" s="21" t="str">
        <f>CONCATENATE("&lt;# ",B78," #&gt;")</f>
        <v>&lt;# A1298C (A;C) #&gt;</v>
      </c>
    </row>
    <row r="79" spans="1:12" s="10" customFormat="1" x14ac:dyDescent="0.25">
      <c r="A79" s="3" t="s">
        <v>21</v>
      </c>
      <c r="B79" s="29" t="str">
        <f>K44</f>
        <v>NC_000001.10:g.[11856378=];[11856378=]</v>
      </c>
      <c r="J79" s="3"/>
      <c r="K79" s="22"/>
      <c r="L79" s="22"/>
    </row>
    <row r="80" spans="1:12" x14ac:dyDescent="0.25">
      <c r="A80" s="3" t="s">
        <v>72</v>
      </c>
      <c r="B80" s="29" t="str">
        <f>L42</f>
        <v>NC_000001.10:g.[11854476T&gt;G];[11854476=]</v>
      </c>
      <c r="C80" s="3" t="str">
        <f>CONCATENATE("  &lt;Analysis name=",CHAR(34),B78,CHAR(34))</f>
        <v xml:space="preserve">  &lt;Analysis name="A1298C (A;C)"</v>
      </c>
      <c r="K80" s="15"/>
      <c r="L80" s="22"/>
    </row>
    <row r="81" spans="1:12" x14ac:dyDescent="0.25">
      <c r="A81" s="5" t="s">
        <v>27</v>
      </c>
      <c r="B81" s="2" t="str">
        <f>CONCATENATE("People with this variant have one copy of the ",B31," variant. This substitution of a single nucleotide is known as a missense mutation.")</f>
        <v>People with this variant have one copy of the [A1298C](https://www.ncbi.nlm.nih.gov/projects/SNP/snp_ref.cgi?rs=1801131) variant. This substitution of a single nucleotide is known as a missense mutation.</v>
      </c>
      <c r="C81" s="3" t="str">
        <f>CONCATENATE("            case={  variantCall ",CHAR(40),CHAR(34),B79,CHAR(34),CHAR(41))</f>
        <v xml:space="preserve">            case={  variantCall ("NC_000001.10:g.[11856378=];[11856378=]")</v>
      </c>
      <c r="K81" s="15"/>
      <c r="L81" s="22"/>
    </row>
    <row r="82" spans="1:12" x14ac:dyDescent="0.25">
      <c r="A82" s="1" t="s">
        <v>28</v>
      </c>
      <c r="B82" s="2" t="s">
        <v>76</v>
      </c>
      <c r="C82" s="3" t="s">
        <v>71</v>
      </c>
      <c r="K82" s="15"/>
      <c r="L82" s="15"/>
    </row>
    <row r="83" spans="1:12" x14ac:dyDescent="0.25">
      <c r="A83" s="3" t="s">
        <v>73</v>
      </c>
      <c r="B83" s="29">
        <f>L45</f>
        <v>20</v>
      </c>
      <c r="C83" s="3" t="str">
        <f>CONCATENATE("                    variantCall ",CHAR(40),CHAR(34),B80,CHAR(34),CHAR(41))</f>
        <v xml:space="preserve">                    variantCall ("NC_000001.10:g.[11854476T&gt;G];[11854476=]")</v>
      </c>
      <c r="K83" s="15"/>
      <c r="L83" s="15"/>
    </row>
    <row r="84" spans="1:12" x14ac:dyDescent="0.25">
      <c r="C84" s="3" t="str">
        <f>CONCATENATE("                  } &gt; ")</f>
        <v xml:space="preserve">                  } &gt; </v>
      </c>
      <c r="K84" s="2"/>
      <c r="L84" s="2"/>
    </row>
    <row r="85" spans="1:12" x14ac:dyDescent="0.25">
      <c r="K85" s="15"/>
      <c r="L85" s="15"/>
    </row>
    <row r="86" spans="1:12" x14ac:dyDescent="0.25">
      <c r="A86" s="14"/>
      <c r="C86" s="3" t="s">
        <v>26</v>
      </c>
      <c r="K86" s="2"/>
      <c r="L86" s="2"/>
    </row>
    <row r="87" spans="1:12" x14ac:dyDescent="0.25">
      <c r="A87" s="26"/>
      <c r="K87" s="2"/>
      <c r="L87" s="2"/>
    </row>
    <row r="88" spans="1:12" x14ac:dyDescent="0.25">
      <c r="A88" s="14"/>
      <c r="C88" s="3" t="str">
        <f>CONCATENATE("    ",B81)</f>
        <v xml:space="preserve">    People with this variant have one copy of the [A1298C](https://www.ncbi.nlm.nih.gov/projects/SNP/snp_ref.cgi?rs=1801131) variant. This substitution of a single nucleotide is known as a missense mutation.</v>
      </c>
    </row>
    <row r="89" spans="1:12" x14ac:dyDescent="0.25">
      <c r="A89" s="14"/>
    </row>
    <row r="90" spans="1:12" x14ac:dyDescent="0.25">
      <c r="A90" s="26"/>
      <c r="C90" s="3" t="s">
        <v>29</v>
      </c>
    </row>
    <row r="91" spans="1:12" x14ac:dyDescent="0.25">
      <c r="A91" s="14"/>
    </row>
    <row r="92" spans="1:12" x14ac:dyDescent="0.25">
      <c r="A92" s="14"/>
      <c r="C92" s="3" t="str">
        <f>CONCATENATE(B82)</f>
        <v xml:space="preserve">    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
    # What should I do about this?
    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v>
      </c>
    </row>
    <row r="93" spans="1:12" x14ac:dyDescent="0.25">
      <c r="A93" s="14"/>
    </row>
    <row r="94" spans="1:12" x14ac:dyDescent="0.25">
      <c r="A94" s="14"/>
      <c r="C94" s="3" t="s">
        <v>30</v>
      </c>
    </row>
    <row r="95" spans="1:12" x14ac:dyDescent="0.25">
      <c r="A95" s="26"/>
    </row>
    <row r="96" spans="1:12" x14ac:dyDescent="0.25">
      <c r="A96" s="26"/>
      <c r="C96" s="3" t="str">
        <f>CONCATENATE( "    &lt;piechart percentage=",B83," /&gt;")</f>
        <v xml:space="preserve">    &lt;piechart percentage=20 /&gt;</v>
      </c>
    </row>
    <row r="97" spans="1:3" x14ac:dyDescent="0.25">
      <c r="A97" s="26"/>
      <c r="C97" s="3" t="str">
        <f>"  &lt;/Analysis&gt;"</f>
        <v xml:space="preserve">  &lt;/Analysis&gt;</v>
      </c>
    </row>
    <row r="98" spans="1:3" s="21" customFormat="1" x14ac:dyDescent="0.25">
      <c r="A98" s="28" t="s">
        <v>70</v>
      </c>
      <c r="B98" s="20" t="str">
        <f>CONCATENATE(B28," (C;C)")</f>
        <v>A1298C (C;C)</v>
      </c>
      <c r="C98" s="21" t="str">
        <f>CONCATENATE("&lt;# ",B98," #&gt;")</f>
        <v>&lt;# A1298C (C;C) #&gt;</v>
      </c>
    </row>
    <row r="99" spans="1:3" x14ac:dyDescent="0.25">
      <c r="A99" s="3" t="s">
        <v>21</v>
      </c>
      <c r="B99" s="29" t="str">
        <f>K44</f>
        <v>NC_000001.10:g.[11856378=];[11856378=]</v>
      </c>
      <c r="C99" s="10"/>
    </row>
    <row r="100" spans="1:3" x14ac:dyDescent="0.25">
      <c r="A100" s="3" t="s">
        <v>72</v>
      </c>
      <c r="B100" s="29" t="str">
        <f>L43</f>
        <v>NC_000001.10:g.[11854476T&gt;G];[11854476T&gt;G]</v>
      </c>
      <c r="C100" s="3" t="str">
        <f>CONCATENATE("  &lt;Analysis name=",CHAR(34),B98,CHAR(34))</f>
        <v xml:space="preserve">  &lt;Analysis name="A1298C (C;C)"</v>
      </c>
    </row>
    <row r="101" spans="1:3" x14ac:dyDescent="0.25">
      <c r="A101" s="5" t="s">
        <v>75</v>
      </c>
      <c r="B101" s="2" t="str">
        <f>CONCATENATE("People with this variant have two copies of the ",B31," variant. This substitution of a single nucleotide is known as a missense mutation.")</f>
        <v>People with this variant have two copies of the [A1298C](https://www.ncbi.nlm.nih.gov/projects/SNP/snp_ref.cgi?rs=1801131) variant. This substitution of a single nucleotide is known as a missense mutation.</v>
      </c>
      <c r="C101" s="3" t="str">
        <f>CONCATENATE("            case={  variantCall ",CHAR(40),CHAR(34),B99,CHAR(34),CHAR(41))</f>
        <v xml:space="preserve">            case={  variantCall ("NC_000001.10:g.[11856378=];[11856378=]")</v>
      </c>
    </row>
    <row r="102" spans="1:3" x14ac:dyDescent="0.25">
      <c r="A102" s="1" t="s">
        <v>28</v>
      </c>
      <c r="B102" s="2" t="s">
        <v>74</v>
      </c>
      <c r="C102" s="3" t="s">
        <v>71</v>
      </c>
    </row>
    <row r="103" spans="1:3" x14ac:dyDescent="0.25">
      <c r="A103" s="3" t="s">
        <v>73</v>
      </c>
      <c r="B103" s="29">
        <f>L46</f>
        <v>4</v>
      </c>
      <c r="C103" s="3" t="str">
        <f>CONCATENATE("                    variantCall ",CHAR(40),CHAR(34),B100,CHAR(34),CHAR(41))</f>
        <v xml:space="preserve">                    variantCall ("NC_000001.10:g.[11854476T&gt;G];[11854476T&gt;G]")</v>
      </c>
    </row>
    <row r="104" spans="1:3" x14ac:dyDescent="0.25">
      <c r="C104" s="3" t="str">
        <f>CONCATENATE("                  } &gt; ")</f>
        <v xml:space="preserve">                  } &gt; </v>
      </c>
    </row>
    <row r="106" spans="1:3" x14ac:dyDescent="0.25">
      <c r="A106" s="14"/>
      <c r="C106" s="3" t="s">
        <v>26</v>
      </c>
    </row>
    <row r="107" spans="1:3" x14ac:dyDescent="0.25">
      <c r="A107" s="26"/>
    </row>
    <row r="108" spans="1:3" x14ac:dyDescent="0.25">
      <c r="A108" s="14"/>
      <c r="C108" s="3" t="str">
        <f>CONCATENATE("    ",B101)</f>
        <v xml:space="preserve">    People with this variant have two copies of the [A1298C](https://www.ncbi.nlm.nih.gov/projects/SNP/snp_ref.cgi?rs=1801131) variant. This substitution of a single nucleotide is known as a missense mutation.</v>
      </c>
    </row>
    <row r="109" spans="1:3" x14ac:dyDescent="0.25">
      <c r="A109" s="14"/>
    </row>
    <row r="110" spans="1:3" x14ac:dyDescent="0.25">
      <c r="A110" s="26"/>
      <c r="C110" s="3" t="s">
        <v>29</v>
      </c>
    </row>
    <row r="111" spans="1:3" x14ac:dyDescent="0.25">
      <c r="A111" s="14"/>
    </row>
    <row r="112" spans="1:3" x14ac:dyDescent="0.25">
      <c r="A112" s="14"/>
      <c r="C112" s="3" t="str">
        <f>CONCATENATE(B102)</f>
        <v xml:space="preserve">    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
    # What should I do about this?
    Some people with mild loss of function variant may benefit from supplementing their diets with an [oral folic acid](https://www.ncbi.nlm.nih.gov/pubmed/25902009) supplement. Consult your physician. </v>
      </c>
    </row>
    <row r="113" spans="1:3" x14ac:dyDescent="0.25">
      <c r="A113" s="14"/>
    </row>
    <row r="114" spans="1:3" x14ac:dyDescent="0.25">
      <c r="A114" s="14"/>
      <c r="C114" s="3" t="s">
        <v>30</v>
      </c>
    </row>
    <row r="115" spans="1:3" x14ac:dyDescent="0.25">
      <c r="A115" s="26"/>
    </row>
    <row r="116" spans="1:3" x14ac:dyDescent="0.25">
      <c r="A116" s="26"/>
      <c r="C116" s="3" t="str">
        <f>CONCATENATE( "    &lt;piechart percentage=",B103," /&gt;")</f>
        <v xml:space="preserve">    &lt;piechart percentage=4 /&gt;</v>
      </c>
    </row>
    <row r="117" spans="1:3" x14ac:dyDescent="0.25">
      <c r="A117" s="26"/>
      <c r="C117" s="3" t="str">
        <f>"  &lt;/Analysis&gt;"</f>
        <v xml:space="preserve">  &lt;/Analysis&gt;</v>
      </c>
    </row>
    <row r="118" spans="1:3" s="21" customFormat="1" x14ac:dyDescent="0.25">
      <c r="A118" s="28" t="s">
        <v>70</v>
      </c>
      <c r="B118" s="20" t="str">
        <f>CONCATENATE(B38," and ",B78)</f>
        <v>C677T (C;T) and A1298C (A;C)</v>
      </c>
      <c r="C118" s="21" t="str">
        <f>CONCATENATE("&lt;# ",B118," #&gt;")</f>
        <v>&lt;# C677T (C;T) and A1298C (A;C) #&gt;</v>
      </c>
    </row>
    <row r="119" spans="1:3" x14ac:dyDescent="0.25">
      <c r="A119" s="14" t="s">
        <v>21</v>
      </c>
      <c r="B119" s="15" t="str">
        <f>K42</f>
        <v>NC_000001.10:g.[11856378G&gt;A];[11856378=]</v>
      </c>
    </row>
    <row r="120" spans="1:3" x14ac:dyDescent="0.25">
      <c r="A120" s="14" t="s">
        <v>72</v>
      </c>
      <c r="B120" s="15" t="str">
        <f>L42</f>
        <v>NC_000001.10:g.[11854476T&gt;G];[11854476=]</v>
      </c>
      <c r="C120" s="3" t="str">
        <f>CONCATENATE("  &lt;Analysis name=",CHAR(34),B118,CHAR(34))</f>
        <v xml:space="preserve">  &lt;Analysis name="C677T (C;T) and A1298C (A;C)"</v>
      </c>
    </row>
    <row r="121" spans="1:3" x14ac:dyDescent="0.25">
      <c r="A121" s="26" t="s">
        <v>75</v>
      </c>
      <c r="B121" s="15" t="str">
        <f>CONCATENATE("People with this variant have two copies of the ",B51," variant. This substitution of a single nucleotide is known as a missense mutation.")</f>
        <v>People with this variant have two copies of the  variant. This substitution of a single nucleotide is known as a missense mutation.</v>
      </c>
      <c r="C121" s="3" t="str">
        <f>CONCATENATE("            case={  variantCall ",CHAR(40),CHAR(34),B119,CHAR(34),CHAR(41))</f>
        <v xml:space="preserve">            case={  variantCall ("NC_000001.10:g.[11856378G&gt;A];[11856378=]")</v>
      </c>
    </row>
    <row r="122" spans="1:3" x14ac:dyDescent="0.25">
      <c r="A122" s="26" t="s">
        <v>28</v>
      </c>
      <c r="B122" s="15" t="s">
        <v>77</v>
      </c>
      <c r="C122" s="3" t="s">
        <v>71</v>
      </c>
    </row>
    <row r="123" spans="1:3" x14ac:dyDescent="0.25">
      <c r="A123" s="26" t="s">
        <v>73</v>
      </c>
      <c r="B123" s="15">
        <v>6</v>
      </c>
      <c r="C123" s="3" t="str">
        <f>CONCATENATE("                    variantCall ",CHAR(40),CHAR(34),B120,CHAR(34),CHAR(41))</f>
        <v xml:space="preserve">                    variantCall ("NC_000001.10:g.[11854476T&gt;G];[11854476=]")</v>
      </c>
    </row>
    <row r="124" spans="1:3" x14ac:dyDescent="0.25">
      <c r="A124" s="26"/>
      <c r="C124" s="3" t="str">
        <f>CONCATENATE("                  } &gt; ")</f>
        <v xml:space="preserve">                  } &gt; </v>
      </c>
    </row>
    <row r="125" spans="1:3" x14ac:dyDescent="0.25">
      <c r="A125" s="26"/>
    </row>
    <row r="126" spans="1:3" x14ac:dyDescent="0.25">
      <c r="A126" s="26"/>
      <c r="C126" s="3" t="s">
        <v>26</v>
      </c>
    </row>
    <row r="127" spans="1:3" x14ac:dyDescent="0.25">
      <c r="A127" s="14"/>
    </row>
    <row r="128" spans="1:3" x14ac:dyDescent="0.25">
      <c r="A128" s="14"/>
      <c r="C128" s="3" t="str">
        <f>CONCATENATE("    ",B121)</f>
        <v xml:space="preserve">    People with this variant have two copies of the  variant. This substitution of a single nucleotide is known as a missense mutation.</v>
      </c>
    </row>
    <row r="129" spans="1:3" x14ac:dyDescent="0.25">
      <c r="A129" s="14"/>
    </row>
    <row r="130" spans="1:3" x14ac:dyDescent="0.25">
      <c r="A130" s="14"/>
      <c r="C130" s="3" t="s">
        <v>29</v>
      </c>
    </row>
    <row r="131" spans="1:3" x14ac:dyDescent="0.25">
      <c r="A131" s="14"/>
    </row>
    <row r="132" spans="1:3" x14ac:dyDescent="0.25">
      <c r="A132" s="26"/>
      <c r="C132" s="3" t="str">
        <f>CONCATENATE(B122)</f>
        <v xml:space="preserve">
    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 What should I do about this?
    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v>
      </c>
    </row>
    <row r="133" spans="1:3" x14ac:dyDescent="0.25">
      <c r="A133" s="26"/>
    </row>
    <row r="134" spans="1:3" x14ac:dyDescent="0.25">
      <c r="A134" s="26"/>
      <c r="C134" s="3" t="s">
        <v>30</v>
      </c>
    </row>
    <row r="135" spans="1:3" x14ac:dyDescent="0.25">
      <c r="A135" s="26"/>
    </row>
    <row r="136" spans="1:3" x14ac:dyDescent="0.25">
      <c r="A136" s="26"/>
      <c r="C136" s="3" t="str">
        <f>CONCATENATE( "    &lt;piechart percentage=",B123," /&gt;")</f>
        <v xml:space="preserve">    &lt;piechart percentage=6 /&gt;</v>
      </c>
    </row>
    <row r="137" spans="1:3" x14ac:dyDescent="0.25">
      <c r="A137" s="26"/>
      <c r="C137" s="3" t="str">
        <f>"  &lt;/Analysis&gt;"</f>
        <v xml:space="preserve">  &lt;/Analysis&gt;</v>
      </c>
    </row>
    <row r="138" spans="1:3" s="21" customFormat="1" x14ac:dyDescent="0.25">
      <c r="A138" s="28" t="s">
        <v>70</v>
      </c>
      <c r="B138" s="20" t="s">
        <v>85</v>
      </c>
      <c r="C138" s="21" t="str">
        <f>CONCATENATE("&lt;# ",B138," #&gt;")</f>
        <v>&lt;# Wild type #&gt;</v>
      </c>
    </row>
    <row r="139" spans="1:3" x14ac:dyDescent="0.25">
      <c r="A139" s="14" t="s">
        <v>21</v>
      </c>
      <c r="B139" s="15" t="str">
        <f>K44</f>
        <v>NC_000001.10:g.[11856378=];[11856378=]</v>
      </c>
    </row>
    <row r="140" spans="1:3" x14ac:dyDescent="0.25">
      <c r="A140" s="14" t="s">
        <v>72</v>
      </c>
      <c r="B140" s="15" t="str">
        <f>L44</f>
        <v>NC_000001.10:g.[11854476=];[11854476=]</v>
      </c>
      <c r="C140" s="3" t="str">
        <f>CONCATENATE("  &lt;Analysis name=",CHAR(34),B138,CHAR(34))</f>
        <v xml:space="preserve">  &lt;Analysis name="Wild type"</v>
      </c>
    </row>
    <row r="141" spans="1:3" x14ac:dyDescent="0.25">
      <c r="A141" s="26" t="s">
        <v>75</v>
      </c>
      <c r="B141" s="15" t="str">
        <f>CONCATENATE("Your ",B12," gene has no variants. A normal gene is referred to as a ",CHAR(34),"wild-type",CHAR(34)," gene.")</f>
        <v>Your MTHFR gene has no variants. A normal gene is referred to as a "wild-type" gene.</v>
      </c>
      <c r="C141" s="3" t="str">
        <f>CONCATENATE("            case={  variantCall ",CHAR(40),CHAR(34),B139,CHAR(34),CHAR(41))</f>
        <v xml:space="preserve">            case={  variantCall ("NC_000001.10:g.[11856378=];[11856378=]")</v>
      </c>
    </row>
    <row r="142" spans="1:3" x14ac:dyDescent="0.25">
      <c r="A142" s="26" t="s">
        <v>28</v>
      </c>
      <c r="C142" s="3" t="s">
        <v>71</v>
      </c>
    </row>
    <row r="143" spans="1:3" x14ac:dyDescent="0.25">
      <c r="A143" s="26" t="s">
        <v>73</v>
      </c>
      <c r="B143" s="15">
        <v>61</v>
      </c>
      <c r="C143" s="3" t="str">
        <f>CONCATENATE("                    variantCall ",CHAR(40),CHAR(34),B140,CHAR(34),CHAR(41))</f>
        <v xml:space="preserve">                    variantCall ("NC_000001.10:g.[11854476=];[11854476=]")</v>
      </c>
    </row>
    <row r="144" spans="1:3" x14ac:dyDescent="0.25">
      <c r="A144" s="26"/>
      <c r="C144" s="3" t="str">
        <f>CONCATENATE("                  } &gt; ")</f>
        <v xml:space="preserve">                  } &gt; </v>
      </c>
    </row>
    <row r="145" spans="1:3" x14ac:dyDescent="0.25">
      <c r="A145" s="26"/>
    </row>
    <row r="146" spans="1:3" x14ac:dyDescent="0.25">
      <c r="A146" s="26"/>
      <c r="C146" s="3" t="s">
        <v>26</v>
      </c>
    </row>
    <row r="147" spans="1:3" x14ac:dyDescent="0.25">
      <c r="A147" s="14"/>
    </row>
    <row r="148" spans="1:3" x14ac:dyDescent="0.25">
      <c r="A148" s="14"/>
      <c r="C148" s="3" t="str">
        <f>CONCATENATE("    ",B141)</f>
        <v xml:space="preserve">    Your MTHFR gene has no variants. A normal gene is referred to as a "wild-type" gene.</v>
      </c>
    </row>
    <row r="149" spans="1:3" x14ac:dyDescent="0.25">
      <c r="A149" s="14"/>
    </row>
    <row r="150" spans="1:3" x14ac:dyDescent="0.25">
      <c r="A150" s="26"/>
      <c r="C150" s="3" t="s">
        <v>30</v>
      </c>
    </row>
    <row r="151" spans="1:3" x14ac:dyDescent="0.25">
      <c r="A151" s="26"/>
    </row>
    <row r="152" spans="1:3" x14ac:dyDescent="0.25">
      <c r="A152" s="26"/>
      <c r="C152" s="3" t="str">
        <f>CONCATENATE( "    &lt;piechart percentage=",B143," /&gt;")</f>
        <v xml:space="preserve">    &lt;piechart percentage=61 /&gt;</v>
      </c>
    </row>
    <row r="153" spans="1:3" x14ac:dyDescent="0.25">
      <c r="A153" s="26"/>
      <c r="C153" s="3" t="str">
        <f>"  &lt;/Analysis&gt;"</f>
        <v xml:space="preserve">  &lt;/Analysis&gt;</v>
      </c>
    </row>
    <row r="154" spans="1:3" s="21" customFormat="1" x14ac:dyDescent="0.25">
      <c r="A154" s="28" t="s">
        <v>70</v>
      </c>
      <c r="B154" s="20" t="s">
        <v>86</v>
      </c>
      <c r="C154" s="21" t="str">
        <f>CONCATENATE("&lt;# ",B154," #&gt;")</f>
        <v>&lt;# Unknown #&gt;</v>
      </c>
    </row>
    <row r="155" spans="1:3" x14ac:dyDescent="0.25">
      <c r="A155" s="14" t="s">
        <v>21</v>
      </c>
      <c r="B155" s="15">
        <f>K60</f>
        <v>0</v>
      </c>
    </row>
    <row r="156" spans="1:3" x14ac:dyDescent="0.25">
      <c r="A156" s="14" t="s">
        <v>72</v>
      </c>
      <c r="C156" s="3" t="str">
        <f>CONCATENATE("  &lt;Analysis name=",CHAR(34),B154,CHAR(34), " case=true&gt;")</f>
        <v xml:space="preserve">  &lt;Analysis name="Unknown" case=true&gt;</v>
      </c>
    </row>
    <row r="157" spans="1:3" x14ac:dyDescent="0.25">
      <c r="A157" s="26" t="s">
        <v>75</v>
      </c>
      <c r="B157" s="15" t="s">
        <v>31</v>
      </c>
    </row>
    <row r="158" spans="1:3" x14ac:dyDescent="0.25">
      <c r="A158" s="26" t="s">
        <v>73</v>
      </c>
      <c r="B158" s="15">
        <v>0</v>
      </c>
      <c r="C158" s="3" t="s">
        <v>26</v>
      </c>
    </row>
    <row r="159" spans="1:3" x14ac:dyDescent="0.25">
      <c r="A159" s="26"/>
    </row>
    <row r="160" spans="1:3" x14ac:dyDescent="0.25">
      <c r="A160" s="14"/>
      <c r="C160" s="3" t="str">
        <f>CONCATENATE("    ",B157)</f>
        <v xml:space="preserve">    The effect is unknown.</v>
      </c>
    </row>
    <row r="161" spans="1:3" x14ac:dyDescent="0.25">
      <c r="A161" s="14"/>
    </row>
    <row r="162" spans="1:3" x14ac:dyDescent="0.25">
      <c r="A162" s="14"/>
      <c r="C162" s="3" t="s">
        <v>30</v>
      </c>
    </row>
    <row r="163" spans="1:3" x14ac:dyDescent="0.25">
      <c r="A163" s="26"/>
    </row>
    <row r="164" spans="1:3" x14ac:dyDescent="0.25">
      <c r="A164" s="26"/>
      <c r="C164" s="3" t="str">
        <f>CONCATENATE( "    &lt;piechart percentage=",B158," /&gt;")</f>
        <v xml:space="preserve">    &lt;piechart percentage=0 /&gt;</v>
      </c>
    </row>
    <row r="165" spans="1:3" x14ac:dyDescent="0.25">
      <c r="A165" s="26"/>
      <c r="C165" s="3" t="str">
        <f>"  &lt;/Analysis&gt;"</f>
        <v xml:space="preserve">  &lt;/Analysis&gt;</v>
      </c>
    </row>
    <row r="166" spans="1:3" x14ac:dyDescent="0.25">
      <c r="A166" s="14"/>
      <c r="C166" s="31" t="s">
        <v>78</v>
      </c>
    </row>
    <row r="167" spans="1:3" s="21" customFormat="1" x14ac:dyDescent="0.25">
      <c r="A167" s="19"/>
      <c r="B167" s="20"/>
      <c r="C167" s="35"/>
    </row>
    <row r="168" spans="1:3" x14ac:dyDescent="0.25">
      <c r="A168" s="14" t="s">
        <v>79</v>
      </c>
      <c r="B168" s="15" t="s">
        <v>80</v>
      </c>
      <c r="C168" s="10" t="str">
        <f>CONCATENATE("&lt;# ",A168," ",B168," #&gt;")</f>
        <v>&lt;# Tissues endocrineSystem and pancreas #&gt;</v>
      </c>
    </row>
    <row r="169" spans="1:3" x14ac:dyDescent="0.25">
      <c r="A169" s="14"/>
    </row>
    <row r="170" spans="1:3" x14ac:dyDescent="0.25">
      <c r="A170" s="14"/>
      <c r="B170" s="15" t="s">
        <v>81</v>
      </c>
      <c r="C170" s="31" t="str">
        <f>CONCATENATE("&lt;TopicBar ",B170," /&gt;")</f>
        <v>&lt;TopicBar endocrineSystem pancreas /&gt;</v>
      </c>
    </row>
    <row r="171" spans="1:3" x14ac:dyDescent="0.25">
      <c r="A171" s="14"/>
    </row>
    <row r="172" spans="1:3" x14ac:dyDescent="0.25">
      <c r="A172" s="14" t="s">
        <v>32</v>
      </c>
      <c r="B172" s="15" t="s">
        <v>33</v>
      </c>
      <c r="C172" s="10" t="str">
        <f>CONCATENATE("&lt;# ",A172," ",B172," #&gt;")</f>
        <v>&lt;# Symptoms fatigue D005221 memory problems D008569 inflamation D007249 #&gt;</v>
      </c>
    </row>
    <row r="173" spans="1:3" x14ac:dyDescent="0.25">
      <c r="A173" s="14"/>
    </row>
    <row r="174" spans="1:3" x14ac:dyDescent="0.25">
      <c r="A174" s="14"/>
      <c r="B174" s="15" t="s">
        <v>82</v>
      </c>
      <c r="C174" s="31" t="str">
        <f>CONCATENATE("&lt;TopicBar ",B174," /&gt;")</f>
        <v>&lt;TopicBar mesh_D005221 mesh_D008569 mesh_D007249 /&gt;</v>
      </c>
    </row>
    <row r="175" spans="1:3" x14ac:dyDescent="0.25">
      <c r="A175" s="14"/>
      <c r="C175" s="31"/>
    </row>
    <row r="176" spans="1:3" x14ac:dyDescent="0.25">
      <c r="A176" s="14" t="s">
        <v>48</v>
      </c>
      <c r="B176" s="15" t="s">
        <v>83</v>
      </c>
      <c r="C176" s="10" t="str">
        <f>CONCATENATE("&lt;# ",A176," ",B176," #&gt;")</f>
        <v>&lt;# Diseases depression D003866 hypothyroid D007037  #&gt;</v>
      </c>
    </row>
    <row r="177" spans="1:3" x14ac:dyDescent="0.25">
      <c r="A177" s="14"/>
    </row>
    <row r="178" spans="1:3" x14ac:dyDescent="0.25">
      <c r="A178" s="14"/>
      <c r="B178" s="15" t="s">
        <v>84</v>
      </c>
      <c r="C178" s="31" t="str">
        <f>CONCATENATE("&lt;TopicBar ",B178," /&gt;")</f>
        <v>&lt;TopicBar mesh_D003866 mesh_D007037  /&gt;</v>
      </c>
    </row>
    <row r="179" spans="1:3" x14ac:dyDescent="0.25">
      <c r="A179" s="14"/>
    </row>
    <row r="180" spans="1:3" s="21" customFormat="1" x14ac:dyDescent="0.25">
      <c r="A180" s="28"/>
      <c r="B180" s="20"/>
    </row>
    <row r="181" spans="1:3" x14ac:dyDescent="0.25">
      <c r="B181" s="30"/>
    </row>
    <row r="183" spans="1:3" x14ac:dyDescent="0.25">
      <c r="B183" s="30"/>
    </row>
    <row r="185" spans="1:3" x14ac:dyDescent="0.25">
      <c r="B185" s="30"/>
    </row>
    <row r="187" spans="1:3" x14ac:dyDescent="0.25">
      <c r="B187" s="30"/>
    </row>
    <row r="189" spans="1:3" x14ac:dyDescent="0.25">
      <c r="B189" s="3"/>
    </row>
    <row r="191" spans="1:3" x14ac:dyDescent="0.25">
      <c r="B191" s="3"/>
    </row>
    <row r="863" spans="3:3" x14ac:dyDescent="0.25">
      <c r="C863" s="3" t="str">
        <f>CONCATENATE("    This variant is a change at a specific point in the ",B854," gene from ",B863," to ",B864," resulting in incorrect ",B857,"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69" spans="3:3" x14ac:dyDescent="0.25">
      <c r="C869" s="3" t="str">
        <f>CONCATENATE("    This variant is a change at a specific point in the ",B854," gene from ",B869," to ",B870," resulting in incorrect ",B857,"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99" spans="3:3" x14ac:dyDescent="0.25">
      <c r="C999" s="3" t="str">
        <f>CONCATENATE("    This variant is a change at a specific point in the ",B990," gene from ",B999," to ",B1000," resulting in incorrect ",B993,"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05" spans="3:3" x14ac:dyDescent="0.25">
      <c r="C1005" s="3" t="str">
        <f>CONCATENATE("    This variant is a change at a specific point in the ",B990," gene from ",B1005," to ",B1006," resulting in incorrect ",B993,"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7" spans="3:3" x14ac:dyDescent="0.25">
      <c r="C1407" s="3" t="str">
        <f>CONCATENATE("    This variant is a change at a specific point in the ",B1398," gene from ",B1407," to ",B1408," resulting in incorrect ",B1401,"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13" spans="3:3" x14ac:dyDescent="0.25">
      <c r="C1413" s="3" t="str">
        <f>CONCATENATE("    This variant is a change at a specific point in the ",B1398," gene from ",B1413," to ",B1414," resulting in incorrect ",B1401,"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43" spans="3:3" x14ac:dyDescent="0.25">
      <c r="C1543" s="3" t="str">
        <f>CONCATENATE("    This variant is a change at a specific point in the ",B1534," gene from ",B1543," to ",B1544," resulting in incorrect ",B1537,"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49" spans="3:3" x14ac:dyDescent="0.25">
      <c r="C1549" s="3" t="str">
        <f>CONCATENATE("    This variant is a change at a specific point in the ",B1534," gene from ",B1549," to ",B1550," resulting in incorrect ",B1537,"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9" spans="3:3" x14ac:dyDescent="0.25">
      <c r="C1679" s="3" t="str">
        <f>CONCATENATE("    This variant is a change at a specific point in the ",B1670," gene from ",B1679," to ",B1680," resulting in incorrect ",B1673,"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85" spans="3:3" x14ac:dyDescent="0.25">
      <c r="C1685" s="3" t="str">
        <f>CONCATENATE("    This variant is a change at a specific point in the ",B1670," gene from ",B1685," to ",B1686," resulting in incorrect ",B1673,"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15" spans="3:3" x14ac:dyDescent="0.25">
      <c r="C1815" s="3" t="str">
        <f>CONCATENATE("    This variant is a change at a specific point in the ",B1806," gene from ",B1815," to ",B1816," resulting in incorrect ",B1809,"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21" spans="3:3" x14ac:dyDescent="0.25">
      <c r="C1821" s="3" t="str">
        <f>CONCATENATE("    This variant is a change at a specific point in the ",B1806," gene from ",B1821," to ",B1822," resulting in incorrect ",B1809,"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51" spans="3:3" x14ac:dyDescent="0.25">
      <c r="C1951" s="3" t="str">
        <f>CONCATENATE("    This variant is a change at a specific point in the ",B1942," gene from ",B1951," to ",B1952," resulting in incorrect ",B1945,"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57" spans="3:3" x14ac:dyDescent="0.25">
      <c r="C1957" s="3" t="str">
        <f>CONCATENATE("    This variant is a change at a specific point in the ",B1942," gene from ",B1957," to ",B1958," resulting in incorrect ",B1945,"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7" spans="3:3" x14ac:dyDescent="0.25">
      <c r="C2087" s="3" t="str">
        <f>CONCATENATE("    This variant is a change at a specific point in the ",B2078," gene from ",B2087," to ",B2088," resulting in incorrect ",B2081,"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93" spans="3:3" x14ac:dyDescent="0.25">
      <c r="C2093" s="3" t="str">
        <f>CONCATENATE("    This variant is a change at a specific point in the ",B2078," gene from ",B2093," to ",B2094," resulting in incorrect ",B2081,"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23" spans="3:3" x14ac:dyDescent="0.25">
      <c r="C2223" s="3" t="str">
        <f>CONCATENATE("    This variant is a change at a specific point in the ",B2214," gene from ",B2223," to ",B2224," resulting in incorrect ",B2217,"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29" spans="3:3" x14ac:dyDescent="0.25">
      <c r="C2229" s="3" t="str">
        <f>CONCATENATE("    This variant is a change at a specific point in the ",B2214," gene from ",B2229," to ",B2230," resulting in incorrect ",B2217,"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9" spans="3:3" x14ac:dyDescent="0.25">
      <c r="C2359" s="3" t="str">
        <f>CONCATENATE("    This variant is a change at a specific point in the ",B2350," gene from ",B2359," to ",B2360," resulting in incorrect ",B2353,"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65" spans="3:3" x14ac:dyDescent="0.25">
      <c r="C2365" s="3" t="str">
        <f>CONCATENATE("    This variant is a change at a specific point in the ",B2350," gene from ",B2365," to ",B2366," resulting in incorrect ",B2353,"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40DA-9F8F-4C0A-AD40-7FCDCB3E90F4}">
  <dimension ref="A1:AJ2425"/>
  <sheetViews>
    <sheetView topLeftCell="A4" workbookViewId="0">
      <selection activeCell="A4" sqref="A1:XFD1048576"/>
    </sheetView>
  </sheetViews>
  <sheetFormatPr defaultRowHeight="15.75" x14ac:dyDescent="0.25"/>
  <cols>
    <col min="1" max="1" width="16.28515625" style="3" customWidth="1"/>
    <col min="2" max="2" width="42.7109375" style="15" customWidth="1"/>
    <col min="3" max="6" width="9.140625" style="3"/>
    <col min="7" max="7" width="10.28515625" style="3" bestFit="1" customWidth="1"/>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8" t="s">
        <v>0</v>
      </c>
      <c r="B1" s="9" t="s">
        <v>1</v>
      </c>
      <c r="C1" s="8" t="s">
        <v>2</v>
      </c>
      <c r="H1" s="10"/>
      <c r="I1" s="11"/>
      <c r="J1" s="10"/>
      <c r="K1" s="10"/>
      <c r="L1" s="10"/>
      <c r="Y1" s="12"/>
      <c r="AC1" s="12"/>
      <c r="AF1" s="13"/>
      <c r="AG1" s="13"/>
      <c r="AJ1" s="13"/>
    </row>
    <row r="2" spans="1:36" x14ac:dyDescent="0.25">
      <c r="A2" s="14" t="s">
        <v>35</v>
      </c>
      <c r="B2" s="2" t="s">
        <v>36</v>
      </c>
      <c r="C2" s="3" t="str">
        <f>CONCATENATE("&lt;",A2," ",B2," /&gt;")</f>
        <v>&lt;Gene_Name CHRNA3 /&gt;</v>
      </c>
      <c r="D2" s="15"/>
      <c r="H2" s="10"/>
      <c r="I2" s="11"/>
      <c r="J2" s="10"/>
      <c r="K2" s="10"/>
      <c r="L2" s="10"/>
      <c r="Y2" s="12"/>
      <c r="AC2" s="12"/>
      <c r="AF2" s="13"/>
      <c r="AG2" s="13"/>
      <c r="AJ2" s="13"/>
    </row>
    <row r="3" spans="1:36" x14ac:dyDescent="0.25">
      <c r="A3" s="8"/>
      <c r="B3" s="2"/>
      <c r="C3" s="8"/>
      <c r="D3" s="15"/>
      <c r="H3" s="10"/>
      <c r="I3" s="11"/>
      <c r="J3" s="10"/>
      <c r="K3" s="10"/>
      <c r="L3" s="10"/>
      <c r="Y3" s="12"/>
      <c r="AC3" s="12"/>
      <c r="AF3" s="13"/>
      <c r="AG3" s="13"/>
      <c r="AJ3" s="13"/>
    </row>
    <row r="4" spans="1:36" ht="17.25" x14ac:dyDescent="0.3">
      <c r="A4" s="14" t="s">
        <v>37</v>
      </c>
      <c r="B4" s="4" t="s">
        <v>38</v>
      </c>
      <c r="C4" s="3" t="str">
        <f>CONCATENATE("&lt;",A4," ",B4," /&gt;")</f>
        <v>&lt;GeneName_full Neuronal acetylcholine receptor subunit alpha-3 /&gt;</v>
      </c>
      <c r="D4" s="15"/>
      <c r="H4" s="10"/>
      <c r="I4" s="11"/>
      <c r="J4" s="10"/>
      <c r="K4" s="10"/>
      <c r="L4" s="10"/>
      <c r="Y4" s="12"/>
      <c r="AC4" s="12"/>
      <c r="AF4" s="13"/>
      <c r="AG4" s="13"/>
      <c r="AJ4" s="13"/>
    </row>
    <row r="5" spans="1:36" x14ac:dyDescent="0.25">
      <c r="A5" s="14"/>
      <c r="B5" s="9"/>
      <c r="C5" s="8"/>
      <c r="D5" s="15"/>
      <c r="H5" s="10"/>
      <c r="I5" s="11"/>
      <c r="J5" s="10"/>
      <c r="K5" s="10"/>
      <c r="L5" s="10"/>
      <c r="Y5" s="12"/>
      <c r="AC5" s="12"/>
      <c r="AF5" s="13"/>
      <c r="AG5" s="13"/>
      <c r="AJ5" s="13"/>
    </row>
    <row r="6" spans="1:36" x14ac:dyDescent="0.25">
      <c r="A6" s="14"/>
      <c r="B6" s="3"/>
      <c r="C6" s="3" t="str">
        <f>CONCATENATE("# What does the ",B2," gene do?")</f>
        <v># What does the CHRNA3 gene do?</v>
      </c>
      <c r="H6" s="10"/>
      <c r="I6" s="11"/>
      <c r="J6" s="10"/>
      <c r="K6" s="10"/>
      <c r="L6" s="10"/>
      <c r="Y6" s="16"/>
      <c r="Z6" s="16"/>
      <c r="AA6" s="16"/>
      <c r="AC6" s="16"/>
      <c r="AF6" s="13"/>
      <c r="AJ6" s="13"/>
    </row>
    <row r="7" spans="1:36" x14ac:dyDescent="0.25">
      <c r="A7" s="14"/>
      <c r="I7" s="17"/>
      <c r="Y7" s="16"/>
      <c r="Z7" s="16"/>
      <c r="AA7" s="16"/>
      <c r="AC7" s="16"/>
      <c r="AF7" s="13"/>
      <c r="AJ7" s="13"/>
    </row>
    <row r="8" spans="1:36" ht="17.25" x14ac:dyDescent="0.3">
      <c r="A8" s="14" t="s">
        <v>5</v>
      </c>
      <c r="B8" s="4" t="s">
        <v>39</v>
      </c>
      <c r="C8" s="3" t="str">
        <f>CONCATENATE(B8," This gene is located on chromosome ",B9,".")</f>
        <v>CHRNA3 encodes a neurotransmitter called [acetylcholine](http://www.uniprot.org/citations/8906617) that regulates the creation and destruction of nicotine receptors in the nervous system. It also controls [serotonin](https://www.ebi.ac.uk/QuickGO/term/GO:0022850) channels in the brain. Variants in this gene have been associated with [nicotine dependence](https://www.ncbi.nlm.nih.gov/pubmed/22290489), [lung cancer](https://www.ncbi.nlm.nih.gov/pubmed/19836008), [COPD](https://www.ncbi.nlm.nih.gov/pubmed/24621683) (Chronic Obstructive Pulmonary Disease), [cocaine dependence](https://www.ncbi.nlm.nih.gov/pubmed/20485328), and ME/[CFS](https://www.ncbi.nlm.nih.gov/pubmed/27099524). This gene is located on chromosome 15.</v>
      </c>
      <c r="I8" s="17"/>
      <c r="X8" s="18"/>
      <c r="Y8" s="16"/>
      <c r="Z8" s="16"/>
      <c r="AA8" s="16"/>
      <c r="AC8" s="16"/>
    </row>
    <row r="9" spans="1:36" x14ac:dyDescent="0.25">
      <c r="A9" s="14" t="s">
        <v>6</v>
      </c>
      <c r="B9" s="2">
        <v>15</v>
      </c>
      <c r="I9" s="17"/>
      <c r="Y9" s="16"/>
      <c r="Z9" s="16"/>
      <c r="AA9" s="16"/>
      <c r="AC9" s="16"/>
    </row>
    <row r="10" spans="1:36" x14ac:dyDescent="0.25">
      <c r="A10" s="14" t="s">
        <v>7</v>
      </c>
      <c r="B10" s="2" t="s">
        <v>40</v>
      </c>
      <c r="Y10" s="12"/>
      <c r="AC10" s="16"/>
    </row>
    <row r="11" spans="1:36" s="21" customFormat="1" ht="16.5" thickBot="1" x14ac:dyDescent="0.3">
      <c r="A11" s="19"/>
      <c r="B11" s="20"/>
    </row>
    <row r="12" spans="1:36" ht="16.5" thickBot="1" x14ac:dyDescent="0.3">
      <c r="A12" s="14" t="s">
        <v>3</v>
      </c>
      <c r="B12" s="2" t="s">
        <v>36</v>
      </c>
      <c r="C12" s="3" t="str">
        <f>CONCATENATE("&lt;GeneMap name= ",CHAR(34),B12,CHAR(34)," interval=",CHAR(34),B13,"=",CHAR(34),"&gt;")</f>
        <v>&lt;GeneMap name= "CHRNA3" interval="NC_000015.9:g.78885394_78913637="&gt;</v>
      </c>
      <c r="J12" s="23"/>
      <c r="K12" s="23"/>
      <c r="L12" s="23"/>
      <c r="M12" s="23"/>
      <c r="N12" s="23"/>
      <c r="O12" s="24"/>
      <c r="P12" s="25"/>
      <c r="Q12" s="24"/>
      <c r="R12" s="24"/>
      <c r="S12" s="25"/>
      <c r="T12" s="25"/>
      <c r="U12" s="24"/>
      <c r="V12" s="24"/>
      <c r="W12" s="25"/>
      <c r="X12" s="25"/>
      <c r="Y12" s="25"/>
      <c r="Z12" s="25"/>
    </row>
    <row r="13" spans="1:36" x14ac:dyDescent="0.25">
      <c r="A13" s="14" t="s">
        <v>9</v>
      </c>
      <c r="B13" s="2" t="s">
        <v>148</v>
      </c>
      <c r="J13" s="15"/>
      <c r="K13" s="15"/>
      <c r="L13" s="15"/>
      <c r="M13" s="15"/>
      <c r="N13" s="15"/>
      <c r="O13" s="15"/>
      <c r="P13" s="15"/>
      <c r="Q13" s="15"/>
      <c r="R13" s="15"/>
      <c r="S13" s="15"/>
      <c r="T13" s="15"/>
      <c r="U13" s="15"/>
      <c r="V13" s="15"/>
      <c r="W13" s="15"/>
      <c r="X13" s="15"/>
      <c r="Y13" s="15"/>
      <c r="Z13" s="15"/>
    </row>
    <row r="14" spans="1:36" x14ac:dyDescent="0.25">
      <c r="A14" s="14" t="s">
        <v>11</v>
      </c>
      <c r="B14" s="2" t="s">
        <v>12</v>
      </c>
      <c r="C14" s="3" t="str">
        <f>CONCATENATE("# What are some common variants of ",B12,"?")</f>
        <v># What are some common variants of CHRNA3?</v>
      </c>
      <c r="J14" s="15"/>
      <c r="K14" s="15"/>
      <c r="L14" s="15"/>
      <c r="M14" s="15"/>
      <c r="N14" s="15"/>
      <c r="O14" s="15"/>
      <c r="P14" s="15"/>
      <c r="Q14" s="15"/>
      <c r="R14" s="15"/>
      <c r="S14" s="15"/>
      <c r="T14" s="15"/>
      <c r="U14" s="15"/>
      <c r="V14" s="15"/>
      <c r="W14" s="15"/>
      <c r="X14" s="15"/>
      <c r="Y14" s="15"/>
      <c r="Z14" s="15"/>
    </row>
    <row r="15" spans="1:36" x14ac:dyDescent="0.25">
      <c r="A15" s="14"/>
      <c r="B15" s="2"/>
      <c r="C15" s="3" t="s">
        <v>13</v>
      </c>
      <c r="J15" s="15"/>
      <c r="K15" s="15"/>
      <c r="L15" s="15"/>
      <c r="M15" s="15"/>
      <c r="N15" s="15"/>
      <c r="O15" s="15"/>
      <c r="P15" s="15"/>
      <c r="Q15" s="15"/>
      <c r="R15" s="15"/>
      <c r="S15" s="15"/>
      <c r="T15" s="15"/>
      <c r="U15" s="15"/>
      <c r="V15" s="15"/>
      <c r="W15" s="15"/>
      <c r="X15" s="15"/>
      <c r="Y15" s="15"/>
      <c r="Z15" s="15"/>
    </row>
    <row r="16" spans="1:36" x14ac:dyDescent="0.25">
      <c r="B16" s="2"/>
      <c r="C16" s="3" t="str">
        <f>CONCATENATE("A variant is a change at a specific point in the gene from the expected nucleotide sequence to another, resulting in incorrect ", B10," function. There are ",B14," common variants in ",B12,": ",B22," and ",B31,".")</f>
        <v>A variant is a change at a specific point in the gene from the expected nucleotide sequence to another, resulting in incorrect protein function. There are two common variants in CHRNA3: [C78606381T](https://www.ncbi.nlm.nih.gov/projects/SNP/snp_ref.cgi?rs=12914385) and [C645T](https://www.ncbi.nlm.nih.gov/clinvar/variation/17503/).</v>
      </c>
      <c r="J16" s="15"/>
      <c r="K16" s="15"/>
      <c r="L16" s="15"/>
      <c r="M16" s="15"/>
      <c r="N16" s="15"/>
      <c r="O16" s="15"/>
      <c r="P16" s="15"/>
      <c r="Q16" s="15"/>
      <c r="R16" s="15"/>
      <c r="S16" s="15"/>
      <c r="T16" s="15"/>
      <c r="U16" s="15"/>
      <c r="V16" s="15"/>
      <c r="W16" s="15"/>
      <c r="X16" s="15"/>
      <c r="Y16" s="15"/>
      <c r="Z16" s="15"/>
    </row>
    <row r="17" spans="1:26" x14ac:dyDescent="0.25">
      <c r="B17" s="2"/>
      <c r="J17" s="15"/>
      <c r="K17" s="15"/>
      <c r="L17" s="15"/>
      <c r="M17" s="15"/>
      <c r="N17" s="15"/>
      <c r="O17" s="15"/>
      <c r="P17" s="15"/>
      <c r="Q17" s="15"/>
      <c r="R17" s="15"/>
      <c r="S17" s="15"/>
      <c r="T17" s="15"/>
      <c r="U17" s="15"/>
      <c r="V17" s="15"/>
      <c r="W17" s="15"/>
      <c r="X17" s="15"/>
      <c r="Y17" s="15"/>
      <c r="Z17" s="15"/>
    </row>
    <row r="18" spans="1:26" x14ac:dyDescent="0.25">
      <c r="A18" s="14" t="s">
        <v>14</v>
      </c>
      <c r="B18" s="22" t="s">
        <v>151</v>
      </c>
      <c r="C18" s="3" t="str">
        <f>CONCATENATE("&lt;# ",B19," #&gt;")</f>
        <v>&lt;# C78606381T #&gt;</v>
      </c>
      <c r="J18" s="15"/>
      <c r="K18" s="15"/>
      <c r="L18" s="15"/>
      <c r="M18" s="15"/>
      <c r="N18" s="15"/>
      <c r="O18" s="15"/>
      <c r="P18" s="15"/>
      <c r="Q18" s="15"/>
      <c r="R18" s="15"/>
      <c r="S18" s="15"/>
      <c r="T18" s="15"/>
      <c r="U18" s="15"/>
      <c r="V18" s="15"/>
      <c r="W18" s="15"/>
      <c r="X18" s="15"/>
      <c r="Y18" s="15"/>
      <c r="Z18" s="15"/>
    </row>
    <row r="19" spans="1:26" x14ac:dyDescent="0.25">
      <c r="A19" s="26" t="s">
        <v>15</v>
      </c>
      <c r="B19" s="27" t="s">
        <v>41</v>
      </c>
      <c r="J19" s="6"/>
      <c r="K19" s="15"/>
      <c r="L19" s="15"/>
      <c r="M19" s="15"/>
      <c r="N19" s="15"/>
      <c r="O19" s="15"/>
      <c r="P19" s="15"/>
      <c r="Q19" s="15"/>
      <c r="R19" s="15"/>
      <c r="S19" s="15"/>
      <c r="T19" s="15"/>
      <c r="U19" s="15"/>
      <c r="V19" s="15"/>
      <c r="W19" s="15"/>
      <c r="X19" s="15"/>
      <c r="Y19" s="15"/>
      <c r="Z19" s="15"/>
    </row>
    <row r="20" spans="1:26" x14ac:dyDescent="0.25">
      <c r="A20" s="26" t="s">
        <v>17</v>
      </c>
      <c r="B20" s="2" t="s">
        <v>18</v>
      </c>
      <c r="C20" s="3" t="str">
        <f>CONCATENATE("  &lt;Variant hgvs=",CHAR(34),B18,CHAR(34)," name=",CHAR(34),B19,CHAR(34),"&gt; ")</f>
        <v xml:space="preserve">  &lt;Variant hgvs="NC_000015.9:g.78898723C&gt;T" name="C78606381T"&gt; </v>
      </c>
      <c r="J20" s="2"/>
      <c r="K20" s="15"/>
      <c r="L20" s="15"/>
      <c r="M20" s="15"/>
      <c r="N20" s="15"/>
      <c r="O20" s="15"/>
      <c r="P20" s="15"/>
      <c r="Q20" s="15"/>
      <c r="R20" s="15"/>
      <c r="S20" s="15"/>
      <c r="T20" s="15"/>
      <c r="U20" s="15"/>
      <c r="V20" s="15"/>
      <c r="W20" s="15"/>
      <c r="X20" s="15"/>
      <c r="Y20" s="15"/>
      <c r="Z20" s="15"/>
    </row>
    <row r="21" spans="1:26" x14ac:dyDescent="0.25">
      <c r="A21" s="26" t="s">
        <v>19</v>
      </c>
      <c r="B21" s="2" t="s">
        <v>20</v>
      </c>
      <c r="H21" s="15"/>
      <c r="I21" s="15"/>
      <c r="J21" s="2"/>
      <c r="K21" s="15"/>
      <c r="L21" s="15"/>
      <c r="M21" s="15"/>
      <c r="N21" s="15"/>
      <c r="O21" s="15"/>
      <c r="P21" s="15"/>
      <c r="Q21" s="15"/>
      <c r="R21" s="15"/>
      <c r="S21" s="15"/>
      <c r="T21" s="15"/>
      <c r="U21" s="15"/>
      <c r="V21" s="15"/>
      <c r="W21" s="15"/>
      <c r="X21" s="15"/>
      <c r="Y21" s="15"/>
      <c r="Z21" s="15"/>
    </row>
    <row r="22" spans="1:26" x14ac:dyDescent="0.25">
      <c r="A22" s="26" t="s">
        <v>21</v>
      </c>
      <c r="B22" s="27" t="s">
        <v>42</v>
      </c>
      <c r="C22" s="3" t="str">
        <f>CONCATENATE("    Instead of ",B20,", there is a ",B21," nucleotide.")</f>
        <v xml:space="preserve">    Instead of cytosine (C), there is a thymine (T) nucleotide.</v>
      </c>
      <c r="H22" s="15"/>
      <c r="I22" s="15"/>
      <c r="J22" s="7"/>
      <c r="K22" s="15"/>
      <c r="L22" s="15"/>
      <c r="M22" s="15"/>
      <c r="N22" s="15"/>
      <c r="O22" s="15"/>
      <c r="P22" s="15"/>
      <c r="Q22" s="15"/>
      <c r="R22" s="15"/>
      <c r="S22" s="15"/>
      <c r="T22" s="15"/>
      <c r="U22" s="15"/>
      <c r="V22" s="15"/>
      <c r="W22" s="15"/>
      <c r="X22" s="15"/>
      <c r="Y22" s="15"/>
      <c r="Z22" s="15"/>
    </row>
    <row r="23" spans="1:26" x14ac:dyDescent="0.25">
      <c r="A23" s="3" t="s">
        <v>65</v>
      </c>
      <c r="B23" s="22" t="s">
        <v>153</v>
      </c>
      <c r="H23" s="2"/>
      <c r="I23" s="2"/>
      <c r="J23" s="15"/>
      <c r="K23" s="15"/>
      <c r="L23" s="15"/>
      <c r="M23" s="15"/>
      <c r="N23" s="15"/>
      <c r="O23" s="15"/>
      <c r="P23" s="15"/>
      <c r="Q23" s="15"/>
      <c r="R23" s="15"/>
      <c r="S23" s="15"/>
      <c r="T23" s="15"/>
      <c r="U23" s="15"/>
      <c r="V23" s="15"/>
      <c r="W23" s="15"/>
      <c r="X23" s="15"/>
      <c r="Y23" s="15"/>
      <c r="Z23" s="15"/>
    </row>
    <row r="24" spans="1:26" x14ac:dyDescent="0.25">
      <c r="A24" s="3" t="s">
        <v>51</v>
      </c>
      <c r="B24" s="7" t="s">
        <v>154</v>
      </c>
      <c r="C24" s="3" t="str">
        <f>"  &lt;/Variant&gt;"</f>
        <v xml:space="preserve">  &lt;/Variant&gt;</v>
      </c>
      <c r="H24" s="2"/>
      <c r="I24" s="2"/>
      <c r="J24" s="15"/>
      <c r="K24" s="15"/>
      <c r="L24" s="15"/>
      <c r="M24" s="15"/>
      <c r="N24" s="15"/>
      <c r="O24" s="15"/>
      <c r="P24" s="15"/>
      <c r="Q24" s="15"/>
      <c r="R24" s="15"/>
      <c r="S24" s="15"/>
      <c r="T24" s="15"/>
      <c r="U24" s="15"/>
      <c r="V24" s="15"/>
      <c r="W24" s="15"/>
      <c r="X24" s="15"/>
      <c r="Y24" s="15"/>
      <c r="Z24" s="15"/>
    </row>
    <row r="25" spans="1:26" x14ac:dyDescent="0.25">
      <c r="A25" s="26" t="s">
        <v>52</v>
      </c>
      <c r="B25" s="7" t="s">
        <v>155</v>
      </c>
      <c r="J25" s="6"/>
    </row>
    <row r="26" spans="1:26" x14ac:dyDescent="0.25">
      <c r="B26" s="3"/>
      <c r="C26" s="3" t="str">
        <f>CONCATENATE("&lt;# ",B28," #&gt;")</f>
        <v>&lt;# C645T  #&gt;</v>
      </c>
      <c r="J26" s="6"/>
    </row>
    <row r="27" spans="1:26" x14ac:dyDescent="0.25">
      <c r="A27" s="14" t="s">
        <v>14</v>
      </c>
      <c r="B27" s="22" t="s">
        <v>152</v>
      </c>
      <c r="J27" s="2"/>
    </row>
    <row r="28" spans="1:26" x14ac:dyDescent="0.25">
      <c r="A28" s="26" t="s">
        <v>15</v>
      </c>
      <c r="B28" s="27" t="s">
        <v>43</v>
      </c>
      <c r="C28" s="3" t="str">
        <f>CONCATENATE("  &lt;Variant hgvs=",CHAR(34),B27,CHAR(34)," name=",CHAR(34),B28,CHAR(34),"&gt; ")</f>
        <v xml:space="preserve">  &lt;Variant hgvs="NC_000015.9:g.78894339G&gt;A" name="C645T "&gt; </v>
      </c>
      <c r="J28" s="2"/>
    </row>
    <row r="29" spans="1:26" x14ac:dyDescent="0.25">
      <c r="A29" s="26" t="s">
        <v>17</v>
      </c>
      <c r="B29" s="2" t="s">
        <v>44</v>
      </c>
      <c r="J29" s="7"/>
    </row>
    <row r="30" spans="1:26" x14ac:dyDescent="0.25">
      <c r="A30" s="26" t="s">
        <v>19</v>
      </c>
      <c r="B30" s="2" t="s">
        <v>24</v>
      </c>
      <c r="C30" s="3" t="str">
        <f>CONCATENATE("    Instead of ",B29,", there is a ",B30," nucleotide.")</f>
        <v xml:space="preserve">    Instead of guanine (G), there is a adenine (A) nucleotide.</v>
      </c>
    </row>
    <row r="31" spans="1:26" x14ac:dyDescent="0.25">
      <c r="A31" s="26" t="s">
        <v>21</v>
      </c>
      <c r="B31" s="27" t="s">
        <v>45</v>
      </c>
      <c r="J31" s="7"/>
    </row>
    <row r="32" spans="1:26" x14ac:dyDescent="0.25">
      <c r="A32" s="3" t="s">
        <v>65</v>
      </c>
      <c r="B32" s="22" t="s">
        <v>153</v>
      </c>
      <c r="C32" s="3" t="str">
        <f>"  &lt;/Variant&gt;"</f>
        <v xml:space="preserve">  &lt;/Variant&gt;</v>
      </c>
      <c r="J32" s="7"/>
    </row>
    <row r="33" spans="1:12" x14ac:dyDescent="0.25">
      <c r="A33" s="3" t="s">
        <v>51</v>
      </c>
      <c r="B33" s="3" t="s">
        <v>156</v>
      </c>
    </row>
    <row r="34" spans="1:12" x14ac:dyDescent="0.25">
      <c r="A34" s="26" t="s">
        <v>52</v>
      </c>
      <c r="B34" s="7" t="s">
        <v>157</v>
      </c>
      <c r="C34" s="3" t="s">
        <v>61</v>
      </c>
    </row>
    <row r="35" spans="1:12" s="21" customFormat="1" x14ac:dyDescent="0.25">
      <c r="A35" s="28"/>
      <c r="B35" s="20"/>
    </row>
    <row r="36" spans="1:12" s="10" customFormat="1" x14ac:dyDescent="0.25">
      <c r="A36" s="32"/>
      <c r="B36" s="33"/>
      <c r="C36" s="34" t="s">
        <v>62</v>
      </c>
    </row>
    <row r="37" spans="1:12" s="10" customFormat="1" x14ac:dyDescent="0.25">
      <c r="A37" s="32"/>
      <c r="B37" s="33"/>
      <c r="K37" s="10" t="s">
        <v>149</v>
      </c>
      <c r="L37" s="11" t="s">
        <v>150</v>
      </c>
    </row>
    <row r="38" spans="1:12" s="21" customFormat="1" x14ac:dyDescent="0.25">
      <c r="A38" s="28" t="s">
        <v>70</v>
      </c>
      <c r="B38" s="20" t="str">
        <f>CONCATENATE(B19," (C;T)")</f>
        <v>C78606381T (C;T)</v>
      </c>
      <c r="C38" s="21" t="str">
        <f>CONCATENATE("&lt;# ",B38," #&gt;")</f>
        <v>&lt;# C78606381T (C;T) #&gt;</v>
      </c>
      <c r="K38" s="21" t="str">
        <f>B19</f>
        <v>C78606381T</v>
      </c>
      <c r="L38" s="21" t="str">
        <f>B28</f>
        <v xml:space="preserve">C645T </v>
      </c>
    </row>
    <row r="39" spans="1:12" s="10" customFormat="1" x14ac:dyDescent="0.25">
      <c r="A39" s="3" t="s">
        <v>21</v>
      </c>
      <c r="B39" s="29" t="str">
        <f>K42</f>
        <v>NC_000015.9:g.[78898723C&gt;T];[78898723=]</v>
      </c>
      <c r="J39" s="3"/>
      <c r="K39" s="22" t="str">
        <f>B23</f>
        <v>NC_000015.9:g.</v>
      </c>
      <c r="L39" s="22" t="str">
        <f>B32</f>
        <v>NC_000015.9:g.</v>
      </c>
    </row>
    <row r="40" spans="1:12" x14ac:dyDescent="0.25">
      <c r="A40" s="3" t="s">
        <v>72</v>
      </c>
      <c r="B40" s="29" t="str">
        <f>L44</f>
        <v>NC_000015.9:g.[78894339=];[78894339=]</v>
      </c>
      <c r="C40" s="3" t="str">
        <f>CONCATENATE("  &lt;Analysis name=",CHAR(34),B38,CHAR(34))</f>
        <v xml:space="preserve">  &lt;Analysis name="C78606381T (C;T)"</v>
      </c>
      <c r="J40" s="3" t="s">
        <v>21</v>
      </c>
      <c r="K40" s="15" t="str">
        <f>B24</f>
        <v>[78898723C&gt;T]</v>
      </c>
      <c r="L40" s="22" t="str">
        <f>B33</f>
        <v>[78894339G&gt;A]</v>
      </c>
    </row>
    <row r="41" spans="1:12" x14ac:dyDescent="0.25">
      <c r="A41" s="5" t="s">
        <v>27</v>
      </c>
      <c r="B41" s="2" t="str">
        <f>CONCATENATE("People with this variant have one copy of the ",B22,"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41" s="3" t="str">
        <f>CONCATENATE("            case={  variantCall ",CHAR(40),CHAR(34),K42,CHAR(34),CHAR(41))</f>
        <v xml:space="preserve">            case={  variantCall ("NC_000015.9:g.[78898723C&gt;T];[78898723=]")</v>
      </c>
      <c r="J41" s="3" t="s">
        <v>52</v>
      </c>
      <c r="K41" s="15" t="str">
        <f>B25</f>
        <v>[78898723=]</v>
      </c>
      <c r="L41" s="22" t="str">
        <f>B34</f>
        <v>[78894339=]</v>
      </c>
    </row>
    <row r="42" spans="1:12" x14ac:dyDescent="0.25">
      <c r="A42" s="1" t="s">
        <v>28</v>
      </c>
      <c r="B42" s="29" t="s">
        <v>159</v>
      </c>
      <c r="C42" s="3" t="s">
        <v>71</v>
      </c>
      <c r="J42" s="3" t="s">
        <v>63</v>
      </c>
      <c r="K42" s="15" t="str">
        <f>CONCATENATE(K39,K40,";",K41)</f>
        <v>NC_000015.9:g.[78898723C&gt;T];[78898723=]</v>
      </c>
      <c r="L42" s="15" t="str">
        <f>CONCATENATE(L39,L40,";",L41)</f>
        <v>NC_000015.9:g.[78894339G&gt;A];[78894339=]</v>
      </c>
    </row>
    <row r="43" spans="1:12" x14ac:dyDescent="0.25">
      <c r="A43" s="3" t="s">
        <v>73</v>
      </c>
      <c r="B43" s="29">
        <f>K45</f>
        <v>37.9</v>
      </c>
      <c r="C43" s="3" t="str">
        <f>CONCATENATE("                    variantCall ",CHAR(40),CHAR(34),L44,CHAR(34),CHAR(41))</f>
        <v xml:space="preserve">                    variantCall ("NC_000015.9:g.[78894339=];[78894339=]")</v>
      </c>
      <c r="J43" s="3" t="s">
        <v>64</v>
      </c>
      <c r="K43" s="15" t="str">
        <f>CONCATENATE(K39,K40,";",K40)</f>
        <v>NC_000015.9:g.[78898723C&gt;T];[78898723C&gt;T]</v>
      </c>
      <c r="L43" s="15" t="str">
        <f>CONCATENATE(L39,L40,";",L40)</f>
        <v>NC_000015.9:g.[78894339G&gt;A];[78894339G&gt;A]</v>
      </c>
    </row>
    <row r="44" spans="1:12" x14ac:dyDescent="0.25">
      <c r="C44" s="3" t="str">
        <f>CONCATENATE("                  } &gt; ")</f>
        <v xml:space="preserve">                  } &gt; </v>
      </c>
      <c r="J44" s="3" t="s">
        <v>52</v>
      </c>
      <c r="K44" s="2" t="str">
        <f>CONCATENATE(K39,K41,";",K41)</f>
        <v>NC_000015.9:g.[78898723=];[78898723=]</v>
      </c>
      <c r="L44" s="2" t="str">
        <f>CONCATENATE(L39,L41,";",L41)</f>
        <v>NC_000015.9:g.[78894339=];[78894339=]</v>
      </c>
    </row>
    <row r="45" spans="1:12" x14ac:dyDescent="0.25">
      <c r="J45" s="3" t="s">
        <v>67</v>
      </c>
      <c r="K45" s="2">
        <v>37.9</v>
      </c>
      <c r="L45" s="2">
        <v>39.700000000000003</v>
      </c>
    </row>
    <row r="46" spans="1:12" x14ac:dyDescent="0.25">
      <c r="A46" s="14"/>
      <c r="C46" s="3" t="s">
        <v>26</v>
      </c>
      <c r="J46" s="3" t="s">
        <v>68</v>
      </c>
      <c r="K46" s="2">
        <v>15.9</v>
      </c>
      <c r="L46" s="2">
        <v>42.9</v>
      </c>
    </row>
    <row r="47" spans="1:12" x14ac:dyDescent="0.25">
      <c r="A47" s="26"/>
      <c r="J47" s="3" t="s">
        <v>69</v>
      </c>
      <c r="K47" s="2">
        <v>46.2</v>
      </c>
      <c r="L47" s="2">
        <v>17.399999999999999</v>
      </c>
    </row>
    <row r="48" spans="1:12" x14ac:dyDescent="0.25">
      <c r="A48" s="14"/>
      <c r="C48" s="3" t="str">
        <f>CONCATENATE("    ",B41)</f>
        <v xml:space="preserve">    People with this variant have one copy of the [C78606381T](https://www.ncbi.nlm.nih.gov/projects/SNP/snp_ref.cgi?rs=12914385) variant. This substitution of a single nucleotide is known as a missense mutation.</v>
      </c>
    </row>
    <row r="49" spans="1:12" x14ac:dyDescent="0.25">
      <c r="A49" s="14"/>
    </row>
    <row r="50" spans="1:12" x14ac:dyDescent="0.25">
      <c r="A50" s="26"/>
      <c r="C50" s="3" t="s">
        <v>29</v>
      </c>
    </row>
    <row r="51" spans="1:12" x14ac:dyDescent="0.25">
      <c r="A51" s="14"/>
    </row>
    <row r="52" spans="1:12" x14ac:dyDescent="0.25">
      <c r="A52" s="14"/>
      <c r="C52" s="3" t="str">
        <f>CONCATENATE(B42)</f>
        <v xml:space="preserve">    The CHRNA3 protein plays a role in developing nicotine dependence and regulating nicotine receptor proliferation and destruction. Incorrect formation of the nicotine neurotransmitter receptor protein has a variety of effects. This heterozygous variant causes increased risk of [lung cancer](https://www.ncbi.nlm.nih.gov/pubmed/23094028), with an [odds ratio of 1.2](https://www.ncbi.nlm.nih.gov/pubmed/28827732), and [COPD](https://www.ncbi.nlm.nih.gov/pubmed/24621683), with an [odds ratio of 1.39](https://www.ncbi.nlm.nih.gov/pubmed/24621683). It causes an [increase](https://www.ncbi.nlm.nih.gov/pubmed/29030599) of [one](https://www.ncbi.nlm.nih.gov/pubmed/21559498)[cigarette](https://www.ncbi.nlm.nih.gov/pubmed/23870182)[per day](https://www.ncbi.nlm.nih.gov/pubmed/20418890) and may also cause [smoking persistence](https://www.ncbi.nlm.nih.gov/pubmed/22290489). However, the C allele is protective, with a [decrease of 3.25 packs per year per C allele](https://www.ncbi.nlm.nih.gov/pubmed/21436384). Finally, his variant may cause an increase in [cocaine dependence](https://www.ncbi.nlm.nih.gov/pubmed/20485328).
    # What should I do about this?
    People should not smoke or use cocaine.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53" spans="1:12" x14ac:dyDescent="0.25">
      <c r="A53" s="14"/>
    </row>
    <row r="54" spans="1:12" x14ac:dyDescent="0.25">
      <c r="A54" s="14"/>
      <c r="C54" s="3" t="s">
        <v>30</v>
      </c>
    </row>
    <row r="55" spans="1:12" x14ac:dyDescent="0.25">
      <c r="A55" s="26"/>
    </row>
    <row r="56" spans="1:12" x14ac:dyDescent="0.25">
      <c r="A56" s="26"/>
      <c r="C56" s="3" t="str">
        <f>CONCATENATE( "    &lt;piechart percentage=",B43," /&gt;")</f>
        <v xml:space="preserve">    &lt;piechart percentage=37.9 /&gt;</v>
      </c>
    </row>
    <row r="57" spans="1:12" x14ac:dyDescent="0.25">
      <c r="A57" s="26"/>
      <c r="C57" s="3" t="str">
        <f>"  &lt;/Analysis&gt;"</f>
        <v xml:space="preserve">  &lt;/Analysis&gt;</v>
      </c>
      <c r="K57" s="3" t="str">
        <f>K37</f>
        <v>rs12914385</v>
      </c>
      <c r="L57" s="3" t="str">
        <f>L37</f>
        <v>rs1051730</v>
      </c>
    </row>
    <row r="58" spans="1:12" s="21" customFormat="1" x14ac:dyDescent="0.25">
      <c r="A58" s="28" t="s">
        <v>70</v>
      </c>
      <c r="B58" s="20" t="str">
        <f>CONCATENATE(B19," (T;T)")</f>
        <v>C78606381T (T;T)</v>
      </c>
      <c r="C58" s="21" t="str">
        <f>CONCATENATE("&lt;# ",B58," #&gt;")</f>
        <v>&lt;# C78606381T (T;T) #&gt;</v>
      </c>
      <c r="J58" s="3"/>
      <c r="K58" s="3" t="str">
        <f t="shared" ref="K58:L58" si="0">K38</f>
        <v>C78606381T</v>
      </c>
      <c r="L58" s="3" t="str">
        <f t="shared" si="0"/>
        <v xml:space="preserve">C645T </v>
      </c>
    </row>
    <row r="59" spans="1:12" x14ac:dyDescent="0.25">
      <c r="A59" s="3" t="s">
        <v>21</v>
      </c>
      <c r="B59" s="29" t="str">
        <f>K43</f>
        <v>NC_000015.9:g.[78898723C&gt;T];[78898723C&gt;T]</v>
      </c>
      <c r="C59" s="10"/>
      <c r="K59" s="3" t="str">
        <f t="shared" ref="K59:L59" si="1">K39</f>
        <v>NC_000015.9:g.</v>
      </c>
      <c r="L59" s="3" t="str">
        <f t="shared" si="1"/>
        <v>NC_000015.9:g.</v>
      </c>
    </row>
    <row r="60" spans="1:12" x14ac:dyDescent="0.25">
      <c r="A60" s="3" t="s">
        <v>72</v>
      </c>
      <c r="B60" s="29" t="str">
        <f>L44</f>
        <v>NC_000015.9:g.[78894339=];[78894339=]</v>
      </c>
      <c r="C60" s="3" t="str">
        <f>CONCATENATE("  &lt;Analysis name=",CHAR(34),B58,CHAR(34))</f>
        <v xml:space="preserve">  &lt;Analysis name="C78606381T (T;T)"</v>
      </c>
      <c r="J60" s="3" t="str">
        <f t="shared" ref="J60" si="2">J40</f>
        <v>Variant</v>
      </c>
      <c r="K60" s="3" t="str">
        <f t="shared" ref="K60:L60" si="3">K40</f>
        <v>[78898723C&gt;T]</v>
      </c>
      <c r="L60" s="3" t="str">
        <f t="shared" si="3"/>
        <v>[78894339G&gt;A]</v>
      </c>
    </row>
    <row r="61" spans="1:12" x14ac:dyDescent="0.25">
      <c r="A61" s="5" t="s">
        <v>75</v>
      </c>
      <c r="B61" s="2" t="str">
        <f>CONCATENATE("People with this variant have two copies of the ",B22," variant. This substitution of a single nucleotide is known as a missense mutation.")</f>
        <v>People with this variant have two copies of the [C78606381T](https://www.ncbi.nlm.nih.gov/projects/SNP/snp_ref.cgi?rs=12914385) variant. This substitution of a single nucleotide is known as a missense mutation.</v>
      </c>
      <c r="C61" s="3" t="str">
        <f>CONCATENATE("            case={  variantCall ",CHAR(40),CHAR(34),K63,CHAR(34),CHAR(41))</f>
        <v xml:space="preserve">            case={  variantCall ("NC_000015.9:g.[78898723C&gt;T];[78898723C&gt;T]")</v>
      </c>
      <c r="J61" s="3" t="str">
        <f t="shared" ref="J61" si="4">J41</f>
        <v>Wildtype</v>
      </c>
      <c r="K61" s="3" t="str">
        <f t="shared" ref="K61:L61" si="5">K41</f>
        <v>[78898723=]</v>
      </c>
      <c r="L61" s="3" t="str">
        <f t="shared" si="5"/>
        <v>[78894339=]</v>
      </c>
    </row>
    <row r="62" spans="1:12" x14ac:dyDescent="0.25">
      <c r="A62" s="1" t="s">
        <v>28</v>
      </c>
      <c r="B62" s="29" t="s">
        <v>158</v>
      </c>
      <c r="C62" s="3" t="s">
        <v>71</v>
      </c>
      <c r="J62" s="3" t="str">
        <f t="shared" ref="J62" si="6">J42</f>
        <v>Het</v>
      </c>
      <c r="K62" s="3" t="str">
        <f t="shared" ref="K62:L62" si="7">K42</f>
        <v>NC_000015.9:g.[78898723C&gt;T];[78898723=]</v>
      </c>
      <c r="L62" s="3" t="str">
        <f t="shared" si="7"/>
        <v>NC_000015.9:g.[78894339G&gt;A];[78894339=]</v>
      </c>
    </row>
    <row r="63" spans="1:12" x14ac:dyDescent="0.25">
      <c r="A63" s="3" t="s">
        <v>73</v>
      </c>
      <c r="B63" s="29">
        <f>K46</f>
        <v>15.9</v>
      </c>
      <c r="C63" s="3" t="str">
        <f>CONCATENATE("                    variantCall ",CHAR(40),CHAR(34),L64,CHAR(34),CHAR(41))</f>
        <v xml:space="preserve">                    variantCall ("NC_000015.9:g.[78894339=];[78894339=]")</v>
      </c>
      <c r="J63" s="3" t="str">
        <f t="shared" ref="J63" si="8">J43</f>
        <v>Homo</v>
      </c>
      <c r="K63" s="3" t="str">
        <f t="shared" ref="K63:L63" si="9">K43</f>
        <v>NC_000015.9:g.[78898723C&gt;T];[78898723C&gt;T]</v>
      </c>
      <c r="L63" s="3" t="str">
        <f t="shared" si="9"/>
        <v>NC_000015.9:g.[78894339G&gt;A];[78894339G&gt;A]</v>
      </c>
    </row>
    <row r="64" spans="1:12" x14ac:dyDescent="0.25">
      <c r="C64" s="3" t="str">
        <f>CONCATENATE("                  } &gt; ")</f>
        <v xml:space="preserve">                  } &gt; </v>
      </c>
      <c r="J64" s="3" t="str">
        <f t="shared" ref="J64" si="10">J44</f>
        <v>Wildtype</v>
      </c>
      <c r="K64" s="3" t="str">
        <f t="shared" ref="K64:L64" si="11">K44</f>
        <v>NC_000015.9:g.[78898723=];[78898723=]</v>
      </c>
      <c r="L64" s="3" t="str">
        <f t="shared" si="11"/>
        <v>NC_000015.9:g.[78894339=];[78894339=]</v>
      </c>
    </row>
    <row r="65" spans="1:12" x14ac:dyDescent="0.25">
      <c r="J65" s="3" t="str">
        <f>J45</f>
        <v>Het%</v>
      </c>
      <c r="K65" s="3">
        <f>K45</f>
        <v>37.9</v>
      </c>
      <c r="L65" s="3">
        <f>L45</f>
        <v>39.700000000000003</v>
      </c>
    </row>
    <row r="66" spans="1:12" x14ac:dyDescent="0.25">
      <c r="A66" s="14"/>
      <c r="C66" s="3" t="s">
        <v>26</v>
      </c>
      <c r="J66" s="3" t="str">
        <f t="shared" ref="J66" si="12">J46</f>
        <v>Homo%</v>
      </c>
      <c r="K66" s="3">
        <f t="shared" ref="K66:L66" si="13">K46</f>
        <v>15.9</v>
      </c>
      <c r="L66" s="3">
        <f t="shared" si="13"/>
        <v>42.9</v>
      </c>
    </row>
    <row r="67" spans="1:12" x14ac:dyDescent="0.25">
      <c r="A67" s="26"/>
      <c r="J67" s="3" t="str">
        <f t="shared" ref="J67" si="14">J47</f>
        <v>Wildtype%</v>
      </c>
      <c r="K67" s="3">
        <f t="shared" ref="K67:L67" si="15">K47</f>
        <v>46.2</v>
      </c>
      <c r="L67" s="3">
        <f t="shared" si="15"/>
        <v>17.399999999999999</v>
      </c>
    </row>
    <row r="68" spans="1:12" x14ac:dyDescent="0.25">
      <c r="A68" s="14"/>
      <c r="C68" s="3" t="str">
        <f>CONCATENATE("    ",B61)</f>
        <v xml:space="preserve">    People with this variant have two copies of the [C78606381T](https://www.ncbi.nlm.nih.gov/projects/SNP/snp_ref.cgi?rs=12914385) variant. This substitution of a single nucleotide is known as a missense mutation.</v>
      </c>
    </row>
    <row r="69" spans="1:12" x14ac:dyDescent="0.25">
      <c r="A69" s="14"/>
    </row>
    <row r="70" spans="1:12" x14ac:dyDescent="0.25">
      <c r="A70" s="26"/>
      <c r="C70" s="3" t="s">
        <v>29</v>
      </c>
    </row>
    <row r="71" spans="1:12" x14ac:dyDescent="0.25">
      <c r="A71" s="14"/>
    </row>
    <row r="72" spans="1:12" x14ac:dyDescent="0.25">
      <c r="A72" s="14"/>
      <c r="C72" s="3" t="str">
        <f>CONCATENATE(B62)</f>
        <v xml:space="preserve">    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[two](https://www.ncbi.nlm.nih.gov/pubmed/21559498)[cigarettes](https://www.ncbi.nlm.nih.gov/pubmed/23870182)[per day](https://www.ncbi.nlm.nih.gov/pubmed/20418890) and may also cause greatly increased [smoking persistence](https://www.ncbi.nlm.nih.gov/pubmed/22290489).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
    # What should I do about this?
    People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(NKC)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[Histone deacetylase inhibitors (HDACi) including suberoylanilide hydroxamic acid and valproric acid](https://www.ncbi.nlm.nih.gov/pubmed/17349632/) impair NKC function, and should be avoided.</v>
      </c>
    </row>
    <row r="73" spans="1:12" x14ac:dyDescent="0.25">
      <c r="A73" s="14"/>
    </row>
    <row r="74" spans="1:12" x14ac:dyDescent="0.25">
      <c r="A74" s="14"/>
      <c r="C74" s="3" t="s">
        <v>30</v>
      </c>
    </row>
    <row r="75" spans="1:12" x14ac:dyDescent="0.25">
      <c r="A75" s="26"/>
    </row>
    <row r="76" spans="1:12" x14ac:dyDescent="0.25">
      <c r="A76" s="26"/>
      <c r="C76" s="3" t="str">
        <f>CONCATENATE( "    &lt;piechart percentage=",B63," /&gt;")</f>
        <v xml:space="preserve">    &lt;piechart percentage=15.9 /&gt;</v>
      </c>
    </row>
    <row r="77" spans="1:12" x14ac:dyDescent="0.25">
      <c r="A77" s="26"/>
      <c r="C77" s="3" t="str">
        <f>"  &lt;/Analysis&gt;"</f>
        <v xml:space="preserve">  &lt;/Analysis&gt;</v>
      </c>
      <c r="K77" s="3" t="str">
        <f>K57</f>
        <v>rs12914385</v>
      </c>
      <c r="L77" s="3" t="str">
        <f>L57</f>
        <v>rs1051730</v>
      </c>
    </row>
    <row r="78" spans="1:12" s="21" customFormat="1" x14ac:dyDescent="0.25">
      <c r="A78" s="28" t="s">
        <v>70</v>
      </c>
      <c r="B78" s="20" t="str">
        <f>CONCATENATE(B28," (C:T)")</f>
        <v>C645T  (C:T)</v>
      </c>
      <c r="C78" s="21" t="str">
        <f>CONCATENATE("&lt;# ",B78," #&gt;")</f>
        <v>&lt;# C645T  (C:T) #&gt;</v>
      </c>
      <c r="K78" s="21" t="str">
        <f t="shared" ref="K78:L78" si="16">K58</f>
        <v>C78606381T</v>
      </c>
      <c r="L78" s="21" t="str">
        <f t="shared" si="16"/>
        <v xml:space="preserve">C645T </v>
      </c>
    </row>
    <row r="79" spans="1:12" s="10" customFormat="1" x14ac:dyDescent="0.25">
      <c r="A79" s="3" t="s">
        <v>21</v>
      </c>
      <c r="B79" s="29" t="str">
        <f>K44</f>
        <v>NC_000015.9:g.[78898723=];[78898723=]</v>
      </c>
      <c r="J79" s="3"/>
      <c r="K79" s="22" t="str">
        <f t="shared" ref="K79:L79" si="17">K59</f>
        <v>NC_000015.9:g.</v>
      </c>
      <c r="L79" s="22" t="str">
        <f t="shared" si="17"/>
        <v>NC_000015.9:g.</v>
      </c>
    </row>
    <row r="80" spans="1:12" x14ac:dyDescent="0.25">
      <c r="A80" s="3" t="s">
        <v>72</v>
      </c>
      <c r="B80" s="29" t="str">
        <f>L42</f>
        <v>NC_000015.9:g.[78894339G&gt;A];[78894339=]</v>
      </c>
      <c r="C80" s="3" t="str">
        <f>CONCATENATE("  &lt;Analysis name=",CHAR(34),B78,CHAR(34))</f>
        <v xml:space="preserve">  &lt;Analysis name="C645T  (C:T)"</v>
      </c>
      <c r="J80" s="3" t="str">
        <f t="shared" ref="J80:L84" si="18">J60</f>
        <v>Variant</v>
      </c>
      <c r="K80" s="15" t="str">
        <f t="shared" si="18"/>
        <v>[78898723C&gt;T]</v>
      </c>
      <c r="L80" s="22" t="str">
        <f t="shared" si="18"/>
        <v>[78894339G&gt;A]</v>
      </c>
    </row>
    <row r="81" spans="1:12" x14ac:dyDescent="0.25">
      <c r="A81" s="5" t="s">
        <v>27</v>
      </c>
      <c r="B81" s="2" t="str">
        <f>CONCATENATE("People with this variant have one copy of the ",B31," variant. This substitution of a single nucleotide is known as a missense mutation.")</f>
        <v>People with this variant have one copy of the [C645T](https://www.ncbi.nlm.nih.gov/clinvar/variation/17503/) variant. This substitution of a single nucleotide is known as a missense mutation.</v>
      </c>
      <c r="C81" s="3" t="str">
        <f>CONCATENATE("            case={  variantCall ",CHAR(40),CHAR(34),K84,CHAR(34),CHAR(41))</f>
        <v xml:space="preserve">            case={  variantCall ("NC_000015.9:g.[78898723=];[78898723=]")</v>
      </c>
      <c r="J81" s="3" t="str">
        <f t="shared" si="18"/>
        <v>Wildtype</v>
      </c>
      <c r="K81" s="15" t="str">
        <f t="shared" si="18"/>
        <v>[78898723=]</v>
      </c>
      <c r="L81" s="22" t="str">
        <f t="shared" si="18"/>
        <v>[78894339=]</v>
      </c>
    </row>
    <row r="82" spans="1:12" x14ac:dyDescent="0.25">
      <c r="A82" s="1" t="s">
        <v>28</v>
      </c>
      <c r="B82" s="29" t="s">
        <v>160</v>
      </c>
      <c r="C82" s="3" t="s">
        <v>71</v>
      </c>
      <c r="J82" s="3" t="str">
        <f t="shared" si="18"/>
        <v>Het</v>
      </c>
      <c r="K82" s="15" t="str">
        <f t="shared" si="18"/>
        <v>NC_000015.9:g.[78898723C&gt;T];[78898723=]</v>
      </c>
      <c r="L82" s="15" t="str">
        <f t="shared" si="18"/>
        <v>NC_000015.9:g.[78894339G&gt;A];[78894339=]</v>
      </c>
    </row>
    <row r="83" spans="1:12" x14ac:dyDescent="0.25">
      <c r="A83" s="3" t="s">
        <v>73</v>
      </c>
      <c r="B83" s="29">
        <f>L85</f>
        <v>39.700000000000003</v>
      </c>
      <c r="C83" s="3" t="str">
        <f>CONCATENATE("                    variantCall ",CHAR(40),CHAR(34),L82,CHAR(34),CHAR(41))</f>
        <v xml:space="preserve">                    variantCall ("NC_000015.9:g.[78894339G&gt;A];[78894339=]")</v>
      </c>
      <c r="J83" s="3" t="str">
        <f t="shared" si="18"/>
        <v>Homo</v>
      </c>
      <c r="K83" s="15" t="str">
        <f t="shared" si="18"/>
        <v>NC_000015.9:g.[78898723C&gt;T];[78898723C&gt;T]</v>
      </c>
      <c r="L83" s="15" t="str">
        <f t="shared" si="18"/>
        <v>NC_000015.9:g.[78894339G&gt;A];[78894339G&gt;A]</v>
      </c>
    </row>
    <row r="84" spans="1:12" x14ac:dyDescent="0.25">
      <c r="C84" s="3" t="str">
        <f>CONCATENATE("                  } &gt; ")</f>
        <v xml:space="preserve">                  } &gt; </v>
      </c>
      <c r="J84" s="3" t="str">
        <f t="shared" si="18"/>
        <v>Wildtype</v>
      </c>
      <c r="K84" s="2" t="str">
        <f t="shared" si="18"/>
        <v>NC_000015.9:g.[78898723=];[78898723=]</v>
      </c>
      <c r="L84" s="2" t="str">
        <f t="shared" si="18"/>
        <v>NC_000015.9:g.[78894339=];[78894339=]</v>
      </c>
    </row>
    <row r="85" spans="1:12" x14ac:dyDescent="0.25">
      <c r="J85" s="3" t="str">
        <f>J65</f>
        <v>Het%</v>
      </c>
      <c r="K85" s="15">
        <f>K65</f>
        <v>37.9</v>
      </c>
      <c r="L85" s="15">
        <f>L65</f>
        <v>39.700000000000003</v>
      </c>
    </row>
    <row r="86" spans="1:12" x14ac:dyDescent="0.25">
      <c r="A86" s="14"/>
      <c r="C86" s="3" t="s">
        <v>26</v>
      </c>
      <c r="J86" s="3" t="str">
        <f t="shared" ref="J86:L87" si="19">J66</f>
        <v>Homo%</v>
      </c>
      <c r="K86" s="2">
        <f t="shared" si="19"/>
        <v>15.9</v>
      </c>
      <c r="L86" s="2">
        <f t="shared" si="19"/>
        <v>42.9</v>
      </c>
    </row>
    <row r="87" spans="1:12" x14ac:dyDescent="0.25">
      <c r="A87" s="26"/>
      <c r="J87" s="3" t="str">
        <f t="shared" si="19"/>
        <v>Wildtype%</v>
      </c>
      <c r="K87" s="2">
        <f t="shared" si="19"/>
        <v>46.2</v>
      </c>
      <c r="L87" s="2">
        <f t="shared" si="19"/>
        <v>17.399999999999999</v>
      </c>
    </row>
    <row r="88" spans="1:12" x14ac:dyDescent="0.25">
      <c r="A88" s="14"/>
      <c r="C88" s="3" t="str">
        <f>CONCATENATE("    ",B81)</f>
        <v xml:space="preserve">    People with this variant have one copy of the [C645T](https://www.ncbi.nlm.nih.gov/clinvar/variation/17503/) variant. This substitution of a single nucleotide is known as a missense mutation.</v>
      </c>
    </row>
    <row r="89" spans="1:12" x14ac:dyDescent="0.25">
      <c r="A89" s="14"/>
    </row>
    <row r="90" spans="1:12" x14ac:dyDescent="0.25">
      <c r="A90" s="26"/>
      <c r="C90" s="3" t="s">
        <v>29</v>
      </c>
    </row>
    <row r="91" spans="1:12" x14ac:dyDescent="0.25">
      <c r="A91" s="14"/>
    </row>
    <row r="92" spans="1:12" x14ac:dyDescent="0.25">
      <c r="A92" s="14"/>
      <c r="C92" s="3" t="str">
        <f>CONCATENATE(B82)</f>
        <v xml:space="preserve">    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 What should I do about this?
    People should not smoke.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93" spans="1:12" x14ac:dyDescent="0.25">
      <c r="A93" s="14"/>
    </row>
    <row r="94" spans="1:12" x14ac:dyDescent="0.25">
      <c r="A94" s="14"/>
      <c r="C94" s="3" t="s">
        <v>30</v>
      </c>
    </row>
    <row r="95" spans="1:12" x14ac:dyDescent="0.25">
      <c r="A95" s="26"/>
    </row>
    <row r="96" spans="1:12" x14ac:dyDescent="0.25">
      <c r="A96" s="26"/>
      <c r="C96" s="3" t="str">
        <f>CONCATENATE( "    &lt;piechart percentage=",B83," /&gt;")</f>
        <v xml:space="preserve">    &lt;piechart percentage=39.7 /&gt;</v>
      </c>
    </row>
    <row r="97" spans="1:12" x14ac:dyDescent="0.25">
      <c r="A97" s="26"/>
      <c r="C97" s="3" t="str">
        <f>"  &lt;/Analysis&gt;"</f>
        <v xml:space="preserve">  &lt;/Analysis&gt;</v>
      </c>
      <c r="K97" s="3" t="str">
        <f>K77</f>
        <v>rs12914385</v>
      </c>
      <c r="L97" s="3" t="str">
        <f>L77</f>
        <v>rs1051730</v>
      </c>
    </row>
    <row r="98" spans="1:12" s="21" customFormat="1" x14ac:dyDescent="0.25">
      <c r="A98" s="28" t="s">
        <v>70</v>
      </c>
      <c r="B98" s="20" t="str">
        <f>CONCATENATE(B28," (T;T)")</f>
        <v>C645T  (T;T)</v>
      </c>
      <c r="C98" s="21" t="str">
        <f>CONCATENATE("&lt;# ",B98," #&gt;")</f>
        <v>&lt;# C645T  (T;T) #&gt;</v>
      </c>
      <c r="K98" s="3" t="str">
        <f t="shared" ref="K98:L107" si="20">K78</f>
        <v>C78606381T</v>
      </c>
      <c r="L98" s="3" t="str">
        <f t="shared" si="20"/>
        <v xml:space="preserve">C645T </v>
      </c>
    </row>
    <row r="99" spans="1:12" x14ac:dyDescent="0.25">
      <c r="A99" s="3" t="s">
        <v>21</v>
      </c>
      <c r="B99" s="29" t="str">
        <f>K44</f>
        <v>NC_000015.9:g.[78898723=];[78898723=]</v>
      </c>
      <c r="C99" s="10"/>
      <c r="J99" s="3">
        <f t="shared" ref="J99" si="21">J79</f>
        <v>0</v>
      </c>
      <c r="K99" s="3" t="str">
        <f t="shared" si="20"/>
        <v>NC_000015.9:g.</v>
      </c>
      <c r="L99" s="3" t="str">
        <f t="shared" si="20"/>
        <v>NC_000015.9:g.</v>
      </c>
    </row>
    <row r="100" spans="1:12" x14ac:dyDescent="0.25">
      <c r="A100" s="3" t="s">
        <v>72</v>
      </c>
      <c r="B100" s="29" t="str">
        <f>L43</f>
        <v>NC_000015.9:g.[78894339G&gt;A];[78894339G&gt;A]</v>
      </c>
      <c r="C100" s="3" t="str">
        <f>CONCATENATE("  &lt;Analysis name=",CHAR(34),B98,CHAR(34))</f>
        <v xml:space="preserve">  &lt;Analysis name="C645T  (T;T)"</v>
      </c>
      <c r="J100" s="3" t="str">
        <f t="shared" ref="J100" si="22">J80</f>
        <v>Variant</v>
      </c>
      <c r="K100" s="3" t="str">
        <f t="shared" si="20"/>
        <v>[78898723C&gt;T]</v>
      </c>
      <c r="L100" s="3" t="str">
        <f t="shared" si="20"/>
        <v>[78894339G&gt;A]</v>
      </c>
    </row>
    <row r="101" spans="1:12" x14ac:dyDescent="0.25">
      <c r="A101" s="5" t="s">
        <v>75</v>
      </c>
      <c r="B101" s="2" t="str">
        <f>CONCATENATE("People with this variant have two copies of the ",B31," variant. This substitution of a single nucleotide is known as a missense mutation.")</f>
        <v>People with this variant have two copies of the [C645T](https://www.ncbi.nlm.nih.gov/clinvar/variation/17503/) variant. This substitution of a single nucleotide is known as a missense mutation.</v>
      </c>
      <c r="C101" s="3" t="str">
        <f>CONCATENATE("            case={  variantCall ",CHAR(40),CHAR(34),K104,CHAR(34),CHAR(41))</f>
        <v xml:space="preserve">            case={  variantCall ("NC_000015.9:g.[78898723=];[78898723=]")</v>
      </c>
      <c r="J101" s="3" t="str">
        <f t="shared" ref="J101" si="23">J81</f>
        <v>Wildtype</v>
      </c>
      <c r="K101" s="3" t="str">
        <f t="shared" si="20"/>
        <v>[78898723=]</v>
      </c>
      <c r="L101" s="3" t="str">
        <f t="shared" si="20"/>
        <v>[78894339=]</v>
      </c>
    </row>
    <row r="102" spans="1:12" x14ac:dyDescent="0.25">
      <c r="A102" s="1" t="s">
        <v>28</v>
      </c>
      <c r="B102" s="2" t="s">
        <v>161</v>
      </c>
      <c r="C102" s="3" t="s">
        <v>71</v>
      </c>
      <c r="J102" s="3" t="str">
        <f t="shared" ref="J102" si="24">J82</f>
        <v>Het</v>
      </c>
      <c r="K102" s="3" t="str">
        <f t="shared" si="20"/>
        <v>NC_000015.9:g.[78898723C&gt;T];[78898723=]</v>
      </c>
      <c r="L102" s="3" t="str">
        <f t="shared" si="20"/>
        <v>NC_000015.9:g.[78894339G&gt;A];[78894339=]</v>
      </c>
    </row>
    <row r="103" spans="1:12" x14ac:dyDescent="0.25">
      <c r="A103" s="3" t="s">
        <v>73</v>
      </c>
      <c r="B103" s="29">
        <f>L46</f>
        <v>42.9</v>
      </c>
      <c r="C103" s="3" t="str">
        <f>CONCATENATE("                    variantCall ",CHAR(40),CHAR(34),L103,CHAR(34),CHAR(41))</f>
        <v xml:space="preserve">                    variantCall ("NC_000015.9:g.[78894339G&gt;A];[78894339G&gt;A]")</v>
      </c>
      <c r="J103" s="3" t="str">
        <f t="shared" ref="J103" si="25">J83</f>
        <v>Homo</v>
      </c>
      <c r="K103" s="3" t="str">
        <f t="shared" si="20"/>
        <v>NC_000015.9:g.[78898723C&gt;T];[78898723C&gt;T]</v>
      </c>
      <c r="L103" s="3" t="str">
        <f t="shared" si="20"/>
        <v>NC_000015.9:g.[78894339G&gt;A];[78894339G&gt;A]</v>
      </c>
    </row>
    <row r="104" spans="1:12" x14ac:dyDescent="0.25">
      <c r="C104" s="3" t="str">
        <f>CONCATENATE("                  } &gt; ")</f>
        <v xml:space="preserve">                  } &gt; </v>
      </c>
      <c r="J104" s="3" t="str">
        <f t="shared" ref="J104" si="26">J84</f>
        <v>Wildtype</v>
      </c>
      <c r="K104" s="3" t="str">
        <f t="shared" si="20"/>
        <v>NC_000015.9:g.[78898723=];[78898723=]</v>
      </c>
      <c r="L104" s="3" t="str">
        <f t="shared" si="20"/>
        <v>NC_000015.9:g.[78894339=];[78894339=]</v>
      </c>
    </row>
    <row r="105" spans="1:12" x14ac:dyDescent="0.25">
      <c r="J105" s="3" t="str">
        <f t="shared" ref="J105" si="27">J85</f>
        <v>Het%</v>
      </c>
      <c r="K105" s="3">
        <f t="shared" si="20"/>
        <v>37.9</v>
      </c>
      <c r="L105" s="3">
        <f t="shared" si="20"/>
        <v>39.700000000000003</v>
      </c>
    </row>
    <row r="106" spans="1:12" x14ac:dyDescent="0.25">
      <c r="A106" s="14"/>
      <c r="C106" s="3" t="s">
        <v>26</v>
      </c>
      <c r="J106" s="3" t="str">
        <f t="shared" ref="J106" si="28">J86</f>
        <v>Homo%</v>
      </c>
      <c r="K106" s="3">
        <f t="shared" si="20"/>
        <v>15.9</v>
      </c>
      <c r="L106" s="3">
        <f t="shared" si="20"/>
        <v>42.9</v>
      </c>
    </row>
    <row r="107" spans="1:12" x14ac:dyDescent="0.25">
      <c r="A107" s="26"/>
      <c r="J107" s="3" t="str">
        <f t="shared" ref="J107" si="29">J87</f>
        <v>Wildtype%</v>
      </c>
      <c r="K107" s="3">
        <f t="shared" si="20"/>
        <v>46.2</v>
      </c>
      <c r="L107" s="3">
        <f t="shared" si="20"/>
        <v>17.399999999999999</v>
      </c>
    </row>
    <row r="108" spans="1:12" x14ac:dyDescent="0.25">
      <c r="A108" s="14"/>
      <c r="C108" s="3" t="str">
        <f>CONCATENATE("    ",B101)</f>
        <v xml:space="preserve">    People with this variant have two copies of the [C645T](https://www.ncbi.nlm.nih.gov/clinvar/variation/17503/) variant. This substitution of a single nucleotide is known as a missense mutation.</v>
      </c>
    </row>
    <row r="109" spans="1:12" x14ac:dyDescent="0.25">
      <c r="A109" s="14"/>
    </row>
    <row r="110" spans="1:12" x14ac:dyDescent="0.25">
      <c r="A110" s="26"/>
      <c r="C110" s="3" t="s">
        <v>29</v>
      </c>
    </row>
    <row r="111" spans="1:12" x14ac:dyDescent="0.25">
      <c r="A111" s="14"/>
    </row>
    <row r="112" spans="1:12" x14ac:dyDescent="0.25">
      <c r="A112" s="14"/>
      <c r="C112" s="3" t="str">
        <f>CONCATENATE(B102)</f>
        <v xml:space="preserve">    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day](https://www.ncbi.nlm.nih.gov/pubmed/27663783)[(odds ratio 2.66)](https://www.ncbi.nlm.nih.gov/pubmed/25632390) and [severity of nicotine addiction (odds ratio 2.6)](https://www.ncbi.nlm.nih.gov/pubmed/25632390). There is a [5.8% decrease](https://www.ncbi.nlm.nih.gov/pubmed/25891233) in adherence to prescribed Nicotine replacement therapy (NRT) dose, and a [2.0mg decrease](https://www.ncbi.nlm.nih.gov/pubmed/25891233) in daily NRT consumption up to 28 days after beginning treatment.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are also greatly increased. Homozygotes had increased risk of [antipsychotic medication and schizophrenia](https://www.ncbi.nlm.nih.gov/pubmed/26054357).
    # What should I do about this?
    People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13" spans="1:12" x14ac:dyDescent="0.25">
      <c r="A113" s="14"/>
    </row>
    <row r="114" spans="1:12" x14ac:dyDescent="0.25">
      <c r="A114" s="14"/>
      <c r="C114" s="3" t="s">
        <v>30</v>
      </c>
    </row>
    <row r="115" spans="1:12" x14ac:dyDescent="0.25">
      <c r="A115" s="26"/>
    </row>
    <row r="116" spans="1:12" x14ac:dyDescent="0.25">
      <c r="A116" s="26"/>
      <c r="C116" s="3" t="str">
        <f>CONCATENATE( "    &lt;piechart percentage=",B103," /&gt;")</f>
        <v xml:space="preserve">    &lt;piechart percentage=42.9 /&gt;</v>
      </c>
    </row>
    <row r="117" spans="1:12" x14ac:dyDescent="0.25">
      <c r="A117" s="26"/>
      <c r="C117" s="3" t="str">
        <f>"  &lt;/Analysis&gt;"</f>
        <v xml:space="preserve">  &lt;/Analysis&gt;</v>
      </c>
      <c r="K117" s="21" t="str">
        <f t="shared" ref="K117:L118" si="30">K97</f>
        <v>rs12914385</v>
      </c>
      <c r="L117" s="21" t="str">
        <f t="shared" si="30"/>
        <v>rs1051730</v>
      </c>
    </row>
    <row r="118" spans="1:12" s="21" customFormat="1" x14ac:dyDescent="0.25">
      <c r="A118" s="28" t="s">
        <v>70</v>
      </c>
      <c r="B118" s="20" t="str">
        <f>CONCATENATE(B38," and ",B78)</f>
        <v>C78606381T (C;T) and C645T  (C:T)</v>
      </c>
      <c r="C118" s="21" t="str">
        <f>CONCATENATE("&lt;# ",B118," #&gt;")</f>
        <v>&lt;# C78606381T (C;T) and C645T  (C:T) #&gt;</v>
      </c>
      <c r="K118" s="21" t="str">
        <f t="shared" si="30"/>
        <v>C78606381T</v>
      </c>
      <c r="L118" s="21" t="str">
        <f t="shared" si="30"/>
        <v xml:space="preserve">C645T </v>
      </c>
    </row>
    <row r="119" spans="1:12" x14ac:dyDescent="0.25">
      <c r="A119" s="14" t="s">
        <v>21</v>
      </c>
      <c r="B119" s="15" t="str">
        <f>K42</f>
        <v>NC_000015.9:g.[78898723C&gt;T];[78898723=]</v>
      </c>
      <c r="K119" s="3" t="str">
        <f t="shared" ref="K119:L119" si="31">K99</f>
        <v>NC_000015.9:g.</v>
      </c>
      <c r="L119" s="3" t="str">
        <f t="shared" si="31"/>
        <v>NC_000015.9:g.</v>
      </c>
    </row>
    <row r="120" spans="1:12" x14ac:dyDescent="0.25">
      <c r="A120" s="14" t="s">
        <v>72</v>
      </c>
      <c r="B120" s="15" t="str">
        <f>L42</f>
        <v>NC_000015.9:g.[78894339G&gt;A];[78894339=]</v>
      </c>
      <c r="C120" s="3" t="str">
        <f>CONCATENATE("  &lt;Analysis name=",CHAR(34),B118,CHAR(34))</f>
        <v xml:space="preserve">  &lt;Analysis name="C78606381T (C;T) and C645T  (C:T)"</v>
      </c>
      <c r="J120" s="3" t="str">
        <f t="shared" ref="J120:L124" si="32">J100</f>
        <v>Variant</v>
      </c>
      <c r="K120" s="3" t="str">
        <f t="shared" si="32"/>
        <v>[78898723C&gt;T]</v>
      </c>
      <c r="L120" s="3" t="str">
        <f t="shared" si="32"/>
        <v>[78894339G&gt;A]</v>
      </c>
    </row>
    <row r="121" spans="1:12" x14ac:dyDescent="0.25">
      <c r="A121" s="26" t="s">
        <v>75</v>
      </c>
      <c r="B121" s="15" t="str">
        <f>CONCATENATE("People with this variant have one copy of the ",B22, " and ",B31," variants. This substitution of a single nucleotide is known as a missense mutation.")</f>
        <v>People with this variant have one copy of the [C78606381T](https://www.ncbi.nlm.nih.gov/projects/SNP/snp_ref.cgi?rs=12914385) and [C645T](https://www.ncbi.nlm.nih.gov/clinvar/variation/17503/) variants. This substitution of a single nucleotide is known as a missense mutation.</v>
      </c>
      <c r="C121" s="3" t="str">
        <f>CONCATENATE("            case={  variantCall ",CHAR(40),CHAR(34),K122,CHAR(34),CHAR(41))</f>
        <v xml:space="preserve">            case={  variantCall ("NC_000015.9:g.[78898723C&gt;T];[78898723=]")</v>
      </c>
      <c r="J121" s="3" t="str">
        <f t="shared" si="32"/>
        <v>Wildtype</v>
      </c>
      <c r="K121" s="3" t="str">
        <f t="shared" si="32"/>
        <v>[78898723=]</v>
      </c>
      <c r="L121" s="3" t="str">
        <f t="shared" si="32"/>
        <v>[78894339=]</v>
      </c>
    </row>
    <row r="122" spans="1:12" x14ac:dyDescent="0.25">
      <c r="A122" s="26" t="s">
        <v>28</v>
      </c>
      <c r="B122" s="15" t="s">
        <v>163</v>
      </c>
      <c r="C122" s="3" t="s">
        <v>71</v>
      </c>
      <c r="J122" s="3" t="str">
        <f t="shared" si="32"/>
        <v>Het</v>
      </c>
      <c r="K122" s="3" t="str">
        <f t="shared" si="32"/>
        <v>NC_000015.9:g.[78898723C&gt;T];[78898723=]</v>
      </c>
      <c r="L122" s="3" t="str">
        <f t="shared" si="32"/>
        <v>NC_000015.9:g.[78894339G&gt;A];[78894339=]</v>
      </c>
    </row>
    <row r="123" spans="1:12" x14ac:dyDescent="0.25">
      <c r="A123" s="26" t="s">
        <v>73</v>
      </c>
      <c r="C123" s="3" t="str">
        <f>CONCATENATE("                    variantCall ",CHAR(40),CHAR(34),L122,CHAR(34),CHAR(41))</f>
        <v xml:space="preserve">                    variantCall ("NC_000015.9:g.[78894339G&gt;A];[78894339=]")</v>
      </c>
      <c r="J123" s="3" t="str">
        <f t="shared" si="32"/>
        <v>Homo</v>
      </c>
      <c r="K123" s="3" t="str">
        <f t="shared" si="32"/>
        <v>NC_000015.9:g.[78898723C&gt;T];[78898723C&gt;T]</v>
      </c>
      <c r="L123" s="3" t="str">
        <f t="shared" si="32"/>
        <v>NC_000015.9:g.[78894339G&gt;A];[78894339G&gt;A]</v>
      </c>
    </row>
    <row r="124" spans="1:12" x14ac:dyDescent="0.25">
      <c r="A124" s="26"/>
      <c r="C124" s="3" t="str">
        <f>CONCATENATE("                  } &gt; ")</f>
        <v xml:space="preserve">                  } &gt; </v>
      </c>
      <c r="J124" s="3" t="str">
        <f t="shared" si="32"/>
        <v>Wildtype</v>
      </c>
      <c r="K124" s="3" t="str">
        <f t="shared" si="32"/>
        <v>NC_000015.9:g.[78898723=];[78898723=]</v>
      </c>
      <c r="L124" s="3" t="str">
        <f t="shared" si="32"/>
        <v>NC_000015.9:g.[78894339=];[78894339=]</v>
      </c>
    </row>
    <row r="125" spans="1:12" x14ac:dyDescent="0.25">
      <c r="A125" s="26"/>
      <c r="J125" s="3" t="str">
        <f>J105</f>
        <v>Het%</v>
      </c>
      <c r="K125" s="3">
        <f>K105</f>
        <v>37.9</v>
      </c>
      <c r="L125" s="3">
        <f>L105</f>
        <v>39.700000000000003</v>
      </c>
    </row>
    <row r="126" spans="1:12" x14ac:dyDescent="0.25">
      <c r="A126" s="26"/>
      <c r="C126" s="3" t="s">
        <v>26</v>
      </c>
      <c r="J126" s="3" t="str">
        <f t="shared" ref="J126:L127" si="33">J106</f>
        <v>Homo%</v>
      </c>
      <c r="K126" s="3">
        <f t="shared" si="33"/>
        <v>15.9</v>
      </c>
      <c r="L126" s="3">
        <f t="shared" si="33"/>
        <v>42.9</v>
      </c>
    </row>
    <row r="127" spans="1:12" x14ac:dyDescent="0.25">
      <c r="A127" s="14"/>
      <c r="J127" s="3" t="str">
        <f t="shared" si="33"/>
        <v>Wildtype%</v>
      </c>
      <c r="K127" s="3">
        <f t="shared" si="33"/>
        <v>46.2</v>
      </c>
      <c r="L127" s="3">
        <f t="shared" si="33"/>
        <v>17.399999999999999</v>
      </c>
    </row>
    <row r="128" spans="1:12" x14ac:dyDescent="0.25">
      <c r="A128" s="14"/>
      <c r="C128" s="3" t="str">
        <f>CONCATENATE("    ",B121)</f>
        <v xml:space="preserve">    People with this variant have one copy of the [C78606381T](https://www.ncbi.nlm.nih.gov/projects/SNP/snp_ref.cgi?rs=12914385) and [C645T](https://www.ncbi.nlm.nih.gov/clinvar/variation/17503/) variants. This substitution of a single nucleotide is known as a missense mutation.</v>
      </c>
    </row>
    <row r="129" spans="1:12" x14ac:dyDescent="0.25">
      <c r="A129" s="14"/>
    </row>
    <row r="130" spans="1:12" x14ac:dyDescent="0.25">
      <c r="A130" s="14"/>
      <c r="C130" s="3" t="s">
        <v>29</v>
      </c>
    </row>
    <row r="131" spans="1:12" x14ac:dyDescent="0.25">
      <c r="A131" s="14"/>
    </row>
    <row r="132" spans="1:12" x14ac:dyDescent="0.25">
      <c r="A132" s="26"/>
      <c r="C132" s="3" t="str">
        <f>CONCATENATE(B122)</f>
        <v xml:space="preserve">    There is currently no data on the interaction between these variants.  However, some information exists on the individual variants. 
    # What is the effect of C78606381T (C;T)?
    The CHRNA3 protein plays a role in developing nicotine dependence and regulating nicotine receptor proliferation and destruction. Incorrect formation of the nicotine neurotransmitter receptor protein has a variety of effects. This heterozygous variant causes increased risk of [lung cancer](https://www.ncbi.nlm.nih.gov/pubmed/23094028), with an [odds ratio of 1.2](https://www.ncbi.nlm.nih.gov/pubmed/28827732), and [COPD](https://www.ncbi.nlm.nih.gov/pubmed/24621683), with an [odds ratio of 1.39](https://www.ncbi.nlm.nih.gov/pubmed/24621683). It causes an [increase](https://www.ncbi.nlm.nih.gov/pubmed/29030599) of [one](https://www.ncbi.nlm.nih.gov/pubmed/21559498)[cigarette](https://www.ncbi.nlm.nih.gov/pubmed/23870182)[per day](https://www.ncbi.nlm.nih.gov/pubmed/20418890) and may also cause [smoking persistence](https://www.ncbi.nlm.nih.gov/pubmed/22290489). However, the C allele is protective, with a [decrease of 3.25 packs per year per C allele](https://www.ncbi.nlm.nih.gov/pubmed/21436384). Finally, his variant may cause an increase in [cocaine dependence](https://www.ncbi.nlm.nih.gov/pubmed/20485328).
    # What is the effect of C645T?
    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 What should I do about this?
    People should not smoke or use cocaine.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33" spans="1:12" x14ac:dyDescent="0.25">
      <c r="A133" s="26"/>
    </row>
    <row r="134" spans="1:12" x14ac:dyDescent="0.25">
      <c r="A134" s="26"/>
      <c r="C134" s="3" t="s">
        <v>30</v>
      </c>
    </row>
    <row r="135" spans="1:12" x14ac:dyDescent="0.25">
      <c r="A135" s="26"/>
    </row>
    <row r="136" spans="1:12" x14ac:dyDescent="0.25">
      <c r="A136" s="26"/>
      <c r="C136" s="3" t="str">
        <f>CONCATENATE( "    &lt;piechart percentage=",B123," /&gt;")</f>
        <v xml:space="preserve">    &lt;piechart percentage= /&gt;</v>
      </c>
    </row>
    <row r="137" spans="1:12" x14ac:dyDescent="0.25">
      <c r="A137" s="26"/>
      <c r="C137" s="3" t="str">
        <f>"  &lt;/Analysis&gt;"</f>
        <v xml:space="preserve">  &lt;/Analysis&gt;</v>
      </c>
      <c r="K137" s="21" t="str">
        <f t="shared" ref="K137:L137" si="34">K117</f>
        <v>rs12914385</v>
      </c>
      <c r="L137" s="21" t="str">
        <f t="shared" si="34"/>
        <v>rs1051730</v>
      </c>
    </row>
    <row r="138" spans="1:12" s="21" customFormat="1" x14ac:dyDescent="0.25">
      <c r="A138" s="28" t="s">
        <v>70</v>
      </c>
      <c r="B138" s="20" t="str">
        <f>CONCATENATE(B58," and ",B78)</f>
        <v>C78606381T (T;T) and C645T  (C:T)</v>
      </c>
      <c r="C138" s="21" t="str">
        <f>CONCATENATE("&lt;# ",B138," #&gt;")</f>
        <v>&lt;# C78606381T (T;T) and C645T  (C:T) #&gt;</v>
      </c>
      <c r="K138" s="21" t="str">
        <f t="shared" ref="K138:L138" si="35">K118</f>
        <v>C78606381T</v>
      </c>
      <c r="L138" s="21" t="str">
        <f t="shared" si="35"/>
        <v xml:space="preserve">C645T </v>
      </c>
    </row>
    <row r="139" spans="1:12" x14ac:dyDescent="0.25">
      <c r="A139" s="14" t="s">
        <v>21</v>
      </c>
      <c r="B139" s="15" t="str">
        <f>K62</f>
        <v>NC_000015.9:g.[78898723C&gt;T];[78898723=]</v>
      </c>
      <c r="K139" s="3" t="str">
        <f t="shared" ref="K139:L139" si="36">K119</f>
        <v>NC_000015.9:g.</v>
      </c>
      <c r="L139" s="3" t="str">
        <f t="shared" si="36"/>
        <v>NC_000015.9:g.</v>
      </c>
    </row>
    <row r="140" spans="1:12" x14ac:dyDescent="0.25">
      <c r="A140" s="14" t="s">
        <v>72</v>
      </c>
      <c r="B140" s="15" t="str">
        <f>L62</f>
        <v>NC_000015.9:g.[78894339G&gt;A];[78894339=]</v>
      </c>
      <c r="C140" s="3" t="str">
        <f>CONCATENATE("  &lt;Analysis name=",CHAR(34),B138,CHAR(34))</f>
        <v xml:space="preserve">  &lt;Analysis name="C78606381T (T;T) and C645T  (C:T)"</v>
      </c>
      <c r="J140" s="3" t="str">
        <f t="shared" ref="J140:L140" si="37">J120</f>
        <v>Variant</v>
      </c>
      <c r="K140" s="3" t="str">
        <f t="shared" si="37"/>
        <v>[78898723C&gt;T]</v>
      </c>
      <c r="L140" s="3" t="str">
        <f t="shared" si="37"/>
        <v>[78894339G&gt;A]</v>
      </c>
    </row>
    <row r="141" spans="1:12" x14ac:dyDescent="0.25">
      <c r="A141" s="26" t="s">
        <v>75</v>
      </c>
      <c r="B141" s="15" t="str">
        <f>CONCATENATE("People with this variant have one copy of the ",B31, " and two copies of the ",B22," variants. This substitution of a single nucleotide is known as a missense mutation.")</f>
        <v>People with this variant have one copy of the [C645T](https://www.ncbi.nlm.nih.gov/clinvar/variation/17503/) and two copies of the [C78606381T](https://www.ncbi.nlm.nih.gov/projects/SNP/snp_ref.cgi?rs=12914385) variants. This substitution of a single nucleotide is known as a missense mutation.</v>
      </c>
      <c r="C141" s="3" t="str">
        <f>CONCATENATE("            case={  variantCall ",CHAR(40),CHAR(34),K143,CHAR(34),CHAR(41))</f>
        <v xml:space="preserve">            case={  variantCall ("NC_000015.9:g.[78898723C&gt;T];[78898723C&gt;T]")</v>
      </c>
      <c r="J141" s="3" t="str">
        <f t="shared" ref="J141:L141" si="38">J121</f>
        <v>Wildtype</v>
      </c>
      <c r="K141" s="3" t="str">
        <f t="shared" si="38"/>
        <v>[78898723=]</v>
      </c>
      <c r="L141" s="3" t="str">
        <f t="shared" si="38"/>
        <v>[78894339=]</v>
      </c>
    </row>
    <row r="142" spans="1:12" x14ac:dyDescent="0.25">
      <c r="A142" s="26" t="s">
        <v>28</v>
      </c>
      <c r="B142" s="15" t="s">
        <v>164</v>
      </c>
      <c r="C142" s="3" t="s">
        <v>71</v>
      </c>
      <c r="J142" s="3" t="str">
        <f t="shared" ref="J142:L142" si="39">J122</f>
        <v>Het</v>
      </c>
      <c r="K142" s="3" t="str">
        <f t="shared" si="39"/>
        <v>NC_000015.9:g.[78898723C&gt;T];[78898723=]</v>
      </c>
      <c r="L142" s="3" t="str">
        <f t="shared" si="39"/>
        <v>NC_000015.9:g.[78894339G&gt;A];[78894339=]</v>
      </c>
    </row>
    <row r="143" spans="1:12" x14ac:dyDescent="0.25">
      <c r="A143" s="26" t="s">
        <v>73</v>
      </c>
      <c r="C143" s="3" t="str">
        <f>CONCATENATE("                    variantCall ",CHAR(40),CHAR(34),L142,CHAR(34),CHAR(41))</f>
        <v xml:space="preserve">                    variantCall ("NC_000015.9:g.[78894339G&gt;A];[78894339=]")</v>
      </c>
      <c r="J143" s="3" t="str">
        <f t="shared" ref="J143:L143" si="40">J123</f>
        <v>Homo</v>
      </c>
      <c r="K143" s="3" t="str">
        <f t="shared" si="40"/>
        <v>NC_000015.9:g.[78898723C&gt;T];[78898723C&gt;T]</v>
      </c>
      <c r="L143" s="3" t="str">
        <f t="shared" si="40"/>
        <v>NC_000015.9:g.[78894339G&gt;A];[78894339G&gt;A]</v>
      </c>
    </row>
    <row r="144" spans="1:12" x14ac:dyDescent="0.25">
      <c r="A144" s="26"/>
      <c r="C144" s="3" t="str">
        <f>CONCATENATE("                  } &gt; ")</f>
        <v xml:space="preserve">                  } &gt; </v>
      </c>
      <c r="J144" s="3" t="str">
        <f t="shared" ref="J144:L144" si="41">J124</f>
        <v>Wildtype</v>
      </c>
      <c r="K144" s="3" t="str">
        <f t="shared" si="41"/>
        <v>NC_000015.9:g.[78898723=];[78898723=]</v>
      </c>
      <c r="L144" s="3" t="str">
        <f t="shared" si="41"/>
        <v>NC_000015.9:g.[78894339=];[78894339=]</v>
      </c>
    </row>
    <row r="145" spans="1:12" x14ac:dyDescent="0.25">
      <c r="A145" s="26"/>
      <c r="J145" s="3" t="str">
        <f>J125</f>
        <v>Het%</v>
      </c>
      <c r="K145" s="3">
        <f>K125</f>
        <v>37.9</v>
      </c>
      <c r="L145" s="3">
        <f>L125</f>
        <v>39.700000000000003</v>
      </c>
    </row>
    <row r="146" spans="1:12" x14ac:dyDescent="0.25">
      <c r="A146" s="26"/>
      <c r="C146" s="3" t="s">
        <v>26</v>
      </c>
      <c r="J146" s="3" t="str">
        <f t="shared" ref="J146:L146" si="42">J126</f>
        <v>Homo%</v>
      </c>
      <c r="K146" s="3">
        <f t="shared" si="42"/>
        <v>15.9</v>
      </c>
      <c r="L146" s="3">
        <f t="shared" si="42"/>
        <v>42.9</v>
      </c>
    </row>
    <row r="147" spans="1:12" x14ac:dyDescent="0.25">
      <c r="A147" s="14"/>
      <c r="J147" s="3" t="str">
        <f t="shared" ref="J147:L147" si="43">J127</f>
        <v>Wildtype%</v>
      </c>
      <c r="K147" s="3">
        <f t="shared" si="43"/>
        <v>46.2</v>
      </c>
      <c r="L147" s="3">
        <f t="shared" si="43"/>
        <v>17.399999999999999</v>
      </c>
    </row>
    <row r="148" spans="1:12" x14ac:dyDescent="0.25">
      <c r="A148" s="14"/>
      <c r="C148" s="3" t="str">
        <f>CONCATENATE("    ",B141)</f>
        <v xml:space="preserve">    People with this variant have one copy of the [C645T](https://www.ncbi.nlm.nih.gov/clinvar/variation/17503/) and two copies of the [C78606381T](https://www.ncbi.nlm.nih.gov/projects/SNP/snp_ref.cgi?rs=12914385) variants. This substitution of a single nucleotide is known as a missense mutation.</v>
      </c>
    </row>
    <row r="149" spans="1:12" x14ac:dyDescent="0.25">
      <c r="A149" s="14"/>
    </row>
    <row r="150" spans="1:12" x14ac:dyDescent="0.25">
      <c r="A150" s="14"/>
      <c r="C150" s="3" t="s">
        <v>29</v>
      </c>
    </row>
    <row r="151" spans="1:12" x14ac:dyDescent="0.25">
      <c r="A151" s="14"/>
    </row>
    <row r="152" spans="1:12" x14ac:dyDescent="0.25">
      <c r="A152" s="26"/>
      <c r="C152" s="3" t="str">
        <f>CONCATENATE(B142)</f>
        <v xml:space="preserve">    There is currently no data on the interaction between these variants.  However, some information exists on the individual variants. 
    # What is the effect of C78606381T (T;T)?
    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[two](https://www.ncbi.nlm.nih.gov/pubmed/21559498)[cigarettes](https://www.ncbi.nlm.nih.gov/pubmed/23870182)[per day](https://www.ncbi.nlm.nih.gov/pubmed/20418890) and may also cause greatly increased [smoking persistence](https://www.ncbi.nlm.nih.gov/pubmed/22290489).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
    # What is the effect of C645T?
    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#What should I do about this?
    People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(NKC)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[Histone deacetylase inhibitors (HDACi) including suberoylanilide hydroxamic acid and valproric acid](https://www.ncbi.nlm.nih.gov/pubmed/17349632/) impair NKC function, and should be avoided.</v>
      </c>
    </row>
    <row r="153" spans="1:12" x14ac:dyDescent="0.25">
      <c r="A153" s="26"/>
    </row>
    <row r="154" spans="1:12" x14ac:dyDescent="0.25">
      <c r="A154" s="26"/>
      <c r="C154" s="3" t="s">
        <v>30</v>
      </c>
    </row>
    <row r="155" spans="1:12" x14ac:dyDescent="0.25">
      <c r="A155" s="26"/>
    </row>
    <row r="156" spans="1:12" x14ac:dyDescent="0.25">
      <c r="A156" s="26"/>
      <c r="C156" s="3" t="str">
        <f>CONCATENATE( "    &lt;piechart percentage=",B143," /&gt;")</f>
        <v xml:space="preserve">    &lt;piechart percentage= /&gt;</v>
      </c>
    </row>
    <row r="157" spans="1:12" x14ac:dyDescent="0.25">
      <c r="A157" s="26"/>
      <c r="C157" s="3" t="str">
        <f>"  &lt;/Analysis&gt;"</f>
        <v xml:space="preserve">  &lt;/Analysis&gt;</v>
      </c>
      <c r="K157" s="21" t="str">
        <f t="shared" ref="K157:L157" si="44">K117</f>
        <v>rs12914385</v>
      </c>
      <c r="L157" s="21" t="str">
        <f t="shared" si="44"/>
        <v>rs1051730</v>
      </c>
    </row>
    <row r="158" spans="1:12" s="21" customFormat="1" x14ac:dyDescent="0.25">
      <c r="A158" s="28" t="s">
        <v>70</v>
      </c>
      <c r="B158" s="20" t="str">
        <f>CONCATENATE(B58," and ",B98)</f>
        <v>C78606381T (T;T) and C645T  (T;T)</v>
      </c>
      <c r="C158" s="21" t="str">
        <f>CONCATENATE("&lt;# ",B158," #&gt;")</f>
        <v>&lt;# C78606381T (T;T) and C645T  (T;T) #&gt;</v>
      </c>
      <c r="K158" s="21" t="str">
        <f t="shared" ref="K158:L158" si="45">K118</f>
        <v>C78606381T</v>
      </c>
      <c r="L158" s="21" t="str">
        <f t="shared" si="45"/>
        <v xml:space="preserve">C645T </v>
      </c>
    </row>
    <row r="159" spans="1:12" x14ac:dyDescent="0.25">
      <c r="A159" s="14" t="s">
        <v>21</v>
      </c>
      <c r="B159" s="15" t="str">
        <f>K62</f>
        <v>NC_000015.9:g.[78898723C&gt;T];[78898723=]</v>
      </c>
      <c r="K159" s="3" t="str">
        <f t="shared" ref="K159:L159" si="46">K119</f>
        <v>NC_000015.9:g.</v>
      </c>
      <c r="L159" s="3" t="str">
        <f t="shared" si="46"/>
        <v>NC_000015.9:g.</v>
      </c>
    </row>
    <row r="160" spans="1:12" x14ac:dyDescent="0.25">
      <c r="A160" s="14" t="s">
        <v>72</v>
      </c>
      <c r="B160" s="15" t="str">
        <f>L62</f>
        <v>NC_000015.9:g.[78894339G&gt;A];[78894339=]</v>
      </c>
      <c r="C160" s="3" t="str">
        <f>CONCATENATE("  &lt;Analysis name=",CHAR(34),B158,CHAR(34))</f>
        <v xml:space="preserve">  &lt;Analysis name="C78606381T (T;T) and C645T  (T;T)"</v>
      </c>
      <c r="J160" s="3" t="str">
        <f t="shared" ref="J160:L160" si="47">J120</f>
        <v>Variant</v>
      </c>
      <c r="K160" s="3" t="str">
        <f t="shared" si="47"/>
        <v>[78898723C&gt;T]</v>
      </c>
      <c r="L160" s="3" t="str">
        <f t="shared" si="47"/>
        <v>[78894339G&gt;A]</v>
      </c>
    </row>
    <row r="161" spans="1:12" x14ac:dyDescent="0.25">
      <c r="A161" s="26" t="s">
        <v>75</v>
      </c>
      <c r="B161" s="15" t="str">
        <f>CONCATENATE("People with this variant have two copies of the ",B22, " and ",B31," variants. This substitution of a single nucleotide is known as a missense mutation.")</f>
        <v>People with this variant have two copies of the [C78606381T](https://www.ncbi.nlm.nih.gov/projects/SNP/snp_ref.cgi?rs=12914385) and [C645T](https://www.ncbi.nlm.nih.gov/clinvar/variation/17503/) variants. This substitution of a single nucleotide is known as a missense mutation.</v>
      </c>
      <c r="C161" s="3" t="str">
        <f>CONCATENATE("            case={  variantCall ",CHAR(40),CHAR(34),K163,CHAR(34),CHAR(41))</f>
        <v xml:space="preserve">            case={  variantCall ("NC_000015.9:g.[78898723C&gt;T];[78898723C&gt;T]")</v>
      </c>
      <c r="J161" s="3" t="str">
        <f t="shared" ref="J161:L161" si="48">J121</f>
        <v>Wildtype</v>
      </c>
      <c r="K161" s="3" t="str">
        <f t="shared" si="48"/>
        <v>[78898723=]</v>
      </c>
      <c r="L161" s="3" t="str">
        <f t="shared" si="48"/>
        <v>[78894339=]</v>
      </c>
    </row>
    <row r="162" spans="1:12" x14ac:dyDescent="0.25">
      <c r="A162" s="26" t="s">
        <v>28</v>
      </c>
      <c r="B162" s="15" t="s">
        <v>165</v>
      </c>
      <c r="C162" s="3" t="s">
        <v>71</v>
      </c>
      <c r="J162" s="3" t="str">
        <f t="shared" ref="J162:L162" si="49">J122</f>
        <v>Het</v>
      </c>
      <c r="K162" s="3" t="str">
        <f t="shared" si="49"/>
        <v>NC_000015.9:g.[78898723C&gt;T];[78898723=]</v>
      </c>
      <c r="L162" s="3" t="str">
        <f t="shared" si="49"/>
        <v>NC_000015.9:g.[78894339G&gt;A];[78894339=]</v>
      </c>
    </row>
    <row r="163" spans="1:12" x14ac:dyDescent="0.25">
      <c r="A163" s="26" t="s">
        <v>73</v>
      </c>
      <c r="C163" s="3" t="str">
        <f>CONCATENATE("                    variantCall ",CHAR(40),CHAR(34),L163,CHAR(34),CHAR(41))</f>
        <v xml:space="preserve">                    variantCall ("NC_000015.9:g.[78894339G&gt;A];[78894339G&gt;A]")</v>
      </c>
      <c r="J163" s="3" t="str">
        <f t="shared" ref="J163:L163" si="50">J123</f>
        <v>Homo</v>
      </c>
      <c r="K163" s="3" t="str">
        <f t="shared" si="50"/>
        <v>NC_000015.9:g.[78898723C&gt;T];[78898723C&gt;T]</v>
      </c>
      <c r="L163" s="3" t="str">
        <f t="shared" si="50"/>
        <v>NC_000015.9:g.[78894339G&gt;A];[78894339G&gt;A]</v>
      </c>
    </row>
    <row r="164" spans="1:12" x14ac:dyDescent="0.25">
      <c r="A164" s="26"/>
      <c r="C164" s="3" t="str">
        <f>CONCATENATE("                  } &gt; ")</f>
        <v xml:space="preserve">                  } &gt; </v>
      </c>
      <c r="J164" s="3" t="str">
        <f t="shared" ref="J164:L164" si="51">J124</f>
        <v>Wildtype</v>
      </c>
      <c r="K164" s="3" t="str">
        <f t="shared" si="51"/>
        <v>NC_000015.9:g.[78898723=];[78898723=]</v>
      </c>
      <c r="L164" s="3" t="str">
        <f t="shared" si="51"/>
        <v>NC_000015.9:g.[78894339=];[78894339=]</v>
      </c>
    </row>
    <row r="165" spans="1:12" x14ac:dyDescent="0.25">
      <c r="A165" s="26"/>
      <c r="J165" s="3" t="str">
        <f>J125</f>
        <v>Het%</v>
      </c>
      <c r="K165" s="3">
        <f>K125</f>
        <v>37.9</v>
      </c>
      <c r="L165" s="3">
        <f>L125</f>
        <v>39.700000000000003</v>
      </c>
    </row>
    <row r="166" spans="1:12" x14ac:dyDescent="0.25">
      <c r="A166" s="26"/>
      <c r="C166" s="3" t="s">
        <v>26</v>
      </c>
      <c r="J166" s="3" t="str">
        <f t="shared" ref="J166:L166" si="52">J126</f>
        <v>Homo%</v>
      </c>
      <c r="K166" s="3">
        <f t="shared" si="52"/>
        <v>15.9</v>
      </c>
      <c r="L166" s="3">
        <f t="shared" si="52"/>
        <v>42.9</v>
      </c>
    </row>
    <row r="167" spans="1:12" x14ac:dyDescent="0.25">
      <c r="A167" s="14"/>
      <c r="J167" s="3" t="str">
        <f t="shared" ref="J167:L167" si="53">J127</f>
        <v>Wildtype%</v>
      </c>
      <c r="K167" s="3">
        <f t="shared" si="53"/>
        <v>46.2</v>
      </c>
      <c r="L167" s="3">
        <f t="shared" si="53"/>
        <v>17.399999999999999</v>
      </c>
    </row>
    <row r="168" spans="1:12" x14ac:dyDescent="0.25">
      <c r="A168" s="14"/>
      <c r="C168" s="3" t="str">
        <f>CONCATENATE("    ",B161)</f>
        <v xml:space="preserve">    People with this variant have two copies of the [C78606381T](https://www.ncbi.nlm.nih.gov/projects/SNP/snp_ref.cgi?rs=12914385) and [C645T](https://www.ncbi.nlm.nih.gov/clinvar/variation/17503/) variants. This substitution of a single nucleotide is known as a missense mutation.</v>
      </c>
    </row>
    <row r="169" spans="1:12" x14ac:dyDescent="0.25">
      <c r="A169" s="14"/>
    </row>
    <row r="170" spans="1:12" x14ac:dyDescent="0.25">
      <c r="A170" s="14"/>
      <c r="C170" s="3" t="s">
        <v>29</v>
      </c>
    </row>
    <row r="171" spans="1:12" x14ac:dyDescent="0.25">
      <c r="A171" s="14"/>
    </row>
    <row r="172" spans="1:12" x14ac:dyDescent="0.25">
      <c r="A172" s="26"/>
      <c r="C172" s="3" t="str">
        <f>CONCATENATE(B162)</f>
        <v xml:space="preserve">    There is currently no data on the interaction between these variants.  However, some information exists on the individual variants. 
    # What is the effect of C78606381T (T;T)?
    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[two](https://www.ncbi.nlm.nih.gov/pubmed/21559498)[cigarettes](https://www.ncbi.nlm.nih.gov/pubmed/23870182)[per day](https://www.ncbi.nlm.nih.gov/pubmed/20418890) and may also cause greatly increased [smoking persistence](https://www.ncbi.nlm.nih.gov/pubmed/22290489).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
    # What is the effect of C645T?
    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day](https://www.ncbi.nlm.nih.gov/pubmed/27663783)[(odds ratio 2.66)](https://www.ncbi.nlm.nih.gov/pubmed/25632390) and [severity of nicotine addiction (odds ratio 2.6)](https://www.ncbi.nlm.nih.gov/pubmed/25632390). There is a [5.8% decrease](https://www.ncbi.nlm.nih.gov/pubmed/25891233) in adherence to prescribed Nicotine replacement therapy (NRT) dose, and a [2.0mg decrease](https://www.ncbi.nlm.nih.gov/pubmed/25891233) in daily NRT consumption up to 28 days after beginning treatment.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are also greatly increased. Homozygotes had increased risk of [antipsychotic medication and schizophrenia](https://www.ncbi.nlm.nih.gov/pubmed/26054357).
    # What should I do about this?
    People should not smoke or use cocaine.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(NKC)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[Histone deacetylase inhibitors (HDACi) including suberoylanilide hydroxamic acid and valproric acid](https://www.ncbi.nlm.nih.gov/pubmed/17349632/) impair NKC function, and should be avoided.</v>
      </c>
    </row>
    <row r="173" spans="1:12" x14ac:dyDescent="0.25">
      <c r="A173" s="26"/>
    </row>
    <row r="174" spans="1:12" x14ac:dyDescent="0.25">
      <c r="A174" s="26"/>
      <c r="C174" s="3" t="s">
        <v>30</v>
      </c>
    </row>
    <row r="175" spans="1:12" x14ac:dyDescent="0.25">
      <c r="A175" s="26"/>
    </row>
    <row r="176" spans="1:12" x14ac:dyDescent="0.25">
      <c r="A176" s="26"/>
      <c r="C176" s="3" t="str">
        <f>CONCATENATE( "    &lt;piechart percentage=",B163," /&gt;")</f>
        <v xml:space="preserve">    &lt;piechart percentage= /&gt;</v>
      </c>
    </row>
    <row r="177" spans="1:12" x14ac:dyDescent="0.25">
      <c r="A177" s="26"/>
      <c r="C177" s="3" t="str">
        <f>"  &lt;/Analysis&gt;"</f>
        <v xml:space="preserve">  &lt;/Analysis&gt;</v>
      </c>
      <c r="K177" s="21" t="str">
        <f t="shared" ref="K177:L177" si="54">K157</f>
        <v>rs12914385</v>
      </c>
      <c r="L177" s="21" t="str">
        <f t="shared" si="54"/>
        <v>rs1051730</v>
      </c>
    </row>
    <row r="178" spans="1:12" s="21" customFormat="1" x14ac:dyDescent="0.25">
      <c r="A178" s="28" t="s">
        <v>70</v>
      </c>
      <c r="B178" s="20" t="str">
        <f>CONCATENATE(B38," and ",B98)</f>
        <v>C78606381T (C;T) and C645T  (T;T)</v>
      </c>
      <c r="C178" s="21" t="str">
        <f>CONCATENATE("&lt;# ",B178," #&gt;")</f>
        <v>&lt;# C78606381T (C;T) and C645T  (T;T) #&gt;</v>
      </c>
      <c r="K178" s="21" t="str">
        <f t="shared" ref="K178:L178" si="55">K158</f>
        <v>C78606381T</v>
      </c>
      <c r="L178" s="21" t="str">
        <f t="shared" si="55"/>
        <v xml:space="preserve">C645T </v>
      </c>
    </row>
    <row r="179" spans="1:12" x14ac:dyDescent="0.25">
      <c r="A179" s="14" t="s">
        <v>21</v>
      </c>
      <c r="B179" s="15" t="str">
        <f>K82</f>
        <v>NC_000015.9:g.[78898723C&gt;T];[78898723=]</v>
      </c>
      <c r="K179" s="3" t="str">
        <f t="shared" ref="K179:L179" si="56">K159</f>
        <v>NC_000015.9:g.</v>
      </c>
      <c r="L179" s="3" t="str">
        <f t="shared" si="56"/>
        <v>NC_000015.9:g.</v>
      </c>
    </row>
    <row r="180" spans="1:12" x14ac:dyDescent="0.25">
      <c r="A180" s="14" t="s">
        <v>72</v>
      </c>
      <c r="B180" s="15" t="str">
        <f>L82</f>
        <v>NC_000015.9:g.[78894339G&gt;A];[78894339=]</v>
      </c>
      <c r="C180" s="3" t="str">
        <f>CONCATENATE("  &lt;Analysis name=",CHAR(34),B178,CHAR(34))</f>
        <v xml:space="preserve">  &lt;Analysis name="C78606381T (C;T) and C645T  (T;T)"</v>
      </c>
      <c r="J180" s="3" t="str">
        <f t="shared" ref="J180:L180" si="57">J160</f>
        <v>Variant</v>
      </c>
      <c r="K180" s="3" t="str">
        <f t="shared" si="57"/>
        <v>[78898723C&gt;T]</v>
      </c>
      <c r="L180" s="3" t="str">
        <f t="shared" si="57"/>
        <v>[78894339G&gt;A]</v>
      </c>
    </row>
    <row r="181" spans="1:12" x14ac:dyDescent="0.25">
      <c r="A181" s="26" t="s">
        <v>75</v>
      </c>
      <c r="B181" s="15" t="str">
        <f>CONCATENATE("People with this variant have one copy of the ",B22, " and two copies of the ",B31," variants. This substitution of a single nucleotide is known as a missense mutation.")</f>
        <v>People with this variant have one copy of the [C78606381T](https://www.ncbi.nlm.nih.gov/projects/SNP/snp_ref.cgi?rs=12914385) and two copies of the [C645T](https://www.ncbi.nlm.nih.gov/clinvar/variation/17503/) variants. This substitution of a single nucleotide is known as a missense mutation.</v>
      </c>
      <c r="C181" s="3" t="str">
        <f>CONCATENATE("            case={  variantCall ",CHAR(40),CHAR(34),K182,CHAR(34),CHAR(41))</f>
        <v xml:space="preserve">            case={  variantCall ("NC_000015.9:g.[78898723C&gt;T];[78898723=]")</v>
      </c>
      <c r="J181" s="3" t="str">
        <f t="shared" ref="J181:L181" si="58">J161</f>
        <v>Wildtype</v>
      </c>
      <c r="K181" s="3" t="str">
        <f t="shared" si="58"/>
        <v>[78898723=]</v>
      </c>
      <c r="L181" s="3" t="str">
        <f t="shared" si="58"/>
        <v>[78894339=]</v>
      </c>
    </row>
    <row r="182" spans="1:12" x14ac:dyDescent="0.25">
      <c r="A182" s="26" t="s">
        <v>28</v>
      </c>
      <c r="B182" s="15" t="s">
        <v>162</v>
      </c>
      <c r="C182" s="3" t="s">
        <v>71</v>
      </c>
      <c r="J182" s="3" t="str">
        <f t="shared" ref="J182:L182" si="59">J162</f>
        <v>Het</v>
      </c>
      <c r="K182" s="3" t="str">
        <f t="shared" si="59"/>
        <v>NC_000015.9:g.[78898723C&gt;T];[78898723=]</v>
      </c>
      <c r="L182" s="3" t="str">
        <f t="shared" si="59"/>
        <v>NC_000015.9:g.[78894339G&gt;A];[78894339=]</v>
      </c>
    </row>
    <row r="183" spans="1:12" x14ac:dyDescent="0.25">
      <c r="A183" s="26" t="s">
        <v>73</v>
      </c>
      <c r="C183" s="3" t="str">
        <f>CONCATENATE("                    variantCall ",CHAR(40),CHAR(34),L183,CHAR(34),CHAR(41))</f>
        <v xml:space="preserve">                    variantCall ("NC_000015.9:g.[78894339G&gt;A];[78894339G&gt;A]")</v>
      </c>
      <c r="J183" s="3" t="str">
        <f t="shared" ref="J183:L183" si="60">J163</f>
        <v>Homo</v>
      </c>
      <c r="K183" s="3" t="str">
        <f t="shared" si="60"/>
        <v>NC_000015.9:g.[78898723C&gt;T];[78898723C&gt;T]</v>
      </c>
      <c r="L183" s="3" t="str">
        <f t="shared" si="60"/>
        <v>NC_000015.9:g.[78894339G&gt;A];[78894339G&gt;A]</v>
      </c>
    </row>
    <row r="184" spans="1:12" x14ac:dyDescent="0.25">
      <c r="A184" s="26"/>
      <c r="C184" s="3" t="str">
        <f>CONCATENATE("                  } &gt; ")</f>
        <v xml:space="preserve">                  } &gt; </v>
      </c>
      <c r="J184" s="3" t="str">
        <f t="shared" ref="J184:L184" si="61">J164</f>
        <v>Wildtype</v>
      </c>
      <c r="K184" s="3" t="str">
        <f t="shared" si="61"/>
        <v>NC_000015.9:g.[78898723=];[78898723=]</v>
      </c>
      <c r="L184" s="3" t="str">
        <f t="shared" si="61"/>
        <v>NC_000015.9:g.[78894339=];[78894339=]</v>
      </c>
    </row>
    <row r="185" spans="1:12" x14ac:dyDescent="0.25">
      <c r="A185" s="26"/>
      <c r="J185" s="3" t="str">
        <f>J165</f>
        <v>Het%</v>
      </c>
      <c r="K185" s="3">
        <f>K165</f>
        <v>37.9</v>
      </c>
      <c r="L185" s="3">
        <f>L165</f>
        <v>39.700000000000003</v>
      </c>
    </row>
    <row r="186" spans="1:12" x14ac:dyDescent="0.25">
      <c r="A186" s="26"/>
      <c r="C186" s="3" t="s">
        <v>26</v>
      </c>
      <c r="J186" s="3" t="str">
        <f t="shared" ref="J186:L186" si="62">J166</f>
        <v>Homo%</v>
      </c>
      <c r="K186" s="3">
        <f t="shared" si="62"/>
        <v>15.9</v>
      </c>
      <c r="L186" s="3">
        <f t="shared" si="62"/>
        <v>42.9</v>
      </c>
    </row>
    <row r="187" spans="1:12" x14ac:dyDescent="0.25">
      <c r="A187" s="14"/>
      <c r="J187" s="3" t="str">
        <f t="shared" ref="J187:L187" si="63">J167</f>
        <v>Wildtype%</v>
      </c>
      <c r="K187" s="3">
        <f t="shared" si="63"/>
        <v>46.2</v>
      </c>
      <c r="L187" s="3">
        <f t="shared" si="63"/>
        <v>17.399999999999999</v>
      </c>
    </row>
    <row r="188" spans="1:12" x14ac:dyDescent="0.25">
      <c r="A188" s="14"/>
      <c r="C188" s="3" t="str">
        <f>CONCATENATE("    ",B181)</f>
        <v xml:space="preserve">    People with this variant have one copy of the [C78606381T](https://www.ncbi.nlm.nih.gov/projects/SNP/snp_ref.cgi?rs=12914385) and two copies of the [C645T](https://www.ncbi.nlm.nih.gov/clinvar/variation/17503/) variants. This substitution of a single nucleotide is known as a missense mutation.</v>
      </c>
    </row>
    <row r="189" spans="1:12" x14ac:dyDescent="0.25">
      <c r="A189" s="14"/>
    </row>
    <row r="190" spans="1:12" x14ac:dyDescent="0.25">
      <c r="A190" s="14"/>
      <c r="C190" s="3" t="s">
        <v>29</v>
      </c>
    </row>
    <row r="191" spans="1:12" x14ac:dyDescent="0.25">
      <c r="A191" s="14"/>
    </row>
    <row r="192" spans="1:12" x14ac:dyDescent="0.25">
      <c r="A192" s="26"/>
      <c r="C192" s="3" t="str">
        <f>CONCATENATE(B182)</f>
        <v xml:space="preserve">    # What is the effect of C78606381T (C;T)?
    The CHRNA3 protein plays a role in developing nicotine dependence and regulating nicotine receptor proliferation and destruction. Incorrect formation of the nicotine neurotransmitter receptor protein has a variety of effects. This heterozygous variant causes increased risk of [lung cancer](https://www.ncbi.nlm.nih.gov/pubmed/23094028), with an [odds ratio of 1.2](https://www.ncbi.nlm.nih.gov/pubmed/28827732), and [COPD](https://www.ncbi.nlm.nih.gov/pubmed/24621683), with an [odds ratio of 1.39](https://www.ncbi.nlm.nih.gov/pubmed/24621683). It causes an [increase](https://www.ncbi.nlm.nih.gov/pubmed/29030599) of [one](https://www.ncbi.nlm.nih.gov/pubmed/21559498)[cigarette](https://www.ncbi.nlm.nih.gov/pubmed/23870182)[per day](https://www.ncbi.nlm.nih.gov/pubmed/20418890) and may also cause [smoking persistence](https://www.ncbi.nlm.nih.gov/pubmed/22290489). However, the C allele is protective, with a [decrease of 3.25 packs per year per C allele](https://www.ncbi.nlm.nih.gov/pubmed/21436384). Finally, his variant may cause an increase in [cocaine dependence](https://www.ncbi.nlm.nih.gov/pubmed/20485328).
    # What is the effect of C645T?
    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 What should I do about this?
    People should not smoke or use cocaine.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93" spans="1:3" x14ac:dyDescent="0.25">
      <c r="A193" s="26"/>
    </row>
    <row r="194" spans="1:3" x14ac:dyDescent="0.25">
      <c r="A194" s="26"/>
      <c r="C194" s="3" t="s">
        <v>30</v>
      </c>
    </row>
    <row r="195" spans="1:3" x14ac:dyDescent="0.25">
      <c r="A195" s="26"/>
    </row>
    <row r="196" spans="1:3" x14ac:dyDescent="0.25">
      <c r="A196" s="26"/>
      <c r="C196" s="3" t="str">
        <f>CONCATENATE( "    &lt;piechart percentage=",B183," /&gt;")</f>
        <v xml:space="preserve">    &lt;piechart percentage= /&gt;</v>
      </c>
    </row>
    <row r="197" spans="1:3" x14ac:dyDescent="0.25">
      <c r="A197" s="26"/>
      <c r="C197" s="3" t="str">
        <f>"  &lt;/Analysis&gt;"</f>
        <v xml:space="preserve">  &lt;/Analysis&gt;</v>
      </c>
    </row>
    <row r="198" spans="1:3" s="21" customFormat="1" x14ac:dyDescent="0.25">
      <c r="A198" s="28" t="s">
        <v>70</v>
      </c>
      <c r="B198" s="20" t="s">
        <v>85</v>
      </c>
      <c r="C198" s="21" t="str">
        <f>CONCATENATE("&lt;# ",B198," #&gt;")</f>
        <v>&lt;# Wild type #&gt;</v>
      </c>
    </row>
    <row r="199" spans="1:3" x14ac:dyDescent="0.25">
      <c r="A199" s="14" t="s">
        <v>21</v>
      </c>
      <c r="B199" s="15" t="str">
        <f>K44</f>
        <v>NC_000015.9:g.[78898723=];[78898723=]</v>
      </c>
    </row>
    <row r="200" spans="1:3" x14ac:dyDescent="0.25">
      <c r="A200" s="14" t="s">
        <v>72</v>
      </c>
      <c r="B200" s="15" t="str">
        <f>L44</f>
        <v>NC_000015.9:g.[78894339=];[78894339=]</v>
      </c>
      <c r="C200" s="3" t="str">
        <f>CONCATENATE("  &lt;Analysis name=",CHAR(34),B198,CHAR(34))</f>
        <v xml:space="preserve">  &lt;Analysis name="Wild type"</v>
      </c>
    </row>
    <row r="201" spans="1:3" x14ac:dyDescent="0.25">
      <c r="A201" s="26" t="s">
        <v>75</v>
      </c>
      <c r="B201" s="15" t="str">
        <f>CONCATENATE("Your ",B12," gene has no variants. A normal gene is referred to as a ",CHAR(34),"wild-type",CHAR(34)," gene.")</f>
        <v>Your CHRNA3 gene has no variants. A normal gene is referred to as a "wild-type" gene.</v>
      </c>
      <c r="C201" s="3" t="str">
        <f>CONCATENATE("            case={  variantCall ",CHAR(40),CHAR(34),B199,CHAR(34),CHAR(41))</f>
        <v xml:space="preserve">            case={  variantCall ("NC_000015.9:g.[78898723=];[78898723=]")</v>
      </c>
    </row>
    <row r="202" spans="1:3" x14ac:dyDescent="0.25">
      <c r="A202" s="26" t="s">
        <v>28</v>
      </c>
      <c r="C202" s="3" t="s">
        <v>71</v>
      </c>
    </row>
    <row r="203" spans="1:3" x14ac:dyDescent="0.25">
      <c r="A203" s="26" t="s">
        <v>73</v>
      </c>
      <c r="C203" s="3" t="str">
        <f>CONCATENATE("                    variantCall ",CHAR(40),CHAR(34),B200,CHAR(34),CHAR(41))</f>
        <v xml:space="preserve">                    variantCall ("NC_000015.9:g.[78894339=];[78894339=]")</v>
      </c>
    </row>
    <row r="204" spans="1:3" x14ac:dyDescent="0.25">
      <c r="A204" s="26"/>
      <c r="C204" s="3" t="str">
        <f>CONCATENATE("                  } &gt; ")</f>
        <v xml:space="preserve">                  } &gt; </v>
      </c>
    </row>
    <row r="205" spans="1:3" x14ac:dyDescent="0.25">
      <c r="A205" s="26"/>
    </row>
    <row r="206" spans="1:3" x14ac:dyDescent="0.25">
      <c r="A206" s="26"/>
      <c r="C206" s="3" t="s">
        <v>26</v>
      </c>
    </row>
    <row r="207" spans="1:3" x14ac:dyDescent="0.25">
      <c r="A207" s="14"/>
    </row>
    <row r="208" spans="1:3" x14ac:dyDescent="0.25">
      <c r="A208" s="14"/>
      <c r="C208" s="3" t="str">
        <f>CONCATENATE("    ",B201)</f>
        <v xml:space="preserve">    Your CHRNA3 gene has no variants. A normal gene is referred to as a "wild-type" gene.</v>
      </c>
    </row>
    <row r="209" spans="1:3" x14ac:dyDescent="0.25">
      <c r="A209" s="14"/>
    </row>
    <row r="210" spans="1:3" x14ac:dyDescent="0.25">
      <c r="A210" s="26"/>
      <c r="C210" s="3" t="s">
        <v>30</v>
      </c>
    </row>
    <row r="211" spans="1:3" x14ac:dyDescent="0.25">
      <c r="A211" s="26"/>
    </row>
    <row r="212" spans="1:3" x14ac:dyDescent="0.25">
      <c r="A212" s="26"/>
      <c r="C212" s="3" t="str">
        <f>CONCATENATE( "    &lt;piechart percentage=",B203," /&gt;")</f>
        <v xml:space="preserve">    &lt;piechart percentage= /&gt;</v>
      </c>
    </row>
    <row r="213" spans="1:3" x14ac:dyDescent="0.25">
      <c r="A213" s="26"/>
      <c r="C213" s="3" t="str">
        <f>"  &lt;/Analysis&gt;"</f>
        <v xml:space="preserve">  &lt;/Analysis&gt;</v>
      </c>
    </row>
    <row r="214" spans="1:3" s="21" customFormat="1" x14ac:dyDescent="0.25">
      <c r="A214" s="28" t="s">
        <v>70</v>
      </c>
      <c r="B214" s="20" t="s">
        <v>86</v>
      </c>
      <c r="C214" s="21" t="str">
        <f>CONCATENATE("&lt;# ",B214," #&gt;")</f>
        <v>&lt;# Unknown #&gt;</v>
      </c>
    </row>
    <row r="215" spans="1:3" x14ac:dyDescent="0.25">
      <c r="A215" s="14" t="s">
        <v>21</v>
      </c>
      <c r="B215" s="15" t="str">
        <f>K60</f>
        <v>[78898723C&gt;T]</v>
      </c>
    </row>
    <row r="216" spans="1:3" x14ac:dyDescent="0.25">
      <c r="A216" s="14" t="s">
        <v>72</v>
      </c>
      <c r="C216" s="3" t="str">
        <f>CONCATENATE("  &lt;Analysis name=",CHAR(34),B214,CHAR(34), " case=true&gt;")</f>
        <v xml:space="preserve">  &lt;Analysis name="Unknown" case=true&gt;</v>
      </c>
    </row>
    <row r="217" spans="1:3" x14ac:dyDescent="0.25">
      <c r="A217" s="26" t="s">
        <v>75</v>
      </c>
      <c r="B217" s="15" t="s">
        <v>31</v>
      </c>
    </row>
    <row r="218" spans="1:3" x14ac:dyDescent="0.25">
      <c r="A218" s="26" t="s">
        <v>73</v>
      </c>
      <c r="B218" s="15">
        <v>0</v>
      </c>
      <c r="C218" s="3" t="s">
        <v>26</v>
      </c>
    </row>
    <row r="219" spans="1:3" x14ac:dyDescent="0.25">
      <c r="A219" s="26"/>
    </row>
    <row r="220" spans="1:3" x14ac:dyDescent="0.25">
      <c r="A220" s="14"/>
      <c r="C220" s="3" t="str">
        <f>CONCATENATE("    ",B217)</f>
        <v xml:space="preserve">    The effect is unknown.</v>
      </c>
    </row>
    <row r="221" spans="1:3" x14ac:dyDescent="0.25">
      <c r="A221" s="14"/>
    </row>
    <row r="222" spans="1:3" x14ac:dyDescent="0.25">
      <c r="A222" s="14"/>
      <c r="C222" s="3" t="s">
        <v>30</v>
      </c>
    </row>
    <row r="223" spans="1:3" x14ac:dyDescent="0.25">
      <c r="A223" s="26"/>
    </row>
    <row r="224" spans="1:3" x14ac:dyDescent="0.25">
      <c r="A224" s="26"/>
      <c r="C224" s="3" t="str">
        <f>CONCATENATE( "    &lt;piechart percentage=",B218," /&gt;")</f>
        <v xml:space="preserve">    &lt;piechart percentage=0 /&gt;</v>
      </c>
    </row>
    <row r="225" spans="1:3" x14ac:dyDescent="0.25">
      <c r="A225" s="26"/>
      <c r="C225" s="3" t="str">
        <f>"  &lt;/Analysis&gt;"</f>
        <v xml:space="preserve">  &lt;/Analysis&gt;</v>
      </c>
    </row>
    <row r="226" spans="1:3" x14ac:dyDescent="0.25">
      <c r="A226" s="14"/>
      <c r="C226" s="31" t="s">
        <v>78</v>
      </c>
    </row>
    <row r="227" spans="1:3" s="21" customFormat="1" x14ac:dyDescent="0.25">
      <c r="A227" s="19"/>
      <c r="B227" s="20"/>
      <c r="C227" s="35"/>
    </row>
    <row r="228" spans="1:3" x14ac:dyDescent="0.25">
      <c r="A228" s="14" t="s">
        <v>79</v>
      </c>
      <c r="B228" s="30" t="s">
        <v>47</v>
      </c>
      <c r="C228" s="10" t="str">
        <f>CONCATENATE("&lt;# ",A228," ",B228," #&gt;")</f>
        <v>&lt;# Tissues brain D001921 bone marrow and immune system D007107  #&gt;</v>
      </c>
    </row>
    <row r="229" spans="1:3" x14ac:dyDescent="0.25">
      <c r="A229" s="14"/>
    </row>
    <row r="230" spans="1:3" x14ac:dyDescent="0.25">
      <c r="A230" s="14"/>
      <c r="B230" s="30" t="s">
        <v>166</v>
      </c>
      <c r="C230" s="31" t="str">
        <f>CONCATENATE("&lt;TopicBar ",B230," /&gt;")</f>
        <v>&lt;TopicBar mesh_D001921 mesh_D007107  /&gt;</v>
      </c>
    </row>
    <row r="231" spans="1:3" x14ac:dyDescent="0.25">
      <c r="A231" s="14"/>
    </row>
    <row r="232" spans="1:3" x14ac:dyDescent="0.25">
      <c r="A232" s="14" t="s">
        <v>32</v>
      </c>
      <c r="B232" s="30" t="s">
        <v>46</v>
      </c>
      <c r="C232" s="10" t="str">
        <f>CONCATENATE("&lt;# ",A232," ",B232," #&gt;")</f>
        <v>&lt;# Symptoms fatigue D005221 inflamation D007249 anxiety D001007 depression D003863 #&gt;</v>
      </c>
    </row>
    <row r="233" spans="1:3" x14ac:dyDescent="0.25">
      <c r="A233" s="14"/>
    </row>
    <row r="234" spans="1:3" x14ac:dyDescent="0.25">
      <c r="A234" s="14"/>
      <c r="B234" s="30" t="s">
        <v>167</v>
      </c>
      <c r="C234" s="31" t="str">
        <f>CONCATENATE("&lt;TopicBar ",B234," /&gt;")</f>
        <v>&lt;TopicBar mesh_D005221 mesh_D007249 mesh_D001007 mesh_D003863 /&gt;</v>
      </c>
    </row>
    <row r="235" spans="1:3" x14ac:dyDescent="0.25">
      <c r="A235" s="14"/>
      <c r="C235" s="31"/>
    </row>
    <row r="236" spans="1:3" x14ac:dyDescent="0.25">
      <c r="A236" s="14" t="s">
        <v>48</v>
      </c>
      <c r="B236" s="3" t="s">
        <v>49</v>
      </c>
      <c r="C236" s="10" t="str">
        <f>CONCATENATE("&lt;# ",A236," ",B236," #&gt;")</f>
        <v>&lt;# Diseases cancer;  COPD; anxiety disorder; ME/CFS; nicotine dependency; autoimmune disorder; Disease susceptibility - increased susceptibility to viral, bacterial, and parasitical infections; cocaine dependence; schizophrenia, Major depression; coronary heart disease; #&gt;</v>
      </c>
    </row>
    <row r="237" spans="1:3" x14ac:dyDescent="0.25">
      <c r="A237" s="14"/>
    </row>
    <row r="238" spans="1:3" x14ac:dyDescent="0.25">
      <c r="A238" s="14"/>
      <c r="B238" s="3" t="s">
        <v>168</v>
      </c>
      <c r="C238" s="31" t="str">
        <f>CONCATENATE("&lt;TopicBar ",B238," /&gt;")</f>
        <v>&lt;TopicBar mesh_D009369 mesh_D029424 mesh_D001008 mesh_D015673 mesh_D014029 mesh_D001327 mesh_D004198 mesh_D019970 mesh_D012559 mesh_D003866 mesh_D003327  /&gt;</v>
      </c>
    </row>
    <row r="239" spans="1:3" x14ac:dyDescent="0.25">
      <c r="A239" s="14"/>
    </row>
    <row r="240" spans="1:3" s="21" customFormat="1" x14ac:dyDescent="0.25">
      <c r="A240" s="28"/>
      <c r="B240" s="20"/>
    </row>
    <row r="241" spans="2:2" x14ac:dyDescent="0.25">
      <c r="B241" s="30"/>
    </row>
    <row r="243" spans="2:2" x14ac:dyDescent="0.25">
      <c r="B243" s="30"/>
    </row>
    <row r="245" spans="2:2" x14ac:dyDescent="0.25">
      <c r="B245" s="30"/>
    </row>
    <row r="247" spans="2:2" x14ac:dyDescent="0.25">
      <c r="B247" s="30"/>
    </row>
    <row r="249" spans="2:2" x14ac:dyDescent="0.25">
      <c r="B249" s="3"/>
    </row>
    <row r="251" spans="2:2" x14ac:dyDescent="0.25">
      <c r="B251" s="3"/>
    </row>
    <row r="923" spans="3:3" x14ac:dyDescent="0.25">
      <c r="C923" s="3" t="str">
        <f>CONCATENATE("    This variant is a change at a specific point in the ",B914," gene from ",B923," to ",B924," resulting in incorrect ",B917,"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9" spans="3:3" x14ac:dyDescent="0.25">
      <c r="C929" s="3" t="str">
        <f>CONCATENATE("    This variant is a change at a specific point in the ",B914," gene from ",B929," to ",B930," resulting in incorrect ",B917,"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9" spans="3:3" x14ac:dyDescent="0.25">
      <c r="C1059" s="3" t="str">
        <f>CONCATENATE("    This variant is a change at a specific point in the ",B1050," gene from ",B1059," to ",B1060," resulting in incorrect ",B1053,"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5" spans="3:3" x14ac:dyDescent="0.25">
      <c r="C1065" s="3" t="str">
        <f>CONCATENATE("    This variant is a change at a specific point in the ",B1050," gene from ",B1065," to ",B1066," resulting in incorrect ",B1053,"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7" spans="3:3" x14ac:dyDescent="0.25">
      <c r="C1467" s="3" t="str">
        <f>CONCATENATE("    This variant is a change at a specific point in the ",B1458," gene from ",B1467," to ",B1468," resulting in incorrect ",B1461,"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3" spans="3:3" x14ac:dyDescent="0.25">
      <c r="C1473" s="3" t="str">
        <f>CONCATENATE("    This variant is a change at a specific point in the ",B1458," gene from ",B1473," to ",B1474," resulting in incorrect ",B1461,"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3" spans="3:3" x14ac:dyDescent="0.25">
      <c r="C1603" s="3" t="str">
        <f>CONCATENATE("    This variant is a change at a specific point in the ",B1594," gene from ",B1603," to ",B1604," resulting in incorrect ",B1597,"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9" spans="3:3" x14ac:dyDescent="0.25">
      <c r="C1609" s="3" t="str">
        <f>CONCATENATE("    This variant is a change at a specific point in the ",B1594," gene from ",B1609," to ",B1610," resulting in incorrect ",B1597,"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9" spans="3:3" x14ac:dyDescent="0.25">
      <c r="C1739" s="3" t="str">
        <f>CONCATENATE("    This variant is a change at a specific point in the ",B1730," gene from ",B1739," to ",B1740," resulting in incorrect ",B1733,"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5" spans="3:3" x14ac:dyDescent="0.25">
      <c r="C1745" s="3" t="str">
        <f>CONCATENATE("    This variant is a change at a specific point in the ",B1730," gene from ",B1745," to ",B1746," resulting in incorrect ",B1733,"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5" spans="3:3" x14ac:dyDescent="0.25">
      <c r="C1875" s="3" t="str">
        <f>CONCATENATE("    This variant is a change at a specific point in the ",B1866," gene from ",B1875," to ",B1876," resulting in incorrect ",B1869,"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81" spans="3:3" x14ac:dyDescent="0.25">
      <c r="C1881" s="3" t="str">
        <f>CONCATENATE("    This variant is a change at a specific point in the ",B1866," gene from ",B1881," to ",B1882," resulting in incorrect ",B1869,"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1" spans="3:3" x14ac:dyDescent="0.25">
      <c r="C2011" s="3" t="str">
        <f>CONCATENATE("    This variant is a change at a specific point in the ",B2002," gene from ",B2011," to ",B2012," resulting in incorrect ",B2005,"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7" spans="3:3" x14ac:dyDescent="0.25">
      <c r="C2017" s="3" t="str">
        <f>CONCATENATE("    This variant is a change at a specific point in the ",B2002," gene from ",B2017," to ",B2018," resulting in incorrect ",B2005,"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7" spans="3:3" x14ac:dyDescent="0.25">
      <c r="C2147" s="3" t="str">
        <f>CONCATENATE("    This variant is a change at a specific point in the ",B2138," gene from ",B2147," to ",B2148," resulting in incorrect ",B2141,"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3" spans="3:3" x14ac:dyDescent="0.25">
      <c r="C2153" s="3" t="str">
        <f>CONCATENATE("    This variant is a change at a specific point in the ",B2138," gene from ",B2153," to ",B2154," resulting in incorrect ",B2141,"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3" spans="3:3" x14ac:dyDescent="0.25">
      <c r="C2283" s="3" t="str">
        <f>CONCATENATE("    This variant is a change at a specific point in the ",B2274," gene from ",B2283," to ",B2284," resulting in incorrect ",B2277,"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9" spans="3:3" x14ac:dyDescent="0.25">
      <c r="C2289" s="3" t="str">
        <f>CONCATENATE("    This variant is a change at a specific point in the ",B2274," gene from ",B2289," to ",B2290," resulting in incorrect ",B2277,"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9" spans="3:3" x14ac:dyDescent="0.25">
      <c r="C2419" s="3" t="str">
        <f>CONCATENATE("    This variant is a change at a specific point in the ",B2410," gene from ",B2419," to ",B2420," resulting in incorrect ",B2413,"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5" spans="3:3" x14ac:dyDescent="0.25">
      <c r="C2425" s="3" t="str">
        <f>CONCATENATE("    This variant is a change at a specific point in the ",B2410," gene from ",B2425," to ",B2426," resulting in incorrect ",B2413,"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C2440-28DA-4D36-A15C-21FEC0AC20D4}">
  <dimension ref="A1:AJ2425"/>
  <sheetViews>
    <sheetView tabSelected="1" topLeftCell="A34" workbookViewId="0">
      <selection activeCell="B245" sqref="B245:B253"/>
    </sheetView>
  </sheetViews>
  <sheetFormatPr defaultRowHeight="15.75" x14ac:dyDescent="0.25"/>
  <cols>
    <col min="1" max="1" width="16.28515625" style="3" customWidth="1"/>
    <col min="2" max="2" width="42.7109375" style="15" customWidth="1"/>
    <col min="3" max="6" width="9.140625" style="3"/>
    <col min="7" max="7" width="10.28515625" style="3" bestFit="1" customWidth="1"/>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8" t="s">
        <v>0</v>
      </c>
      <c r="B1" s="9" t="s">
        <v>1</v>
      </c>
      <c r="C1" s="8" t="s">
        <v>2</v>
      </c>
      <c r="H1" s="10"/>
      <c r="I1" s="11"/>
      <c r="J1" s="10"/>
      <c r="K1" s="10"/>
      <c r="L1" s="10"/>
      <c r="Y1" s="12"/>
      <c r="AC1" s="12"/>
      <c r="AF1" s="13"/>
      <c r="AG1" s="13"/>
      <c r="AJ1" s="13"/>
    </row>
    <row r="2" spans="1:36" x14ac:dyDescent="0.25">
      <c r="A2" s="14" t="s">
        <v>35</v>
      </c>
      <c r="B2" s="2" t="s">
        <v>299</v>
      </c>
      <c r="C2" s="3" t="str">
        <f>CONCATENATE("&lt;",A2," ",B2," /&gt;")</f>
        <v>&lt;Gene_Name CRHR1 /&gt;</v>
      </c>
      <c r="D2" s="15"/>
      <c r="H2" s="10"/>
      <c r="I2" s="11"/>
      <c r="J2" s="10"/>
      <c r="K2" s="10"/>
      <c r="L2" s="10"/>
      <c r="Y2" s="12"/>
      <c r="AC2" s="12"/>
      <c r="AF2" s="13"/>
      <c r="AG2" s="13"/>
      <c r="AJ2" s="13"/>
    </row>
    <row r="3" spans="1:36" x14ac:dyDescent="0.25">
      <c r="A3" s="8"/>
      <c r="B3" s="2"/>
      <c r="C3" s="8"/>
      <c r="D3" s="15"/>
      <c r="H3" s="10"/>
      <c r="I3" s="11"/>
      <c r="J3" s="10"/>
      <c r="K3" s="10"/>
      <c r="L3" s="10"/>
      <c r="Y3" s="12"/>
      <c r="AC3" s="12"/>
      <c r="AF3" s="13"/>
      <c r="AG3" s="13"/>
      <c r="AJ3" s="13"/>
    </row>
    <row r="4" spans="1:36" ht="17.25" x14ac:dyDescent="0.3">
      <c r="A4" s="14" t="s">
        <v>37</v>
      </c>
      <c r="B4" s="4" t="s">
        <v>301</v>
      </c>
      <c r="C4" s="3" t="str">
        <f>CONCATENATE("&lt;",A4," ",B4," /&gt;")</f>
        <v>&lt;GeneName_full Corticotropin-releasing factor receptor 1 /&gt;</v>
      </c>
      <c r="D4" s="15"/>
      <c r="H4" s="10"/>
      <c r="I4" s="11"/>
      <c r="J4" s="10"/>
      <c r="K4" s="10"/>
      <c r="L4" s="10"/>
      <c r="Y4" s="12"/>
      <c r="AC4" s="12"/>
      <c r="AF4" s="13"/>
      <c r="AG4" s="13"/>
      <c r="AJ4" s="13"/>
    </row>
    <row r="5" spans="1:36" x14ac:dyDescent="0.25">
      <c r="A5" s="14"/>
      <c r="B5" s="9"/>
      <c r="C5" s="8"/>
      <c r="D5" s="15"/>
      <c r="H5" s="10"/>
      <c r="I5" s="11"/>
      <c r="J5" s="10"/>
      <c r="K5" s="10"/>
      <c r="L5" s="10"/>
      <c r="Y5" s="12"/>
      <c r="AC5" s="12"/>
      <c r="AF5" s="13"/>
      <c r="AG5" s="13"/>
      <c r="AJ5" s="13"/>
    </row>
    <row r="6" spans="1:36" x14ac:dyDescent="0.25">
      <c r="A6" s="14"/>
      <c r="B6" s="3"/>
      <c r="C6" s="3" t="str">
        <f>CONCATENATE("# What does the ",B2," gene do?")</f>
        <v># What does the CRHR1 gene do?</v>
      </c>
      <c r="H6" s="10"/>
      <c r="I6" s="11"/>
      <c r="J6" s="10"/>
      <c r="K6" s="10"/>
      <c r="L6" s="10"/>
      <c r="Y6" s="16"/>
      <c r="Z6" s="16"/>
      <c r="AA6" s="16"/>
      <c r="AC6" s="16"/>
      <c r="AF6" s="13"/>
      <c r="AJ6" s="13"/>
    </row>
    <row r="7" spans="1:36" x14ac:dyDescent="0.25">
      <c r="A7" s="14"/>
      <c r="I7" s="17"/>
      <c r="Y7" s="16"/>
      <c r="Z7" s="16"/>
      <c r="AA7" s="16"/>
      <c r="AC7" s="16"/>
      <c r="AF7" s="13"/>
      <c r="AJ7" s="13"/>
    </row>
    <row r="8" spans="1:36" ht="17.25" x14ac:dyDescent="0.3">
      <c r="A8" s="14" t="s">
        <v>5</v>
      </c>
      <c r="B8" s="4" t="s">
        <v>300</v>
      </c>
      <c r="C8" s="3" t="str">
        <f>CONCATENATE(B8," This gene is located on chromosome ",B9,".")</f>
        <v xml:space="preserve">    [CRHR1](http://www.uniprot.org/uniprot/P34998) encodes a protein that binds to a neurotransmitter for hormones. These hormones are necessary for normal embryonic development and act in the hypothalamic-pituitary-adrenal (HPA) pathway, controlling [stress, reproduction, immune response, and obesity](https://www.ncbi.nlm.nih.gov/gene/1394). CRHR1 also helps activate enzymes to help transfer the effects of hormones into cells and activate proteins. Variants in CRHR1 have been linked with [depression](http://www.disgenet.org/web/DisGeNET/menu/browser/tab8a?0&amp;pview=default&amp;pf=http://www.disgenet.org/web/DisGeNET%3Fdata/genes::1394::de&amp;pf=/data/sources::ALL::de), [Parkinson’s](https://www.targetvalidation.org/target/ENSG00000263715/associations?view=t:table), and [ME](https://www.ncbi.nlm.nih.gov/pubmed/26063326)/[CFS](https://www.ncbi.nlm.nih.gov/pubmed/18986552).  This gene is located on chromosome 17.</v>
      </c>
      <c r="I8" s="17"/>
      <c r="X8" s="18"/>
      <c r="Y8" s="16"/>
      <c r="Z8" s="16"/>
      <c r="AA8" s="16"/>
      <c r="AC8" s="16"/>
    </row>
    <row r="9" spans="1:36" x14ac:dyDescent="0.25">
      <c r="A9" s="14" t="s">
        <v>6</v>
      </c>
      <c r="B9" s="2">
        <v>17</v>
      </c>
      <c r="I9" s="17"/>
      <c r="Y9" s="16"/>
      <c r="Z9" s="16"/>
      <c r="AA9" s="16"/>
      <c r="AC9" s="16"/>
    </row>
    <row r="10" spans="1:36" x14ac:dyDescent="0.25">
      <c r="A10" s="14" t="s">
        <v>7</v>
      </c>
      <c r="B10" s="2" t="s">
        <v>40</v>
      </c>
      <c r="Y10" s="12"/>
      <c r="AC10" s="16"/>
    </row>
    <row r="11" spans="1:36" s="21" customFormat="1" ht="16.5" thickBot="1" x14ac:dyDescent="0.3">
      <c r="A11" s="19"/>
      <c r="B11" s="20"/>
    </row>
    <row r="12" spans="1:36" ht="16.5" thickBot="1" x14ac:dyDescent="0.3">
      <c r="A12" s="14" t="s">
        <v>3</v>
      </c>
      <c r="B12" s="2" t="s">
        <v>299</v>
      </c>
      <c r="C12" s="3" t="str">
        <f>CONCATENATE("&lt;GeneMap name= ",CHAR(34),B12,CHAR(34)," interval=",CHAR(34),B13,"=",CHAR(34),"&gt;")</f>
        <v>&lt;GeneMap name= "CRHR1" interval="NC_000017.10:g.43697710_43913194="&gt;</v>
      </c>
      <c r="J12" s="23"/>
      <c r="K12" s="23"/>
      <c r="L12" s="23"/>
      <c r="M12" s="23"/>
      <c r="N12" s="23"/>
      <c r="O12" s="24"/>
      <c r="P12" s="25"/>
      <c r="Q12" s="24"/>
      <c r="R12" s="24"/>
      <c r="S12" s="25"/>
      <c r="T12" s="25"/>
      <c r="U12" s="24"/>
      <c r="V12" s="24"/>
      <c r="W12" s="25"/>
      <c r="X12" s="25"/>
      <c r="Y12" s="25"/>
      <c r="Z12" s="25"/>
    </row>
    <row r="13" spans="1:36" x14ac:dyDescent="0.25">
      <c r="A13" s="14" t="s">
        <v>9</v>
      </c>
      <c r="B13" s="2" t="s">
        <v>302</v>
      </c>
      <c r="J13" s="15"/>
      <c r="K13" s="15"/>
      <c r="L13" s="15"/>
      <c r="M13" s="15"/>
      <c r="N13" s="15"/>
      <c r="O13" s="15"/>
      <c r="P13" s="15"/>
      <c r="Q13" s="15"/>
      <c r="R13" s="15"/>
      <c r="S13" s="15"/>
      <c r="T13" s="15"/>
      <c r="U13" s="15"/>
      <c r="V13" s="15"/>
      <c r="W13" s="15"/>
      <c r="X13" s="15"/>
      <c r="Y13" s="15"/>
      <c r="Z13" s="15"/>
    </row>
    <row r="14" spans="1:36" x14ac:dyDescent="0.25">
      <c r="A14" s="14" t="s">
        <v>11</v>
      </c>
      <c r="B14" s="2" t="s">
        <v>12</v>
      </c>
      <c r="C14" s="3" t="str">
        <f>CONCATENATE("# What are some common variants of ",B12,"?")</f>
        <v># What are some common variants of CRHR1?</v>
      </c>
      <c r="J14" s="15"/>
      <c r="K14" s="15"/>
      <c r="L14" s="15"/>
      <c r="M14" s="15"/>
      <c r="N14" s="15"/>
      <c r="O14" s="15"/>
      <c r="P14" s="15"/>
      <c r="Q14" s="15"/>
      <c r="R14" s="15"/>
      <c r="S14" s="15"/>
      <c r="T14" s="15"/>
      <c r="U14" s="15"/>
      <c r="V14" s="15"/>
      <c r="W14" s="15"/>
      <c r="X14" s="15"/>
      <c r="Y14" s="15"/>
      <c r="Z14" s="15"/>
    </row>
    <row r="15" spans="1:36" x14ac:dyDescent="0.25">
      <c r="A15" s="14"/>
      <c r="B15" s="2"/>
      <c r="C15" s="3" t="s">
        <v>13</v>
      </c>
      <c r="J15" s="15"/>
      <c r="K15" s="15"/>
      <c r="L15" s="15"/>
      <c r="M15" s="15"/>
      <c r="N15" s="15"/>
      <c r="O15" s="15"/>
      <c r="P15" s="15"/>
      <c r="Q15" s="15"/>
      <c r="R15" s="15"/>
      <c r="S15" s="15"/>
      <c r="T15" s="15"/>
      <c r="U15" s="15"/>
      <c r="V15" s="15"/>
      <c r="W15" s="15"/>
      <c r="X15" s="15"/>
      <c r="Y15" s="15"/>
      <c r="Z15" s="15"/>
    </row>
    <row r="16" spans="1:36" x14ac:dyDescent="0.25">
      <c r="B16" s="2"/>
      <c r="C16" s="3" t="str">
        <f>CONCATENATE("A variant is a change at a specific point in the gene from the expected nucleotide sequence to another, resulting in incorrect ", B10," function. There are ",B14," common variants in ",B12,": ",B22," and ",B31,".")</f>
        <v>A variant is a change at a specific point in the gene from the expected nucleotide sequence to another, resulting in incorrect protein function. There are two common variants in CRHR1: [A45815234G](https://www.ncbi.nlm.nih.gov/projects/SNP/snp_ref.cgi?rs=242940) and [G45825631A](https://www.ncbi.nlm.nih.gov/projects/SNP/snp_ref.cgi?rs=1396862).</v>
      </c>
      <c r="J16" s="15"/>
      <c r="K16" s="15"/>
      <c r="L16" s="15"/>
      <c r="M16" s="15"/>
      <c r="N16" s="15"/>
      <c r="O16" s="15"/>
      <c r="P16" s="15"/>
      <c r="Q16" s="15"/>
      <c r="R16" s="15"/>
      <c r="S16" s="15"/>
      <c r="T16" s="15"/>
      <c r="U16" s="15"/>
      <c r="V16" s="15"/>
      <c r="W16" s="15"/>
      <c r="X16" s="15"/>
      <c r="Y16" s="15"/>
      <c r="Z16" s="15"/>
    </row>
    <row r="17" spans="1:26" x14ac:dyDescent="0.25">
      <c r="B17" s="2"/>
      <c r="J17" s="15"/>
      <c r="K17" s="15"/>
      <c r="L17" s="15"/>
      <c r="M17" s="15"/>
      <c r="N17" s="15"/>
      <c r="O17" s="15"/>
      <c r="P17" s="15"/>
      <c r="Q17" s="15"/>
      <c r="R17" s="15"/>
      <c r="S17" s="15"/>
      <c r="T17" s="15"/>
      <c r="U17" s="15"/>
      <c r="V17" s="15"/>
      <c r="W17" s="15"/>
      <c r="X17" s="15"/>
      <c r="Y17" s="15"/>
      <c r="Z17" s="15"/>
    </row>
    <row r="18" spans="1:26" x14ac:dyDescent="0.25">
      <c r="A18" s="14" t="s">
        <v>14</v>
      </c>
      <c r="B18" s="22" t="s">
        <v>310</v>
      </c>
      <c r="C18" s="3" t="str">
        <f>CONCATENATE("&lt;# ",B19," #&gt;")</f>
        <v>&lt;# A45815234G #&gt;</v>
      </c>
      <c r="J18" s="15"/>
      <c r="K18" s="15"/>
      <c r="L18" s="15"/>
      <c r="M18" s="15"/>
      <c r="N18" s="15"/>
      <c r="O18" s="15"/>
      <c r="P18" s="15"/>
      <c r="Q18" s="15"/>
      <c r="R18" s="15"/>
      <c r="S18" s="15"/>
      <c r="T18" s="15"/>
      <c r="U18" s="15"/>
      <c r="V18" s="15"/>
      <c r="W18" s="15"/>
      <c r="X18" s="15"/>
      <c r="Y18" s="15"/>
      <c r="Z18" s="15"/>
    </row>
    <row r="19" spans="1:26" x14ac:dyDescent="0.25">
      <c r="A19" s="26" t="s">
        <v>15</v>
      </c>
      <c r="B19" s="29" t="s">
        <v>303</v>
      </c>
      <c r="J19" s="6"/>
      <c r="K19" s="15"/>
      <c r="L19" s="15"/>
      <c r="M19" s="15"/>
      <c r="N19" s="15"/>
      <c r="O19" s="15"/>
      <c r="P19" s="15"/>
      <c r="Q19" s="15"/>
      <c r="R19" s="15"/>
      <c r="S19" s="15"/>
      <c r="T19" s="15"/>
      <c r="U19" s="15"/>
      <c r="V19" s="15"/>
      <c r="W19" s="15"/>
      <c r="X19" s="15"/>
      <c r="Y19" s="15"/>
      <c r="Z19" s="15"/>
    </row>
    <row r="20" spans="1:26" x14ac:dyDescent="0.25">
      <c r="A20" s="26" t="s">
        <v>17</v>
      </c>
      <c r="B20" s="15" t="s">
        <v>24</v>
      </c>
      <c r="C20" s="3" t="str">
        <f>CONCATENATE("  &lt;Variant hgvs=",CHAR(34),B18,CHAR(34)," name=",CHAR(34),B19,CHAR(34),"&gt; ")</f>
        <v xml:space="preserve">  &lt;Variant hgvs="NC_000017.10:g.43892600A&gt;G" name="A45815234G"&gt; </v>
      </c>
      <c r="J20" s="2"/>
      <c r="K20" s="15"/>
      <c r="L20" s="15"/>
      <c r="M20" s="15"/>
      <c r="N20" s="15"/>
      <c r="O20" s="15"/>
      <c r="P20" s="15"/>
      <c r="Q20" s="15"/>
      <c r="R20" s="15"/>
      <c r="S20" s="15"/>
      <c r="T20" s="15"/>
      <c r="U20" s="15"/>
      <c r="V20" s="15"/>
      <c r="W20" s="15"/>
      <c r="X20" s="15"/>
      <c r="Y20" s="15"/>
      <c r="Z20" s="15"/>
    </row>
    <row r="21" spans="1:26" x14ac:dyDescent="0.25">
      <c r="A21" s="26" t="s">
        <v>19</v>
      </c>
      <c r="B21" s="15" t="s">
        <v>44</v>
      </c>
      <c r="H21" s="15"/>
      <c r="I21" s="15"/>
      <c r="J21" s="2"/>
      <c r="K21" s="15"/>
      <c r="L21" s="15"/>
      <c r="M21" s="15"/>
      <c r="N21" s="15"/>
      <c r="O21" s="15"/>
      <c r="P21" s="15"/>
      <c r="Q21" s="15"/>
      <c r="R21" s="15"/>
      <c r="S21" s="15"/>
      <c r="T21" s="15"/>
      <c r="U21" s="15"/>
      <c r="V21" s="15"/>
      <c r="W21" s="15"/>
      <c r="X21" s="15"/>
      <c r="Y21" s="15"/>
      <c r="Z21" s="15"/>
    </row>
    <row r="22" spans="1:26" x14ac:dyDescent="0.25">
      <c r="A22" s="26" t="s">
        <v>21</v>
      </c>
      <c r="B22" s="15" t="s">
        <v>304</v>
      </c>
      <c r="C22" s="3" t="str">
        <f>CONCATENATE("    Instead of ",B20,", there is a ",B21," nucleotide.")</f>
        <v xml:space="preserve">    Instead of adenine (A), there is a guanine (G) nucleotide.</v>
      </c>
      <c r="H22" s="15"/>
      <c r="I22" s="15"/>
      <c r="J22" s="7"/>
      <c r="K22" s="15"/>
      <c r="L22" s="15"/>
      <c r="M22" s="15"/>
      <c r="N22" s="15"/>
      <c r="O22" s="15"/>
      <c r="P22" s="15"/>
      <c r="Q22" s="15"/>
      <c r="R22" s="15"/>
      <c r="S22" s="15"/>
      <c r="T22" s="15"/>
      <c r="U22" s="15"/>
      <c r="V22" s="15"/>
      <c r="W22" s="15"/>
      <c r="X22" s="15"/>
      <c r="Y22" s="15"/>
      <c r="Z22" s="15"/>
    </row>
    <row r="23" spans="1:26" x14ac:dyDescent="0.25">
      <c r="A23" s="3" t="s">
        <v>65</v>
      </c>
      <c r="B23" s="22" t="s">
        <v>249</v>
      </c>
      <c r="H23" s="2"/>
      <c r="I23" s="2"/>
      <c r="J23" s="15"/>
      <c r="K23" s="15"/>
      <c r="L23" s="15"/>
      <c r="M23" s="15"/>
      <c r="N23" s="15"/>
      <c r="O23" s="15"/>
      <c r="P23" s="15"/>
      <c r="Q23" s="15"/>
      <c r="R23" s="15"/>
      <c r="S23" s="15"/>
      <c r="T23" s="15"/>
      <c r="U23" s="15"/>
      <c r="V23" s="15"/>
      <c r="W23" s="15"/>
      <c r="X23" s="15"/>
      <c r="Y23" s="15"/>
      <c r="Z23" s="15"/>
    </row>
    <row r="24" spans="1:26" x14ac:dyDescent="0.25">
      <c r="A24" s="3" t="s">
        <v>51</v>
      </c>
      <c r="B24" s="7" t="s">
        <v>311</v>
      </c>
      <c r="C24" s="3" t="str">
        <f>"  &lt;/Variant&gt;"</f>
        <v xml:space="preserve">  &lt;/Variant&gt;</v>
      </c>
      <c r="H24" s="2"/>
      <c r="I24" s="2"/>
      <c r="J24" s="15"/>
      <c r="K24" s="15"/>
      <c r="L24" s="15"/>
      <c r="M24" s="15"/>
      <c r="N24" s="15"/>
      <c r="O24" s="15"/>
      <c r="P24" s="15"/>
      <c r="Q24" s="15"/>
      <c r="R24" s="15"/>
      <c r="S24" s="15"/>
      <c r="T24" s="15"/>
      <c r="U24" s="15"/>
      <c r="V24" s="15"/>
      <c r="W24" s="15"/>
      <c r="X24" s="15"/>
      <c r="Y24" s="15"/>
      <c r="Z24" s="15"/>
    </row>
    <row r="25" spans="1:26" x14ac:dyDescent="0.25">
      <c r="A25" s="26" t="s">
        <v>52</v>
      </c>
      <c r="B25" s="7" t="s">
        <v>312</v>
      </c>
      <c r="J25" s="6"/>
    </row>
    <row r="26" spans="1:26" x14ac:dyDescent="0.25">
      <c r="B26" s="3"/>
      <c r="C26" s="3" t="str">
        <f>CONCATENATE("&lt;# ",B28," #&gt;")</f>
        <v>&lt;# G45825631A #&gt;</v>
      </c>
      <c r="J26" s="6"/>
    </row>
    <row r="27" spans="1:26" x14ac:dyDescent="0.25">
      <c r="A27" s="14" t="s">
        <v>14</v>
      </c>
      <c r="B27" s="22" t="s">
        <v>307</v>
      </c>
      <c r="J27" s="2"/>
    </row>
    <row r="28" spans="1:26" x14ac:dyDescent="0.25">
      <c r="A28" s="26" t="s">
        <v>15</v>
      </c>
      <c r="B28" s="15" t="s">
        <v>305</v>
      </c>
      <c r="C28" s="3" t="str">
        <f>CONCATENATE("  &lt;Variant hgvs=",CHAR(34),B27,CHAR(34)," name=",CHAR(34),B28,CHAR(34),"&gt; ")</f>
        <v xml:space="preserve">  &lt;Variant hgvs="NC_000017.10:g.43902997G&gt;A" name="G45825631A"&gt; </v>
      </c>
      <c r="J28" s="2"/>
    </row>
    <row r="29" spans="1:26" x14ac:dyDescent="0.25">
      <c r="A29" s="26" t="s">
        <v>17</v>
      </c>
      <c r="B29" s="15" t="s">
        <v>44</v>
      </c>
      <c r="J29" s="7"/>
    </row>
    <row r="30" spans="1:26" x14ac:dyDescent="0.25">
      <c r="A30" s="26" t="s">
        <v>19</v>
      </c>
      <c r="B30" s="15" t="s">
        <v>24</v>
      </c>
      <c r="C30" s="3" t="str">
        <f>CONCATENATE("    Instead of ",B29,", there is an ",B30," nucleotide.")</f>
        <v xml:space="preserve">    Instead of guanine (G), there is an adenine (A) nucleotide.</v>
      </c>
    </row>
    <row r="31" spans="1:26" ht="16.5" thickBot="1" x14ac:dyDescent="0.3">
      <c r="A31" s="26" t="s">
        <v>21</v>
      </c>
      <c r="B31" s="15" t="s">
        <v>306</v>
      </c>
      <c r="J31" s="7"/>
    </row>
    <row r="32" spans="1:26" ht="16.5" thickBot="1" x14ac:dyDescent="0.3">
      <c r="A32" s="3" t="s">
        <v>65</v>
      </c>
      <c r="B32" s="22" t="s">
        <v>249</v>
      </c>
      <c r="C32" s="3" t="str">
        <f>"  &lt;/Variant&gt;"</f>
        <v xml:space="preserve">  &lt;/Variant&gt;</v>
      </c>
      <c r="J32" s="7"/>
      <c r="L32" s="46"/>
    </row>
    <row r="33" spans="1:12" ht="16.5" thickBot="1" x14ac:dyDescent="0.3">
      <c r="A33" s="3" t="s">
        <v>51</v>
      </c>
      <c r="B33" s="3" t="s">
        <v>308</v>
      </c>
      <c r="L33" s="45"/>
    </row>
    <row r="34" spans="1:12" x14ac:dyDescent="0.25">
      <c r="A34" s="26" t="s">
        <v>52</v>
      </c>
      <c r="B34" s="7" t="s">
        <v>309</v>
      </c>
      <c r="C34" s="3" t="s">
        <v>61</v>
      </c>
    </row>
    <row r="35" spans="1:12" s="21" customFormat="1" x14ac:dyDescent="0.25">
      <c r="A35" s="28"/>
      <c r="B35" s="20"/>
    </row>
    <row r="36" spans="1:12" s="10" customFormat="1" ht="16.5" thickBot="1" x14ac:dyDescent="0.3">
      <c r="A36" s="32"/>
      <c r="B36" s="33"/>
      <c r="C36" s="34" t="s">
        <v>62</v>
      </c>
    </row>
    <row r="37" spans="1:12" s="10" customFormat="1" ht="16.5" thickBot="1" x14ac:dyDescent="0.3">
      <c r="A37" s="32"/>
      <c r="B37" s="33"/>
      <c r="K37" s="46" t="s">
        <v>313</v>
      </c>
      <c r="L37" s="45" t="s">
        <v>314</v>
      </c>
    </row>
    <row r="38" spans="1:12" s="21" customFormat="1" x14ac:dyDescent="0.25">
      <c r="A38" s="28" t="s">
        <v>70</v>
      </c>
      <c r="B38" s="20" t="str">
        <f>CONCATENATE(B19," (A;G)")</f>
        <v>A45815234G (A;G)</v>
      </c>
      <c r="C38" s="21" t="str">
        <f>CONCATENATE("&lt;# ",B38," #&gt;")</f>
        <v>&lt;# A45815234G (A;G) #&gt;</v>
      </c>
      <c r="K38" s="21" t="str">
        <f>B19</f>
        <v>A45815234G</v>
      </c>
      <c r="L38" s="21" t="str">
        <f>B28</f>
        <v>G45825631A</v>
      </c>
    </row>
    <row r="39" spans="1:12" s="10" customFormat="1" x14ac:dyDescent="0.25">
      <c r="A39" s="3" t="s">
        <v>21</v>
      </c>
      <c r="B39" s="29" t="str">
        <f>K42</f>
        <v>NC_000017.10:g.[43892600A&gt;G];[43892600=]</v>
      </c>
      <c r="J39" s="3"/>
      <c r="K39" s="22" t="str">
        <f>B23</f>
        <v>NC_000017.10:g.</v>
      </c>
      <c r="L39" s="22" t="str">
        <f>B32</f>
        <v>NC_000017.10:g.</v>
      </c>
    </row>
    <row r="40" spans="1:12" x14ac:dyDescent="0.25">
      <c r="A40" s="3" t="s">
        <v>72</v>
      </c>
      <c r="B40" s="29" t="str">
        <f>L44</f>
        <v>NC_000017.10:g.[43902997=];[43902997=]</v>
      </c>
      <c r="C40" s="3" t="str">
        <f>CONCATENATE("  &lt;Analysis name=",CHAR(34),B38,CHAR(34))</f>
        <v xml:space="preserve">  &lt;Analysis name="A45815234G (A;G)"</v>
      </c>
      <c r="J40" s="3" t="s">
        <v>21</v>
      </c>
      <c r="K40" s="15" t="str">
        <f>B24</f>
        <v>[43892600A&gt;G]</v>
      </c>
      <c r="L40" s="22" t="str">
        <f>B33</f>
        <v>[43902997G&gt;A]</v>
      </c>
    </row>
    <row r="41" spans="1:12" x14ac:dyDescent="0.25">
      <c r="A41" s="5" t="s">
        <v>27</v>
      </c>
      <c r="B41" s="2" t="str">
        <f>CONCATENATE("People with this variant have one copy of the ",B22," variant. This substitution of a single nucleotide is known as a missense mutation.")</f>
        <v>People with this variant have one copy of the [A45815234G](https://www.ncbi.nlm.nih.gov/projects/SNP/snp_ref.cgi?rs=242940) variant. This substitution of a single nucleotide is known as a missense mutation.</v>
      </c>
      <c r="C41" s="3" t="str">
        <f>CONCATENATE("            case={  variantCall ",CHAR(40),CHAR(34),K42,CHAR(34),CHAR(41))</f>
        <v xml:space="preserve">            case={  variantCall ("NC_000017.10:g.[43892600A&gt;G];[43892600=]")</v>
      </c>
      <c r="J41" s="3" t="s">
        <v>52</v>
      </c>
      <c r="K41" s="15" t="str">
        <f>B25</f>
        <v>[43892600=]</v>
      </c>
      <c r="L41" s="22" t="str">
        <f>B34</f>
        <v>[43902997=]</v>
      </c>
    </row>
    <row r="42" spans="1:12" x14ac:dyDescent="0.25">
      <c r="A42" s="1" t="s">
        <v>28</v>
      </c>
      <c r="B42" s="29" t="s">
        <v>159</v>
      </c>
      <c r="C42" s="3" t="s">
        <v>71</v>
      </c>
      <c r="J42" s="3" t="s">
        <v>63</v>
      </c>
      <c r="K42" s="15" t="str">
        <f>CONCATENATE(K39,K40,";",K41)</f>
        <v>NC_000017.10:g.[43892600A&gt;G];[43892600=]</v>
      </c>
      <c r="L42" s="15" t="str">
        <f>CONCATENATE(L39,L40,";",L41)</f>
        <v>NC_000017.10:g.[43902997G&gt;A];[43902997=]</v>
      </c>
    </row>
    <row r="43" spans="1:12" x14ac:dyDescent="0.25">
      <c r="A43" s="3" t="s">
        <v>73</v>
      </c>
      <c r="B43" s="29">
        <f>K45</f>
        <v>48.4</v>
      </c>
      <c r="C43" s="3" t="str">
        <f>CONCATENATE("                    variantCall ",CHAR(40),CHAR(34),L44,CHAR(34),CHAR(41))</f>
        <v xml:space="preserve">                    variantCall ("NC_000017.10:g.[43902997=];[43902997=]")</v>
      </c>
      <c r="J43" s="3" t="s">
        <v>64</v>
      </c>
      <c r="K43" s="15" t="str">
        <f>CONCATENATE(K39,K40,";",K40)</f>
        <v>NC_000017.10:g.[43892600A&gt;G];[43892600A&gt;G]</v>
      </c>
      <c r="L43" s="15" t="str">
        <f>CONCATENATE(L39,L40,";",L40)</f>
        <v>NC_000017.10:g.[43902997G&gt;A];[43902997G&gt;A]</v>
      </c>
    </row>
    <row r="44" spans="1:12" x14ac:dyDescent="0.25">
      <c r="C44" s="3" t="str">
        <f>CONCATENATE("                  } &gt; ")</f>
        <v xml:space="preserve">                  } &gt; </v>
      </c>
      <c r="J44" s="3" t="s">
        <v>52</v>
      </c>
      <c r="K44" s="2" t="str">
        <f>CONCATENATE(K39,K41,";",K41)</f>
        <v>NC_000017.10:g.[43892600=];[43892600=]</v>
      </c>
      <c r="L44" s="2" t="str">
        <f>CONCATENATE(L39,L41,";",L41)</f>
        <v>NC_000017.10:g.[43902997=];[43902997=]</v>
      </c>
    </row>
    <row r="45" spans="1:12" x14ac:dyDescent="0.25">
      <c r="J45" s="3" t="s">
        <v>67</v>
      </c>
      <c r="K45" s="15">
        <v>48.4</v>
      </c>
      <c r="L45" s="15">
        <v>15.7</v>
      </c>
    </row>
    <row r="46" spans="1:12" x14ac:dyDescent="0.25">
      <c r="A46" s="14"/>
      <c r="C46" s="3" t="s">
        <v>26</v>
      </c>
      <c r="J46" s="3" t="s">
        <v>68</v>
      </c>
      <c r="K46" s="15">
        <v>35.5</v>
      </c>
      <c r="L46" s="15">
        <v>4.7</v>
      </c>
    </row>
    <row r="47" spans="1:12" x14ac:dyDescent="0.25">
      <c r="A47" s="26"/>
      <c r="J47" s="3" t="s">
        <v>69</v>
      </c>
      <c r="K47" s="15">
        <v>16.3</v>
      </c>
      <c r="L47" s="15">
        <v>79.599999999999994</v>
      </c>
    </row>
    <row r="48" spans="1:12" x14ac:dyDescent="0.25">
      <c r="A48" s="14"/>
      <c r="C48" s="3" t="str">
        <f>CONCATENATE("    ",B41)</f>
        <v xml:space="preserve">    People with this variant have one copy of the [A45815234G](https://www.ncbi.nlm.nih.gov/projects/SNP/snp_ref.cgi?rs=242940) variant. This substitution of a single nucleotide is known as a missense mutation.</v>
      </c>
    </row>
    <row r="49" spans="1:12" x14ac:dyDescent="0.25">
      <c r="A49" s="14"/>
    </row>
    <row r="50" spans="1:12" x14ac:dyDescent="0.25">
      <c r="A50" s="26"/>
      <c r="C50" s="3" t="s">
        <v>29</v>
      </c>
    </row>
    <row r="51" spans="1:12" x14ac:dyDescent="0.25">
      <c r="A51" s="14"/>
    </row>
    <row r="52" spans="1:12" x14ac:dyDescent="0.25">
      <c r="A52" s="14"/>
      <c r="C52" s="3" t="str">
        <f>CONCATENATE(B42)</f>
        <v xml:space="preserve">    The CHRNA3 protein plays a role in developing nicotine dependence and regulating nicotine receptor proliferation and destruction. Incorrect formation of the nicotine neurotransmitter receptor protein has a variety of effects. This heterozygous variant causes increased risk of [lung cancer](https://www.ncbi.nlm.nih.gov/pubmed/23094028), with an [odds ratio of 1.2](https://www.ncbi.nlm.nih.gov/pubmed/28827732), and [COPD](https://www.ncbi.nlm.nih.gov/pubmed/24621683), with an [odds ratio of 1.39](https://www.ncbi.nlm.nih.gov/pubmed/24621683). It causes an [increase](https://www.ncbi.nlm.nih.gov/pubmed/29030599) of [one](https://www.ncbi.nlm.nih.gov/pubmed/21559498)[cigarette](https://www.ncbi.nlm.nih.gov/pubmed/23870182)[per day](https://www.ncbi.nlm.nih.gov/pubmed/20418890) and may also cause [smoking persistence](https://www.ncbi.nlm.nih.gov/pubmed/22290489). However, the C allele is protective, with a [decrease of 3.25 packs per year per C allele](https://www.ncbi.nlm.nih.gov/pubmed/21436384). Finally, his variant may cause an increase in [cocaine dependence](https://www.ncbi.nlm.nih.gov/pubmed/20485328).
    # What should I do about this?
    People should not smoke or use cocaine.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53" spans="1:12" x14ac:dyDescent="0.25">
      <c r="A53" s="14"/>
    </row>
    <row r="54" spans="1:12" x14ac:dyDescent="0.25">
      <c r="A54" s="14"/>
      <c r="C54" s="3" t="s">
        <v>30</v>
      </c>
    </row>
    <row r="55" spans="1:12" x14ac:dyDescent="0.25">
      <c r="A55" s="26"/>
    </row>
    <row r="56" spans="1:12" x14ac:dyDescent="0.25">
      <c r="A56" s="26"/>
      <c r="C56" s="3" t="str">
        <f>CONCATENATE( "    &lt;piechart percentage=",B43," /&gt;")</f>
        <v xml:space="preserve">    &lt;piechart percentage=48.4 /&gt;</v>
      </c>
    </row>
    <row r="57" spans="1:12" x14ac:dyDescent="0.25">
      <c r="A57" s="26"/>
      <c r="C57" s="3" t="str">
        <f>"  &lt;/Analysis&gt;"</f>
        <v xml:space="preserve">  &lt;/Analysis&gt;</v>
      </c>
      <c r="K57" s="3" t="str">
        <f>K37</f>
        <v>rs242940</v>
      </c>
      <c r="L57" s="3" t="str">
        <f>L37</f>
        <v>rs1396862</v>
      </c>
    </row>
    <row r="58" spans="1:12" s="21" customFormat="1" x14ac:dyDescent="0.25">
      <c r="A58" s="28" t="s">
        <v>70</v>
      </c>
      <c r="B58" s="20" t="str">
        <f>CONCATENATE(B19," (G;G)")</f>
        <v>A45815234G (G;G)</v>
      </c>
      <c r="C58" s="21" t="str">
        <f>CONCATENATE("&lt;# ",B58," #&gt;")</f>
        <v>&lt;# A45815234G (G;G) #&gt;</v>
      </c>
      <c r="J58" s="3"/>
      <c r="K58" s="3" t="str">
        <f t="shared" ref="K58:L64" si="0">K38</f>
        <v>A45815234G</v>
      </c>
      <c r="L58" s="3" t="str">
        <f t="shared" si="0"/>
        <v>G45825631A</v>
      </c>
    </row>
    <row r="59" spans="1:12" x14ac:dyDescent="0.25">
      <c r="A59" s="3" t="s">
        <v>21</v>
      </c>
      <c r="B59" s="29" t="str">
        <f>K43</f>
        <v>NC_000017.10:g.[43892600A&gt;G];[43892600A&gt;G]</v>
      </c>
      <c r="C59" s="10"/>
      <c r="K59" s="3" t="str">
        <f t="shared" si="0"/>
        <v>NC_000017.10:g.</v>
      </c>
      <c r="L59" s="3" t="str">
        <f t="shared" si="0"/>
        <v>NC_000017.10:g.</v>
      </c>
    </row>
    <row r="60" spans="1:12" x14ac:dyDescent="0.25">
      <c r="A60" s="3" t="s">
        <v>72</v>
      </c>
      <c r="B60" s="29" t="str">
        <f>L44</f>
        <v>NC_000017.10:g.[43902997=];[43902997=]</v>
      </c>
      <c r="C60" s="3" t="str">
        <f>CONCATENATE("  &lt;Analysis name=",CHAR(34),B58,CHAR(34))</f>
        <v xml:space="preserve">  &lt;Analysis name="A45815234G (G;G)"</v>
      </c>
      <c r="J60" s="3" t="str">
        <f t="shared" ref="J60:J64" si="1">J40</f>
        <v>Variant</v>
      </c>
      <c r="K60" s="3" t="str">
        <f t="shared" si="0"/>
        <v>[43892600A&gt;G]</v>
      </c>
      <c r="L60" s="3" t="str">
        <f t="shared" si="0"/>
        <v>[43902997G&gt;A]</v>
      </c>
    </row>
    <row r="61" spans="1:12" x14ac:dyDescent="0.25">
      <c r="A61" s="5" t="s">
        <v>75</v>
      </c>
      <c r="B61" s="2" t="str">
        <f>CONCATENATE("People with this variant have two copies of the ",B22," variant. This substitution of a single nucleotide is known as a missense mutation.")</f>
        <v>People with this variant have two copies of the [A45815234G](https://www.ncbi.nlm.nih.gov/projects/SNP/snp_ref.cgi?rs=242940) variant. This substitution of a single nucleotide is known as a missense mutation.</v>
      </c>
      <c r="C61" s="3" t="str">
        <f>CONCATENATE("            case={  variantCall ",CHAR(40),CHAR(34),K63,CHAR(34),CHAR(41))</f>
        <v xml:space="preserve">            case={  variantCall ("NC_000017.10:g.[43892600A&gt;G];[43892600A&gt;G]")</v>
      </c>
      <c r="J61" s="3" t="str">
        <f t="shared" si="1"/>
        <v>Wildtype</v>
      </c>
      <c r="K61" s="3" t="str">
        <f t="shared" si="0"/>
        <v>[43892600=]</v>
      </c>
      <c r="L61" s="3" t="str">
        <f t="shared" si="0"/>
        <v>[43902997=]</v>
      </c>
    </row>
    <row r="62" spans="1:12" x14ac:dyDescent="0.25">
      <c r="A62" s="1" t="s">
        <v>28</v>
      </c>
      <c r="B62" s="29" t="s">
        <v>158</v>
      </c>
      <c r="C62" s="3" t="s">
        <v>71</v>
      </c>
      <c r="J62" s="3" t="str">
        <f t="shared" si="1"/>
        <v>Het</v>
      </c>
      <c r="K62" s="3" t="str">
        <f t="shared" si="0"/>
        <v>NC_000017.10:g.[43892600A&gt;G];[43892600=]</v>
      </c>
      <c r="L62" s="3" t="str">
        <f t="shared" si="0"/>
        <v>NC_000017.10:g.[43902997G&gt;A];[43902997=]</v>
      </c>
    </row>
    <row r="63" spans="1:12" x14ac:dyDescent="0.25">
      <c r="A63" s="3" t="s">
        <v>73</v>
      </c>
      <c r="B63" s="29">
        <f>K46</f>
        <v>35.5</v>
      </c>
      <c r="C63" s="3" t="str">
        <f>CONCATENATE("                    variantCall ",CHAR(40),CHAR(34),L64,CHAR(34),CHAR(41))</f>
        <v xml:space="preserve">                    variantCall ("NC_000017.10:g.[43902997=];[43902997=]")</v>
      </c>
      <c r="J63" s="3" t="str">
        <f t="shared" si="1"/>
        <v>Homo</v>
      </c>
      <c r="K63" s="3" t="str">
        <f t="shared" si="0"/>
        <v>NC_000017.10:g.[43892600A&gt;G];[43892600A&gt;G]</v>
      </c>
      <c r="L63" s="3" t="str">
        <f t="shared" si="0"/>
        <v>NC_000017.10:g.[43902997G&gt;A];[43902997G&gt;A]</v>
      </c>
    </row>
    <row r="64" spans="1:12" x14ac:dyDescent="0.25">
      <c r="C64" s="3" t="str">
        <f>CONCATENATE("                  } &gt; ")</f>
        <v xml:space="preserve">                  } &gt; </v>
      </c>
      <c r="J64" s="3" t="str">
        <f t="shared" si="1"/>
        <v>Wildtype</v>
      </c>
      <c r="K64" s="3" t="str">
        <f t="shared" si="0"/>
        <v>NC_000017.10:g.[43892600=];[43892600=]</v>
      </c>
      <c r="L64" s="3" t="str">
        <f t="shared" si="0"/>
        <v>NC_000017.10:g.[43902997=];[43902997=]</v>
      </c>
    </row>
    <row r="65" spans="1:12" x14ac:dyDescent="0.25">
      <c r="J65" s="3" t="str">
        <f>J45</f>
        <v>Het%</v>
      </c>
      <c r="K65" s="3">
        <f>K45</f>
        <v>48.4</v>
      </c>
      <c r="L65" s="3">
        <f>L45</f>
        <v>15.7</v>
      </c>
    </row>
    <row r="66" spans="1:12" x14ac:dyDescent="0.25">
      <c r="A66" s="14"/>
      <c r="C66" s="3" t="s">
        <v>26</v>
      </c>
      <c r="J66" s="3" t="str">
        <f t="shared" ref="J66:L67" si="2">J46</f>
        <v>Homo%</v>
      </c>
      <c r="K66" s="3">
        <f t="shared" si="2"/>
        <v>35.5</v>
      </c>
      <c r="L66" s="3">
        <f t="shared" si="2"/>
        <v>4.7</v>
      </c>
    </row>
    <row r="67" spans="1:12" x14ac:dyDescent="0.25">
      <c r="A67" s="26"/>
      <c r="J67" s="3" t="str">
        <f t="shared" si="2"/>
        <v>Wildtype%</v>
      </c>
      <c r="K67" s="3">
        <f t="shared" si="2"/>
        <v>16.3</v>
      </c>
      <c r="L67" s="3">
        <f t="shared" si="2"/>
        <v>79.599999999999994</v>
      </c>
    </row>
    <row r="68" spans="1:12" x14ac:dyDescent="0.25">
      <c r="A68" s="14"/>
      <c r="C68" s="3" t="str">
        <f>CONCATENATE("    ",B61)</f>
        <v xml:space="preserve">    People with this variant have two copies of the [A45815234G](https://www.ncbi.nlm.nih.gov/projects/SNP/snp_ref.cgi?rs=242940) variant. This substitution of a single nucleotide is known as a missense mutation.</v>
      </c>
    </row>
    <row r="69" spans="1:12" x14ac:dyDescent="0.25">
      <c r="A69" s="14"/>
    </row>
    <row r="70" spans="1:12" x14ac:dyDescent="0.25">
      <c r="A70" s="26"/>
      <c r="C70" s="3" t="s">
        <v>29</v>
      </c>
    </row>
    <row r="71" spans="1:12" x14ac:dyDescent="0.25">
      <c r="A71" s="14"/>
    </row>
    <row r="72" spans="1:12" x14ac:dyDescent="0.25">
      <c r="A72" s="14"/>
      <c r="C72" s="3" t="str">
        <f>CONCATENATE(B62)</f>
        <v xml:space="preserve">    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[two](https://www.ncbi.nlm.nih.gov/pubmed/21559498)[cigarettes](https://www.ncbi.nlm.nih.gov/pubmed/23870182)[per day](https://www.ncbi.nlm.nih.gov/pubmed/20418890) and may also cause greatly increased [smoking persistence](https://www.ncbi.nlm.nih.gov/pubmed/22290489).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
    # What should I do about this?
    People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(NKC)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[Histone deacetylase inhibitors (HDACi) including suberoylanilide hydroxamic acid and valproric acid](https://www.ncbi.nlm.nih.gov/pubmed/17349632/) impair NKC function, and should be avoided.</v>
      </c>
    </row>
    <row r="73" spans="1:12" x14ac:dyDescent="0.25">
      <c r="A73" s="14"/>
    </row>
    <row r="74" spans="1:12" x14ac:dyDescent="0.25">
      <c r="A74" s="14"/>
      <c r="C74" s="3" t="s">
        <v>30</v>
      </c>
    </row>
    <row r="75" spans="1:12" x14ac:dyDescent="0.25">
      <c r="A75" s="26"/>
    </row>
    <row r="76" spans="1:12" x14ac:dyDescent="0.25">
      <c r="A76" s="26"/>
      <c r="C76" s="3" t="str">
        <f>CONCATENATE( "    &lt;piechart percentage=",B63," /&gt;")</f>
        <v xml:space="preserve">    &lt;piechart percentage=35.5 /&gt;</v>
      </c>
    </row>
    <row r="77" spans="1:12" x14ac:dyDescent="0.25">
      <c r="A77" s="26"/>
      <c r="C77" s="3" t="str">
        <f>"  &lt;/Analysis&gt;"</f>
        <v xml:space="preserve">  &lt;/Analysis&gt;</v>
      </c>
      <c r="K77" s="3" t="str">
        <f>K57</f>
        <v>rs242940</v>
      </c>
      <c r="L77" s="3" t="str">
        <f>L57</f>
        <v>rs1396862</v>
      </c>
    </row>
    <row r="78" spans="1:12" s="21" customFormat="1" x14ac:dyDescent="0.25">
      <c r="A78" s="28" t="s">
        <v>70</v>
      </c>
      <c r="B78" s="20" t="str">
        <f>CONCATENATE(B28," (G;A)")</f>
        <v>G45825631A (G;A)</v>
      </c>
      <c r="C78" s="21" t="str">
        <f>CONCATENATE("&lt;# ",B78," #&gt;")</f>
        <v>&lt;# G45825631A (G;A) #&gt;</v>
      </c>
      <c r="K78" s="21" t="str">
        <f t="shared" ref="K78:L79" si="3">K58</f>
        <v>A45815234G</v>
      </c>
      <c r="L78" s="21" t="str">
        <f t="shared" si="3"/>
        <v>G45825631A</v>
      </c>
    </row>
    <row r="79" spans="1:12" s="10" customFormat="1" x14ac:dyDescent="0.25">
      <c r="A79" s="3" t="s">
        <v>21</v>
      </c>
      <c r="B79" s="29" t="str">
        <f>K44</f>
        <v>NC_000017.10:g.[43892600=];[43892600=]</v>
      </c>
      <c r="J79" s="3"/>
      <c r="K79" s="22" t="str">
        <f t="shared" si="3"/>
        <v>NC_000017.10:g.</v>
      </c>
      <c r="L79" s="22" t="str">
        <f t="shared" si="3"/>
        <v>NC_000017.10:g.</v>
      </c>
    </row>
    <row r="80" spans="1:12" x14ac:dyDescent="0.25">
      <c r="A80" s="3" t="s">
        <v>72</v>
      </c>
      <c r="B80" s="29" t="str">
        <f>L42</f>
        <v>NC_000017.10:g.[43902997G&gt;A];[43902997=]</v>
      </c>
      <c r="C80" s="3" t="str">
        <f>CONCATENATE("  &lt;Analysis name=",CHAR(34),B78,CHAR(34))</f>
        <v xml:space="preserve">  &lt;Analysis name="G45825631A (G;A)"</v>
      </c>
      <c r="J80" s="3" t="str">
        <f t="shared" ref="J80:L84" si="4">J60</f>
        <v>Variant</v>
      </c>
      <c r="K80" s="15" t="str">
        <f t="shared" si="4"/>
        <v>[43892600A&gt;G]</v>
      </c>
      <c r="L80" s="22" t="str">
        <f t="shared" si="4"/>
        <v>[43902997G&gt;A]</v>
      </c>
    </row>
    <row r="81" spans="1:12" x14ac:dyDescent="0.25">
      <c r="A81" s="5" t="s">
        <v>27</v>
      </c>
      <c r="B81" s="2" t="str">
        <f>CONCATENATE("People with this variant have one copy of the ",B31," variant. This substitution of a single nucleotide is known as a missense mutation.")</f>
        <v>People with this variant have one copy of the [G45825631A](https://www.ncbi.nlm.nih.gov/projects/SNP/snp_ref.cgi?rs=1396862) variant. This substitution of a single nucleotide is known as a missense mutation.</v>
      </c>
      <c r="C81" s="3" t="str">
        <f>CONCATENATE("            case={  variantCall ",CHAR(40),CHAR(34),K84,CHAR(34),CHAR(41))</f>
        <v xml:space="preserve">            case={  variantCall ("NC_000017.10:g.[43892600=];[43892600=]")</v>
      </c>
      <c r="J81" s="3" t="str">
        <f t="shared" si="4"/>
        <v>Wildtype</v>
      </c>
      <c r="K81" s="15" t="str">
        <f t="shared" si="4"/>
        <v>[43892600=]</v>
      </c>
      <c r="L81" s="22" t="str">
        <f t="shared" si="4"/>
        <v>[43902997=]</v>
      </c>
    </row>
    <row r="82" spans="1:12" x14ac:dyDescent="0.25">
      <c r="A82" s="1" t="s">
        <v>28</v>
      </c>
      <c r="B82" s="29" t="s">
        <v>160</v>
      </c>
      <c r="C82" s="3" t="s">
        <v>71</v>
      </c>
      <c r="J82" s="3" t="str">
        <f t="shared" si="4"/>
        <v>Het</v>
      </c>
      <c r="K82" s="15" t="str">
        <f t="shared" si="4"/>
        <v>NC_000017.10:g.[43892600A&gt;G];[43892600=]</v>
      </c>
      <c r="L82" s="15" t="str">
        <f t="shared" si="4"/>
        <v>NC_000017.10:g.[43902997G&gt;A];[43902997=]</v>
      </c>
    </row>
    <row r="83" spans="1:12" x14ac:dyDescent="0.25">
      <c r="A83" s="3" t="s">
        <v>73</v>
      </c>
      <c r="B83" s="29">
        <f>L85</f>
        <v>15.7</v>
      </c>
      <c r="C83" s="3" t="str">
        <f>CONCATENATE("                    variantCall ",CHAR(40),CHAR(34),L82,CHAR(34),CHAR(41))</f>
        <v xml:space="preserve">                    variantCall ("NC_000017.10:g.[43902997G&gt;A];[43902997=]")</v>
      </c>
      <c r="J83" s="3" t="str">
        <f t="shared" si="4"/>
        <v>Homo</v>
      </c>
      <c r="K83" s="15" t="str">
        <f t="shared" si="4"/>
        <v>NC_000017.10:g.[43892600A&gt;G];[43892600A&gt;G]</v>
      </c>
      <c r="L83" s="15" t="str">
        <f t="shared" si="4"/>
        <v>NC_000017.10:g.[43902997G&gt;A];[43902997G&gt;A]</v>
      </c>
    </row>
    <row r="84" spans="1:12" x14ac:dyDescent="0.25">
      <c r="C84" s="3" t="str">
        <f>CONCATENATE("                  } &gt; ")</f>
        <v xml:space="preserve">                  } &gt; </v>
      </c>
      <c r="J84" s="3" t="str">
        <f t="shared" si="4"/>
        <v>Wildtype</v>
      </c>
      <c r="K84" s="2" t="str">
        <f t="shared" si="4"/>
        <v>NC_000017.10:g.[43892600=];[43892600=]</v>
      </c>
      <c r="L84" s="2" t="str">
        <f t="shared" si="4"/>
        <v>NC_000017.10:g.[43902997=];[43902997=]</v>
      </c>
    </row>
    <row r="85" spans="1:12" x14ac:dyDescent="0.25">
      <c r="J85" s="3" t="str">
        <f>J65</f>
        <v>Het%</v>
      </c>
      <c r="K85" s="15">
        <f>K65</f>
        <v>48.4</v>
      </c>
      <c r="L85" s="15">
        <f>L65</f>
        <v>15.7</v>
      </c>
    </row>
    <row r="86" spans="1:12" x14ac:dyDescent="0.25">
      <c r="A86" s="14"/>
      <c r="C86" s="3" t="s">
        <v>26</v>
      </c>
      <c r="J86" s="3" t="str">
        <f t="shared" ref="J86:L87" si="5">J66</f>
        <v>Homo%</v>
      </c>
      <c r="K86" s="2">
        <f t="shared" si="5"/>
        <v>35.5</v>
      </c>
      <c r="L86" s="2">
        <f t="shared" si="5"/>
        <v>4.7</v>
      </c>
    </row>
    <row r="87" spans="1:12" x14ac:dyDescent="0.25">
      <c r="A87" s="26"/>
      <c r="J87" s="3" t="str">
        <f t="shared" si="5"/>
        <v>Wildtype%</v>
      </c>
      <c r="K87" s="2">
        <f t="shared" si="5"/>
        <v>16.3</v>
      </c>
      <c r="L87" s="2">
        <f t="shared" si="5"/>
        <v>79.599999999999994</v>
      </c>
    </row>
    <row r="88" spans="1:12" x14ac:dyDescent="0.25">
      <c r="A88" s="14"/>
      <c r="C88" s="3" t="str">
        <f>CONCATENATE("    ",B81)</f>
        <v xml:space="preserve">    People with this variant have one copy of the [G45825631A](https://www.ncbi.nlm.nih.gov/projects/SNP/snp_ref.cgi?rs=1396862) variant. This substitution of a single nucleotide is known as a missense mutation.</v>
      </c>
    </row>
    <row r="89" spans="1:12" x14ac:dyDescent="0.25">
      <c r="A89" s="14"/>
    </row>
    <row r="90" spans="1:12" x14ac:dyDescent="0.25">
      <c r="A90" s="26"/>
      <c r="C90" s="3" t="s">
        <v>29</v>
      </c>
    </row>
    <row r="91" spans="1:12" x14ac:dyDescent="0.25">
      <c r="A91" s="14"/>
    </row>
    <row r="92" spans="1:12" x14ac:dyDescent="0.25">
      <c r="A92" s="14"/>
      <c r="C92" s="3" t="str">
        <f>CONCATENATE(B82)</f>
        <v xml:space="preserve">    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 What should I do about this?
    People should not smoke.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93" spans="1:12" x14ac:dyDescent="0.25">
      <c r="A93" s="14"/>
    </row>
    <row r="94" spans="1:12" x14ac:dyDescent="0.25">
      <c r="A94" s="14"/>
      <c r="C94" s="3" t="s">
        <v>30</v>
      </c>
    </row>
    <row r="95" spans="1:12" x14ac:dyDescent="0.25">
      <c r="A95" s="26"/>
    </row>
    <row r="96" spans="1:12" x14ac:dyDescent="0.25">
      <c r="A96" s="26"/>
      <c r="C96" s="3" t="str">
        <f>CONCATENATE( "    &lt;piechart percentage=",B83," /&gt;")</f>
        <v xml:space="preserve">    &lt;piechart percentage=15.7 /&gt;</v>
      </c>
    </row>
    <row r="97" spans="1:12" x14ac:dyDescent="0.25">
      <c r="A97" s="26"/>
      <c r="C97" s="3" t="str">
        <f>"  &lt;/Analysis&gt;"</f>
        <v xml:space="preserve">  &lt;/Analysis&gt;</v>
      </c>
      <c r="K97" s="3" t="str">
        <f>K77</f>
        <v>rs242940</v>
      </c>
      <c r="L97" s="3" t="str">
        <f>L77</f>
        <v>rs1396862</v>
      </c>
    </row>
    <row r="98" spans="1:12" s="21" customFormat="1" x14ac:dyDescent="0.25">
      <c r="A98" s="28" t="s">
        <v>70</v>
      </c>
      <c r="B98" s="20" t="str">
        <f>CONCATENATE(B28," (A;A)")</f>
        <v>G45825631A (A;A)</v>
      </c>
      <c r="C98" s="21" t="str">
        <f>CONCATENATE("&lt;# ",B98," #&gt;")</f>
        <v>&lt;# G45825631A (A;A) #&gt;</v>
      </c>
      <c r="K98" s="3" t="str">
        <f t="shared" ref="K98:L107" si="6">K78</f>
        <v>A45815234G</v>
      </c>
      <c r="L98" s="3" t="str">
        <f t="shared" si="6"/>
        <v>G45825631A</v>
      </c>
    </row>
    <row r="99" spans="1:12" x14ac:dyDescent="0.25">
      <c r="A99" s="3" t="s">
        <v>21</v>
      </c>
      <c r="B99" s="29" t="str">
        <f>K44</f>
        <v>NC_000017.10:g.[43892600=];[43892600=]</v>
      </c>
      <c r="C99" s="10"/>
      <c r="J99" s="3">
        <f t="shared" ref="J99:J107" si="7">J79</f>
        <v>0</v>
      </c>
      <c r="K99" s="3" t="str">
        <f t="shared" si="6"/>
        <v>NC_000017.10:g.</v>
      </c>
      <c r="L99" s="3" t="str">
        <f t="shared" si="6"/>
        <v>NC_000017.10:g.</v>
      </c>
    </row>
    <row r="100" spans="1:12" x14ac:dyDescent="0.25">
      <c r="A100" s="3" t="s">
        <v>72</v>
      </c>
      <c r="B100" s="29" t="str">
        <f>L43</f>
        <v>NC_000017.10:g.[43902997G&gt;A];[43902997G&gt;A]</v>
      </c>
      <c r="C100" s="3" t="str">
        <f>CONCATENATE("  &lt;Analysis name=",CHAR(34),B98,CHAR(34))</f>
        <v xml:space="preserve">  &lt;Analysis name="G45825631A (A;A)"</v>
      </c>
      <c r="J100" s="3" t="str">
        <f t="shared" si="7"/>
        <v>Variant</v>
      </c>
      <c r="K100" s="3" t="str">
        <f t="shared" si="6"/>
        <v>[43892600A&gt;G]</v>
      </c>
      <c r="L100" s="3" t="str">
        <f t="shared" si="6"/>
        <v>[43902997G&gt;A]</v>
      </c>
    </row>
    <row r="101" spans="1:12" x14ac:dyDescent="0.25">
      <c r="A101" s="5" t="s">
        <v>75</v>
      </c>
      <c r="B101" s="2" t="str">
        <f>CONCATENATE("People with this variant have two copies of the ",B31," variant. This substitution of a single nucleotide is known as a missense mutation.")</f>
        <v>People with this variant have two copies of the [G45825631A](https://www.ncbi.nlm.nih.gov/projects/SNP/snp_ref.cgi?rs=1396862) variant. This substitution of a single nucleotide is known as a missense mutation.</v>
      </c>
      <c r="C101" s="3" t="str">
        <f>CONCATENATE("            case={  variantCall ",CHAR(40),CHAR(34),K104,CHAR(34),CHAR(41))</f>
        <v xml:space="preserve">            case={  variantCall ("NC_000017.10:g.[43892600=];[43892600=]")</v>
      </c>
      <c r="J101" s="3" t="str">
        <f t="shared" si="7"/>
        <v>Wildtype</v>
      </c>
      <c r="K101" s="3" t="str">
        <f t="shared" si="6"/>
        <v>[43892600=]</v>
      </c>
      <c r="L101" s="3" t="str">
        <f t="shared" si="6"/>
        <v>[43902997=]</v>
      </c>
    </row>
    <row r="102" spans="1:12" x14ac:dyDescent="0.25">
      <c r="A102" s="1" t="s">
        <v>28</v>
      </c>
      <c r="B102" s="2" t="s">
        <v>161</v>
      </c>
      <c r="C102" s="3" t="s">
        <v>71</v>
      </c>
      <c r="J102" s="3" t="str">
        <f t="shared" si="7"/>
        <v>Het</v>
      </c>
      <c r="K102" s="3" t="str">
        <f t="shared" si="6"/>
        <v>NC_000017.10:g.[43892600A&gt;G];[43892600=]</v>
      </c>
      <c r="L102" s="3" t="str">
        <f t="shared" si="6"/>
        <v>NC_000017.10:g.[43902997G&gt;A];[43902997=]</v>
      </c>
    </row>
    <row r="103" spans="1:12" x14ac:dyDescent="0.25">
      <c r="A103" s="3" t="s">
        <v>73</v>
      </c>
      <c r="B103" s="29">
        <f>L46</f>
        <v>4.7</v>
      </c>
      <c r="C103" s="3" t="str">
        <f>CONCATENATE("                    variantCall ",CHAR(40),CHAR(34),L103,CHAR(34),CHAR(41))</f>
        <v xml:space="preserve">                    variantCall ("NC_000017.10:g.[43902997G&gt;A];[43902997G&gt;A]")</v>
      </c>
      <c r="J103" s="3" t="str">
        <f t="shared" si="7"/>
        <v>Homo</v>
      </c>
      <c r="K103" s="3" t="str">
        <f t="shared" si="6"/>
        <v>NC_000017.10:g.[43892600A&gt;G];[43892600A&gt;G]</v>
      </c>
      <c r="L103" s="3" t="str">
        <f t="shared" si="6"/>
        <v>NC_000017.10:g.[43902997G&gt;A];[43902997G&gt;A]</v>
      </c>
    </row>
    <row r="104" spans="1:12" x14ac:dyDescent="0.25">
      <c r="C104" s="3" t="str">
        <f>CONCATENATE("                  } &gt; ")</f>
        <v xml:space="preserve">                  } &gt; </v>
      </c>
      <c r="J104" s="3" t="str">
        <f t="shared" si="7"/>
        <v>Wildtype</v>
      </c>
      <c r="K104" s="3" t="str">
        <f t="shared" si="6"/>
        <v>NC_000017.10:g.[43892600=];[43892600=]</v>
      </c>
      <c r="L104" s="3" t="str">
        <f t="shared" si="6"/>
        <v>NC_000017.10:g.[43902997=];[43902997=]</v>
      </c>
    </row>
    <row r="105" spans="1:12" x14ac:dyDescent="0.25">
      <c r="J105" s="3" t="str">
        <f t="shared" si="7"/>
        <v>Het%</v>
      </c>
      <c r="K105" s="3">
        <f t="shared" si="6"/>
        <v>48.4</v>
      </c>
      <c r="L105" s="3">
        <f t="shared" si="6"/>
        <v>15.7</v>
      </c>
    </row>
    <row r="106" spans="1:12" x14ac:dyDescent="0.25">
      <c r="A106" s="14"/>
      <c r="C106" s="3" t="s">
        <v>26</v>
      </c>
      <c r="J106" s="3" t="str">
        <f t="shared" si="7"/>
        <v>Homo%</v>
      </c>
      <c r="K106" s="3">
        <f t="shared" si="6"/>
        <v>35.5</v>
      </c>
      <c r="L106" s="3">
        <f t="shared" si="6"/>
        <v>4.7</v>
      </c>
    </row>
    <row r="107" spans="1:12" x14ac:dyDescent="0.25">
      <c r="A107" s="26"/>
      <c r="J107" s="3" t="str">
        <f t="shared" si="7"/>
        <v>Wildtype%</v>
      </c>
      <c r="K107" s="3">
        <f t="shared" si="6"/>
        <v>16.3</v>
      </c>
      <c r="L107" s="3">
        <f t="shared" si="6"/>
        <v>79.599999999999994</v>
      </c>
    </row>
    <row r="108" spans="1:12" x14ac:dyDescent="0.25">
      <c r="A108" s="14"/>
      <c r="C108" s="3" t="str">
        <f>CONCATENATE("    ",B101)</f>
        <v xml:space="preserve">    People with this variant have two copies of the [G45825631A](https://www.ncbi.nlm.nih.gov/projects/SNP/snp_ref.cgi?rs=1396862) variant. This substitution of a single nucleotide is known as a missense mutation.</v>
      </c>
    </row>
    <row r="109" spans="1:12" x14ac:dyDescent="0.25">
      <c r="A109" s="14"/>
    </row>
    <row r="110" spans="1:12" x14ac:dyDescent="0.25">
      <c r="A110" s="26"/>
      <c r="C110" s="3" t="s">
        <v>29</v>
      </c>
    </row>
    <row r="111" spans="1:12" x14ac:dyDescent="0.25">
      <c r="A111" s="14"/>
    </row>
    <row r="112" spans="1:12" x14ac:dyDescent="0.25">
      <c r="A112" s="14"/>
      <c r="C112" s="3" t="str">
        <f>CONCATENATE(B102)</f>
        <v xml:space="preserve">    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day](https://www.ncbi.nlm.nih.gov/pubmed/27663783)[(odds ratio 2.66)](https://www.ncbi.nlm.nih.gov/pubmed/25632390) and [severity of nicotine addiction (odds ratio 2.6)](https://www.ncbi.nlm.nih.gov/pubmed/25632390). There is a [5.8% decrease](https://www.ncbi.nlm.nih.gov/pubmed/25891233) in adherence to prescribed Nicotine replacement therapy (NRT) dose, and a [2.0mg decrease](https://www.ncbi.nlm.nih.gov/pubmed/25891233) in daily NRT consumption up to 28 days after beginning treatment.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are also greatly increased. Homozygotes had increased risk of [antipsychotic medication and schizophrenia](https://www.ncbi.nlm.nih.gov/pubmed/26054357).
    # What should I do about this?
    People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13" spans="1:12" x14ac:dyDescent="0.25">
      <c r="A113" s="14"/>
    </row>
    <row r="114" spans="1:12" x14ac:dyDescent="0.25">
      <c r="A114" s="14"/>
      <c r="C114" s="3" t="s">
        <v>30</v>
      </c>
    </row>
    <row r="115" spans="1:12" x14ac:dyDescent="0.25">
      <c r="A115" s="26"/>
    </row>
    <row r="116" spans="1:12" x14ac:dyDescent="0.25">
      <c r="A116" s="26"/>
      <c r="C116" s="3" t="str">
        <f>CONCATENATE( "    &lt;piechart percentage=",B103," /&gt;")</f>
        <v xml:space="preserve">    &lt;piechart percentage=4.7 /&gt;</v>
      </c>
    </row>
    <row r="117" spans="1:12" x14ac:dyDescent="0.25">
      <c r="A117" s="26"/>
      <c r="C117" s="3" t="str">
        <f>"  &lt;/Analysis&gt;"</f>
        <v xml:space="preserve">  &lt;/Analysis&gt;</v>
      </c>
      <c r="K117" s="21" t="str">
        <f t="shared" ref="K117:L119" si="8">K97</f>
        <v>rs242940</v>
      </c>
      <c r="L117" s="21" t="str">
        <f t="shared" si="8"/>
        <v>rs1396862</v>
      </c>
    </row>
    <row r="118" spans="1:12" s="21" customFormat="1" x14ac:dyDescent="0.25">
      <c r="A118" s="28" t="s">
        <v>70</v>
      </c>
      <c r="B118" s="20" t="str">
        <f>CONCATENATE(B38," and ",B78)</f>
        <v>A45815234G (A;G) and G45825631A (G;A)</v>
      </c>
      <c r="C118" s="21" t="str">
        <f>CONCATENATE("&lt;# ",B118," #&gt;")</f>
        <v>&lt;# A45815234G (A;G) and G45825631A (G;A) #&gt;</v>
      </c>
      <c r="K118" s="21" t="str">
        <f t="shared" si="8"/>
        <v>A45815234G</v>
      </c>
      <c r="L118" s="21" t="str">
        <f t="shared" si="8"/>
        <v>G45825631A</v>
      </c>
    </row>
    <row r="119" spans="1:12" x14ac:dyDescent="0.25">
      <c r="A119" s="14" t="s">
        <v>21</v>
      </c>
      <c r="B119" s="15" t="str">
        <f>K42</f>
        <v>NC_000017.10:g.[43892600A&gt;G];[43892600=]</v>
      </c>
      <c r="K119" s="3" t="str">
        <f t="shared" si="8"/>
        <v>NC_000017.10:g.</v>
      </c>
      <c r="L119" s="3" t="str">
        <f t="shared" si="8"/>
        <v>NC_000017.10:g.</v>
      </c>
    </row>
    <row r="120" spans="1:12" x14ac:dyDescent="0.25">
      <c r="A120" s="14" t="s">
        <v>72</v>
      </c>
      <c r="B120" s="15" t="str">
        <f>L42</f>
        <v>NC_000017.10:g.[43902997G&gt;A];[43902997=]</v>
      </c>
      <c r="C120" s="3" t="str">
        <f>CONCATENATE("  &lt;Analysis name=",CHAR(34),B118,CHAR(34))</f>
        <v xml:space="preserve">  &lt;Analysis name="A45815234G (A;G) and G45825631A (G;A)"</v>
      </c>
      <c r="J120" s="3" t="str">
        <f t="shared" ref="J120:L124" si="9">J100</f>
        <v>Variant</v>
      </c>
      <c r="K120" s="3" t="str">
        <f t="shared" si="9"/>
        <v>[43892600A&gt;G]</v>
      </c>
      <c r="L120" s="3" t="str">
        <f t="shared" si="9"/>
        <v>[43902997G&gt;A]</v>
      </c>
    </row>
    <row r="121" spans="1:12" x14ac:dyDescent="0.25">
      <c r="A121" s="26" t="s">
        <v>75</v>
      </c>
      <c r="B121" s="15" t="str">
        <f>CONCATENATE("People with this variant have one copy of the ",B22, " and ",B31," variants. This substitution of a single nucleotide is known as a missense mutation.")</f>
        <v>People with this variant have one copy of the [A45815234G](https://www.ncbi.nlm.nih.gov/projects/SNP/snp_ref.cgi?rs=242940) and [G45825631A](https://www.ncbi.nlm.nih.gov/projects/SNP/snp_ref.cgi?rs=1396862) variants. This substitution of a single nucleotide is known as a missense mutation.</v>
      </c>
      <c r="C121" s="3" t="str">
        <f>CONCATENATE("            case={  variantCall ",CHAR(40),CHAR(34),K122,CHAR(34),CHAR(41))</f>
        <v xml:space="preserve">            case={  variantCall ("NC_000017.10:g.[43892600A&gt;G];[43892600=]")</v>
      </c>
      <c r="J121" s="3" t="str">
        <f t="shared" si="9"/>
        <v>Wildtype</v>
      </c>
      <c r="K121" s="3" t="str">
        <f t="shared" si="9"/>
        <v>[43892600=]</v>
      </c>
      <c r="L121" s="3" t="str">
        <f t="shared" si="9"/>
        <v>[43902997=]</v>
      </c>
    </row>
    <row r="122" spans="1:12" x14ac:dyDescent="0.25">
      <c r="A122" s="26" t="s">
        <v>28</v>
      </c>
      <c r="B122" s="15" t="s">
        <v>163</v>
      </c>
      <c r="C122" s="3" t="s">
        <v>71</v>
      </c>
      <c r="J122" s="3" t="str">
        <f t="shared" si="9"/>
        <v>Het</v>
      </c>
      <c r="K122" s="3" t="str">
        <f t="shared" si="9"/>
        <v>NC_000017.10:g.[43892600A&gt;G];[43892600=]</v>
      </c>
      <c r="L122" s="3" t="str">
        <f t="shared" si="9"/>
        <v>NC_000017.10:g.[43902997G&gt;A];[43902997=]</v>
      </c>
    </row>
    <row r="123" spans="1:12" x14ac:dyDescent="0.25">
      <c r="A123" s="26" t="s">
        <v>73</v>
      </c>
      <c r="C123" s="3" t="str">
        <f>CONCATENATE("                    variantCall ",CHAR(40),CHAR(34),L122,CHAR(34),CHAR(41))</f>
        <v xml:space="preserve">                    variantCall ("NC_000017.10:g.[43902997G&gt;A];[43902997=]")</v>
      </c>
      <c r="J123" s="3" t="str">
        <f t="shared" si="9"/>
        <v>Homo</v>
      </c>
      <c r="K123" s="3" t="str">
        <f t="shared" si="9"/>
        <v>NC_000017.10:g.[43892600A&gt;G];[43892600A&gt;G]</v>
      </c>
      <c r="L123" s="3" t="str">
        <f t="shared" si="9"/>
        <v>NC_000017.10:g.[43902997G&gt;A];[43902997G&gt;A]</v>
      </c>
    </row>
    <row r="124" spans="1:12" x14ac:dyDescent="0.25">
      <c r="A124" s="26"/>
      <c r="C124" s="3" t="str">
        <f>CONCATENATE("                  } &gt; ")</f>
        <v xml:space="preserve">                  } &gt; </v>
      </c>
      <c r="J124" s="3" t="str">
        <f t="shared" si="9"/>
        <v>Wildtype</v>
      </c>
      <c r="K124" s="3" t="str">
        <f t="shared" si="9"/>
        <v>NC_000017.10:g.[43892600=];[43892600=]</v>
      </c>
      <c r="L124" s="3" t="str">
        <f t="shared" si="9"/>
        <v>NC_000017.10:g.[43902997=];[43902997=]</v>
      </c>
    </row>
    <row r="125" spans="1:12" x14ac:dyDescent="0.25">
      <c r="A125" s="26"/>
      <c r="J125" s="3" t="str">
        <f>J105</f>
        <v>Het%</v>
      </c>
      <c r="K125" s="3">
        <f>K105</f>
        <v>48.4</v>
      </c>
      <c r="L125" s="3">
        <f>L105</f>
        <v>15.7</v>
      </c>
    </row>
    <row r="126" spans="1:12" x14ac:dyDescent="0.25">
      <c r="A126" s="26"/>
      <c r="C126" s="3" t="s">
        <v>26</v>
      </c>
      <c r="J126" s="3" t="str">
        <f t="shared" ref="J126:L127" si="10">J106</f>
        <v>Homo%</v>
      </c>
      <c r="K126" s="3">
        <f t="shared" si="10"/>
        <v>35.5</v>
      </c>
      <c r="L126" s="3">
        <f t="shared" si="10"/>
        <v>4.7</v>
      </c>
    </row>
    <row r="127" spans="1:12" x14ac:dyDescent="0.25">
      <c r="A127" s="14"/>
      <c r="J127" s="3" t="str">
        <f t="shared" si="10"/>
        <v>Wildtype%</v>
      </c>
      <c r="K127" s="3">
        <f t="shared" si="10"/>
        <v>16.3</v>
      </c>
      <c r="L127" s="3">
        <f t="shared" si="10"/>
        <v>79.599999999999994</v>
      </c>
    </row>
    <row r="128" spans="1:12" x14ac:dyDescent="0.25">
      <c r="A128" s="14"/>
      <c r="C128" s="3" t="str">
        <f>CONCATENATE("    ",B121)</f>
        <v xml:space="preserve">    People with this variant have one copy of the [A45815234G](https://www.ncbi.nlm.nih.gov/projects/SNP/snp_ref.cgi?rs=242940) and [G45825631A](https://www.ncbi.nlm.nih.gov/projects/SNP/snp_ref.cgi?rs=1396862) variants. This substitution of a single nucleotide is known as a missense mutation.</v>
      </c>
    </row>
    <row r="129" spans="1:12" x14ac:dyDescent="0.25">
      <c r="A129" s="14"/>
    </row>
    <row r="130" spans="1:12" x14ac:dyDescent="0.25">
      <c r="A130" s="14"/>
      <c r="C130" s="3" t="s">
        <v>29</v>
      </c>
    </row>
    <row r="131" spans="1:12" x14ac:dyDescent="0.25">
      <c r="A131" s="14"/>
    </row>
    <row r="132" spans="1:12" x14ac:dyDescent="0.25">
      <c r="A132" s="26"/>
      <c r="C132" s="3" t="str">
        <f>CONCATENATE(B122)</f>
        <v xml:space="preserve">    There is currently no data on the interaction between these variants.  However, some information exists on the individual variants. 
    # What is the effect of C78606381T (C;T)?
    The CHRNA3 protein plays a role in developing nicotine dependence and regulating nicotine receptor proliferation and destruction. Incorrect formation of the nicotine neurotransmitter receptor protein has a variety of effects. This heterozygous variant causes increased risk of [lung cancer](https://www.ncbi.nlm.nih.gov/pubmed/23094028), with an [odds ratio of 1.2](https://www.ncbi.nlm.nih.gov/pubmed/28827732), and [COPD](https://www.ncbi.nlm.nih.gov/pubmed/24621683), with an [odds ratio of 1.39](https://www.ncbi.nlm.nih.gov/pubmed/24621683). It causes an [increase](https://www.ncbi.nlm.nih.gov/pubmed/29030599) of [one](https://www.ncbi.nlm.nih.gov/pubmed/21559498)[cigarette](https://www.ncbi.nlm.nih.gov/pubmed/23870182)[per day](https://www.ncbi.nlm.nih.gov/pubmed/20418890) and may also cause [smoking persistence](https://www.ncbi.nlm.nih.gov/pubmed/22290489). However, the C allele is protective, with a [decrease of 3.25 packs per year per C allele](https://www.ncbi.nlm.nih.gov/pubmed/21436384). Finally, his variant may cause an increase in [cocaine dependence](https://www.ncbi.nlm.nih.gov/pubmed/20485328).
    # What is the effect of C645T?
    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 What should I do about this?
    People should not smoke or use cocaine.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33" spans="1:12" x14ac:dyDescent="0.25">
      <c r="A133" s="26"/>
    </row>
    <row r="134" spans="1:12" x14ac:dyDescent="0.25">
      <c r="A134" s="26"/>
      <c r="C134" s="3" t="s">
        <v>30</v>
      </c>
    </row>
    <row r="135" spans="1:12" x14ac:dyDescent="0.25">
      <c r="A135" s="26"/>
    </row>
    <row r="136" spans="1:12" x14ac:dyDescent="0.25">
      <c r="A136" s="26"/>
      <c r="C136" s="3" t="str">
        <f>CONCATENATE( "    &lt;piechart percentage=",B123," /&gt;")</f>
        <v xml:space="preserve">    &lt;piechart percentage= /&gt;</v>
      </c>
    </row>
    <row r="137" spans="1:12" x14ac:dyDescent="0.25">
      <c r="A137" s="26"/>
      <c r="C137" s="3" t="str">
        <f>"  &lt;/Analysis&gt;"</f>
        <v xml:space="preserve">  &lt;/Analysis&gt;</v>
      </c>
      <c r="K137" s="21" t="str">
        <f t="shared" ref="K137:L139" si="11">K117</f>
        <v>rs242940</v>
      </c>
      <c r="L137" s="21" t="str">
        <f t="shared" si="11"/>
        <v>rs1396862</v>
      </c>
    </row>
    <row r="138" spans="1:12" s="21" customFormat="1" x14ac:dyDescent="0.25">
      <c r="A138" s="28" t="s">
        <v>70</v>
      </c>
      <c r="B138" s="20" t="str">
        <f>CONCATENATE(B58," and ",B78)</f>
        <v>A45815234G (G;G) and G45825631A (G;A)</v>
      </c>
      <c r="C138" s="21" t="str">
        <f>CONCATENATE("&lt;# ",B138," #&gt;")</f>
        <v>&lt;# A45815234G (G;G) and G45825631A (G;A) #&gt;</v>
      </c>
      <c r="K138" s="21" t="str">
        <f t="shared" si="11"/>
        <v>A45815234G</v>
      </c>
      <c r="L138" s="21" t="str">
        <f t="shared" si="11"/>
        <v>G45825631A</v>
      </c>
    </row>
    <row r="139" spans="1:12" x14ac:dyDescent="0.25">
      <c r="A139" s="14" t="s">
        <v>21</v>
      </c>
      <c r="B139" s="15" t="str">
        <f>K62</f>
        <v>NC_000017.10:g.[43892600A&gt;G];[43892600=]</v>
      </c>
      <c r="K139" s="3" t="str">
        <f t="shared" si="11"/>
        <v>NC_000017.10:g.</v>
      </c>
      <c r="L139" s="3" t="str">
        <f t="shared" si="11"/>
        <v>NC_000017.10:g.</v>
      </c>
    </row>
    <row r="140" spans="1:12" x14ac:dyDescent="0.25">
      <c r="A140" s="14" t="s">
        <v>72</v>
      </c>
      <c r="B140" s="15" t="str">
        <f>L62</f>
        <v>NC_000017.10:g.[43902997G&gt;A];[43902997=]</v>
      </c>
      <c r="C140" s="3" t="str">
        <f>CONCATENATE("  &lt;Analysis name=",CHAR(34),B138,CHAR(34))</f>
        <v xml:space="preserve">  &lt;Analysis name="A45815234G (G;G) and G45825631A (G;A)"</v>
      </c>
      <c r="J140" s="3" t="str">
        <f t="shared" ref="J140:L144" si="12">J120</f>
        <v>Variant</v>
      </c>
      <c r="K140" s="3" t="str">
        <f t="shared" si="12"/>
        <v>[43892600A&gt;G]</v>
      </c>
      <c r="L140" s="3" t="str">
        <f t="shared" si="12"/>
        <v>[43902997G&gt;A]</v>
      </c>
    </row>
    <row r="141" spans="1:12" x14ac:dyDescent="0.25">
      <c r="A141" s="26" t="s">
        <v>75</v>
      </c>
      <c r="B141" s="15" t="str">
        <f>CONCATENATE("People with this variant have one copy of the ",B31, " and two copies of the ",B22," variants. This substitution of a single nucleotide is known as a missense mutation.")</f>
        <v>People with this variant have one copy of the [G45825631A](https://www.ncbi.nlm.nih.gov/projects/SNP/snp_ref.cgi?rs=1396862) and two copies of the [A45815234G](https://www.ncbi.nlm.nih.gov/projects/SNP/snp_ref.cgi?rs=242940) variants. This substitution of a single nucleotide is known as a missense mutation.</v>
      </c>
      <c r="C141" s="3" t="str">
        <f>CONCATENATE("            case={  variantCall ",CHAR(40),CHAR(34),K143,CHAR(34),CHAR(41))</f>
        <v xml:space="preserve">            case={  variantCall ("NC_000017.10:g.[43892600A&gt;G];[43892600A&gt;G]")</v>
      </c>
      <c r="J141" s="3" t="str">
        <f t="shared" si="12"/>
        <v>Wildtype</v>
      </c>
      <c r="K141" s="3" t="str">
        <f t="shared" si="12"/>
        <v>[43892600=]</v>
      </c>
      <c r="L141" s="3" t="str">
        <f t="shared" si="12"/>
        <v>[43902997=]</v>
      </c>
    </row>
    <row r="142" spans="1:12" x14ac:dyDescent="0.25">
      <c r="A142" s="26" t="s">
        <v>28</v>
      </c>
      <c r="B142" s="15" t="s">
        <v>164</v>
      </c>
      <c r="C142" s="3" t="s">
        <v>71</v>
      </c>
      <c r="J142" s="3" t="str">
        <f t="shared" si="12"/>
        <v>Het</v>
      </c>
      <c r="K142" s="3" t="str">
        <f t="shared" si="12"/>
        <v>NC_000017.10:g.[43892600A&gt;G];[43892600=]</v>
      </c>
      <c r="L142" s="3" t="str">
        <f t="shared" si="12"/>
        <v>NC_000017.10:g.[43902997G&gt;A];[43902997=]</v>
      </c>
    </row>
    <row r="143" spans="1:12" x14ac:dyDescent="0.25">
      <c r="A143" s="26" t="s">
        <v>73</v>
      </c>
      <c r="C143" s="3" t="str">
        <f>CONCATENATE("                    variantCall ",CHAR(40),CHAR(34),L142,CHAR(34),CHAR(41))</f>
        <v xml:space="preserve">                    variantCall ("NC_000017.10:g.[43902997G&gt;A];[43902997=]")</v>
      </c>
      <c r="J143" s="3" t="str">
        <f t="shared" si="12"/>
        <v>Homo</v>
      </c>
      <c r="K143" s="3" t="str">
        <f t="shared" si="12"/>
        <v>NC_000017.10:g.[43892600A&gt;G];[43892600A&gt;G]</v>
      </c>
      <c r="L143" s="3" t="str">
        <f t="shared" si="12"/>
        <v>NC_000017.10:g.[43902997G&gt;A];[43902997G&gt;A]</v>
      </c>
    </row>
    <row r="144" spans="1:12" x14ac:dyDescent="0.25">
      <c r="A144" s="26"/>
      <c r="C144" s="3" t="str">
        <f>CONCATENATE("                  } &gt; ")</f>
        <v xml:space="preserve">                  } &gt; </v>
      </c>
      <c r="J144" s="3" t="str">
        <f t="shared" si="12"/>
        <v>Wildtype</v>
      </c>
      <c r="K144" s="3" t="str">
        <f t="shared" si="12"/>
        <v>NC_000017.10:g.[43892600=];[43892600=]</v>
      </c>
      <c r="L144" s="3" t="str">
        <f t="shared" si="12"/>
        <v>NC_000017.10:g.[43902997=];[43902997=]</v>
      </c>
    </row>
    <row r="145" spans="1:12" x14ac:dyDescent="0.25">
      <c r="A145" s="26"/>
      <c r="J145" s="3" t="str">
        <f>J125</f>
        <v>Het%</v>
      </c>
      <c r="K145" s="3">
        <f>K125</f>
        <v>48.4</v>
      </c>
      <c r="L145" s="3">
        <f>L125</f>
        <v>15.7</v>
      </c>
    </row>
    <row r="146" spans="1:12" x14ac:dyDescent="0.25">
      <c r="A146" s="26"/>
      <c r="C146" s="3" t="s">
        <v>26</v>
      </c>
      <c r="J146" s="3" t="str">
        <f t="shared" ref="J146:L147" si="13">J126</f>
        <v>Homo%</v>
      </c>
      <c r="K146" s="3">
        <f t="shared" si="13"/>
        <v>35.5</v>
      </c>
      <c r="L146" s="3">
        <f t="shared" si="13"/>
        <v>4.7</v>
      </c>
    </row>
    <row r="147" spans="1:12" x14ac:dyDescent="0.25">
      <c r="A147" s="14"/>
      <c r="J147" s="3" t="str">
        <f t="shared" si="13"/>
        <v>Wildtype%</v>
      </c>
      <c r="K147" s="3">
        <f t="shared" si="13"/>
        <v>16.3</v>
      </c>
      <c r="L147" s="3">
        <f t="shared" si="13"/>
        <v>79.599999999999994</v>
      </c>
    </row>
    <row r="148" spans="1:12" x14ac:dyDescent="0.25">
      <c r="A148" s="14"/>
      <c r="C148" s="3" t="str">
        <f>CONCATENATE("    ",B141)</f>
        <v xml:space="preserve">    People with this variant have one copy of the [G45825631A](https://www.ncbi.nlm.nih.gov/projects/SNP/snp_ref.cgi?rs=1396862) and two copies of the [A45815234G](https://www.ncbi.nlm.nih.gov/projects/SNP/snp_ref.cgi?rs=242940) variants. This substitution of a single nucleotide is known as a missense mutation.</v>
      </c>
    </row>
    <row r="149" spans="1:12" x14ac:dyDescent="0.25">
      <c r="A149" s="14"/>
    </row>
    <row r="150" spans="1:12" x14ac:dyDescent="0.25">
      <c r="A150" s="14"/>
      <c r="C150" s="3" t="s">
        <v>29</v>
      </c>
    </row>
    <row r="151" spans="1:12" x14ac:dyDescent="0.25">
      <c r="A151" s="14"/>
    </row>
    <row r="152" spans="1:12" x14ac:dyDescent="0.25">
      <c r="A152" s="26"/>
      <c r="C152" s="3" t="str">
        <f>CONCATENATE(B142)</f>
        <v xml:space="preserve">    There is currently no data on the interaction between these variants.  However, some information exists on the individual variants. 
    # What is the effect of C78606381T (T;T)?
    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[two](https://www.ncbi.nlm.nih.gov/pubmed/21559498)[cigarettes](https://www.ncbi.nlm.nih.gov/pubmed/23870182)[per day](https://www.ncbi.nlm.nih.gov/pubmed/20418890) and may also cause greatly increased [smoking persistence](https://www.ncbi.nlm.nih.gov/pubmed/22290489).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
    # What is the effect of C645T?
    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#What should I do about this?
    People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(NKC)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[Histone deacetylase inhibitors (HDACi) including suberoylanilide hydroxamic acid and valproric acid](https://www.ncbi.nlm.nih.gov/pubmed/17349632/) impair NKC function, and should be avoided.</v>
      </c>
    </row>
    <row r="153" spans="1:12" x14ac:dyDescent="0.25">
      <c r="A153" s="26"/>
    </row>
    <row r="154" spans="1:12" x14ac:dyDescent="0.25">
      <c r="A154" s="26"/>
      <c r="C154" s="3" t="s">
        <v>30</v>
      </c>
    </row>
    <row r="155" spans="1:12" x14ac:dyDescent="0.25">
      <c r="A155" s="26"/>
    </row>
    <row r="156" spans="1:12" x14ac:dyDescent="0.25">
      <c r="A156" s="26"/>
      <c r="C156" s="3" t="str">
        <f>CONCATENATE( "    &lt;piechart percentage=",B143," /&gt;")</f>
        <v xml:space="preserve">    &lt;piechart percentage= /&gt;</v>
      </c>
    </row>
    <row r="157" spans="1:12" x14ac:dyDescent="0.25">
      <c r="A157" s="26"/>
      <c r="C157" s="3" t="str">
        <f>"  &lt;/Analysis&gt;"</f>
        <v xml:space="preserve">  &lt;/Analysis&gt;</v>
      </c>
      <c r="K157" s="21" t="str">
        <f t="shared" ref="K157:L159" si="14">K117</f>
        <v>rs242940</v>
      </c>
      <c r="L157" s="21" t="str">
        <f t="shared" si="14"/>
        <v>rs1396862</v>
      </c>
    </row>
    <row r="158" spans="1:12" s="21" customFormat="1" x14ac:dyDescent="0.25">
      <c r="A158" s="28" t="s">
        <v>70</v>
      </c>
      <c r="B158" s="20" t="str">
        <f>CONCATENATE(B58," and ",B98)</f>
        <v>A45815234G (G;G) and G45825631A (A;A)</v>
      </c>
      <c r="C158" s="21" t="str">
        <f>CONCATENATE("&lt;# ",B158," #&gt;")</f>
        <v>&lt;# A45815234G (G;G) and G45825631A (A;A) #&gt;</v>
      </c>
      <c r="K158" s="21" t="str">
        <f t="shared" si="14"/>
        <v>A45815234G</v>
      </c>
      <c r="L158" s="21" t="str">
        <f t="shared" si="14"/>
        <v>G45825631A</v>
      </c>
    </row>
    <row r="159" spans="1:12" x14ac:dyDescent="0.25">
      <c r="A159" s="14" t="s">
        <v>21</v>
      </c>
      <c r="B159" s="15" t="str">
        <f>K62</f>
        <v>NC_000017.10:g.[43892600A&gt;G];[43892600=]</v>
      </c>
      <c r="K159" s="3" t="str">
        <f t="shared" si="14"/>
        <v>NC_000017.10:g.</v>
      </c>
      <c r="L159" s="3" t="str">
        <f t="shared" si="14"/>
        <v>NC_000017.10:g.</v>
      </c>
    </row>
    <row r="160" spans="1:12" x14ac:dyDescent="0.25">
      <c r="A160" s="14" t="s">
        <v>72</v>
      </c>
      <c r="B160" s="15" t="str">
        <f>L62</f>
        <v>NC_000017.10:g.[43902997G&gt;A];[43902997=]</v>
      </c>
      <c r="C160" s="3" t="str">
        <f>CONCATENATE("  &lt;Analysis name=",CHAR(34),B158,CHAR(34))</f>
        <v xml:space="preserve">  &lt;Analysis name="A45815234G (G;G) and G45825631A (A;A)"</v>
      </c>
      <c r="J160" s="3" t="str">
        <f t="shared" ref="J160:L164" si="15">J120</f>
        <v>Variant</v>
      </c>
      <c r="K160" s="3" t="str">
        <f t="shared" si="15"/>
        <v>[43892600A&gt;G]</v>
      </c>
      <c r="L160" s="3" t="str">
        <f t="shared" si="15"/>
        <v>[43902997G&gt;A]</v>
      </c>
    </row>
    <row r="161" spans="1:12" x14ac:dyDescent="0.25">
      <c r="A161" s="26" t="s">
        <v>75</v>
      </c>
      <c r="B161" s="15" t="str">
        <f>CONCATENATE("People with this variant have two copies of the ",B22, " and ",B31," variants. This substitution of a single nucleotide is known as a missense mutation.")</f>
        <v>People with this variant have two copies of the [A45815234G](https://www.ncbi.nlm.nih.gov/projects/SNP/snp_ref.cgi?rs=242940) and [G45825631A](https://www.ncbi.nlm.nih.gov/projects/SNP/snp_ref.cgi?rs=1396862) variants. This substitution of a single nucleotide is known as a missense mutation.</v>
      </c>
      <c r="C161" s="3" t="str">
        <f>CONCATENATE("            case={  variantCall ",CHAR(40),CHAR(34),K163,CHAR(34),CHAR(41))</f>
        <v xml:space="preserve">            case={  variantCall ("NC_000017.10:g.[43892600A&gt;G];[43892600A&gt;G]")</v>
      </c>
      <c r="J161" s="3" t="str">
        <f t="shared" si="15"/>
        <v>Wildtype</v>
      </c>
      <c r="K161" s="3" t="str">
        <f t="shared" si="15"/>
        <v>[43892600=]</v>
      </c>
      <c r="L161" s="3" t="str">
        <f t="shared" si="15"/>
        <v>[43902997=]</v>
      </c>
    </row>
    <row r="162" spans="1:12" x14ac:dyDescent="0.25">
      <c r="A162" s="26" t="s">
        <v>28</v>
      </c>
      <c r="B162" s="15" t="s">
        <v>165</v>
      </c>
      <c r="C162" s="3" t="s">
        <v>71</v>
      </c>
      <c r="J162" s="3" t="str">
        <f t="shared" si="15"/>
        <v>Het</v>
      </c>
      <c r="K162" s="3" t="str">
        <f t="shared" si="15"/>
        <v>NC_000017.10:g.[43892600A&gt;G];[43892600=]</v>
      </c>
      <c r="L162" s="3" t="str">
        <f t="shared" si="15"/>
        <v>NC_000017.10:g.[43902997G&gt;A];[43902997=]</v>
      </c>
    </row>
    <row r="163" spans="1:12" x14ac:dyDescent="0.25">
      <c r="A163" s="26" t="s">
        <v>73</v>
      </c>
      <c r="C163" s="3" t="str">
        <f>CONCATENATE("                    variantCall ",CHAR(40),CHAR(34),L163,CHAR(34),CHAR(41))</f>
        <v xml:space="preserve">                    variantCall ("NC_000017.10:g.[43902997G&gt;A];[43902997G&gt;A]")</v>
      </c>
      <c r="J163" s="3" t="str">
        <f t="shared" si="15"/>
        <v>Homo</v>
      </c>
      <c r="K163" s="3" t="str">
        <f t="shared" si="15"/>
        <v>NC_000017.10:g.[43892600A&gt;G];[43892600A&gt;G]</v>
      </c>
      <c r="L163" s="3" t="str">
        <f t="shared" si="15"/>
        <v>NC_000017.10:g.[43902997G&gt;A];[43902997G&gt;A]</v>
      </c>
    </row>
    <row r="164" spans="1:12" x14ac:dyDescent="0.25">
      <c r="A164" s="26"/>
      <c r="C164" s="3" t="str">
        <f>CONCATENATE("                  } &gt; ")</f>
        <v xml:space="preserve">                  } &gt; </v>
      </c>
      <c r="J164" s="3" t="str">
        <f t="shared" si="15"/>
        <v>Wildtype</v>
      </c>
      <c r="K164" s="3" t="str">
        <f t="shared" si="15"/>
        <v>NC_000017.10:g.[43892600=];[43892600=]</v>
      </c>
      <c r="L164" s="3" t="str">
        <f t="shared" si="15"/>
        <v>NC_000017.10:g.[43902997=];[43902997=]</v>
      </c>
    </row>
    <row r="165" spans="1:12" x14ac:dyDescent="0.25">
      <c r="A165" s="26"/>
      <c r="J165" s="3" t="str">
        <f>J125</f>
        <v>Het%</v>
      </c>
      <c r="K165" s="3">
        <f>K125</f>
        <v>48.4</v>
      </c>
      <c r="L165" s="3">
        <f>L125</f>
        <v>15.7</v>
      </c>
    </row>
    <row r="166" spans="1:12" x14ac:dyDescent="0.25">
      <c r="A166" s="26"/>
      <c r="C166" s="3" t="s">
        <v>26</v>
      </c>
      <c r="J166" s="3" t="str">
        <f t="shared" ref="J166:L167" si="16">J126</f>
        <v>Homo%</v>
      </c>
      <c r="K166" s="3">
        <f t="shared" si="16"/>
        <v>35.5</v>
      </c>
      <c r="L166" s="3">
        <f t="shared" si="16"/>
        <v>4.7</v>
      </c>
    </row>
    <row r="167" spans="1:12" x14ac:dyDescent="0.25">
      <c r="A167" s="14"/>
      <c r="J167" s="3" t="str">
        <f t="shared" si="16"/>
        <v>Wildtype%</v>
      </c>
      <c r="K167" s="3">
        <f t="shared" si="16"/>
        <v>16.3</v>
      </c>
      <c r="L167" s="3">
        <f t="shared" si="16"/>
        <v>79.599999999999994</v>
      </c>
    </row>
    <row r="168" spans="1:12" x14ac:dyDescent="0.25">
      <c r="A168" s="14"/>
      <c r="C168" s="3" t="str">
        <f>CONCATENATE("    ",B161)</f>
        <v xml:space="preserve">    People with this variant have two copies of the [A45815234G](https://www.ncbi.nlm.nih.gov/projects/SNP/snp_ref.cgi?rs=242940) and [G45825631A](https://www.ncbi.nlm.nih.gov/projects/SNP/snp_ref.cgi?rs=1396862) variants. This substitution of a single nucleotide is known as a missense mutation.</v>
      </c>
    </row>
    <row r="169" spans="1:12" x14ac:dyDescent="0.25">
      <c r="A169" s="14"/>
    </row>
    <row r="170" spans="1:12" x14ac:dyDescent="0.25">
      <c r="A170" s="14"/>
      <c r="C170" s="3" t="s">
        <v>29</v>
      </c>
    </row>
    <row r="171" spans="1:12" x14ac:dyDescent="0.25">
      <c r="A171" s="14"/>
    </row>
    <row r="172" spans="1:12" x14ac:dyDescent="0.25">
      <c r="A172" s="26"/>
      <c r="C172" s="3" t="str">
        <f>CONCATENATE(B162)</f>
        <v xml:space="preserve">    There is currently no data on the interaction between these variants.  However, some information exists on the individual variants. 
    # What is the effect of C78606381T (T;T)?
    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[two](https://www.ncbi.nlm.nih.gov/pubmed/21559498)[cigarettes](https://www.ncbi.nlm.nih.gov/pubmed/23870182)[per day](https://www.ncbi.nlm.nih.gov/pubmed/20418890) and may also cause greatly increased [smoking persistence](https://www.ncbi.nlm.nih.gov/pubmed/22290489).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
    # What is the effect of C645T?
    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day](https://www.ncbi.nlm.nih.gov/pubmed/27663783)[(odds ratio 2.66)](https://www.ncbi.nlm.nih.gov/pubmed/25632390) and [severity of nicotine addiction (odds ratio 2.6)](https://www.ncbi.nlm.nih.gov/pubmed/25632390). There is a [5.8% decrease](https://www.ncbi.nlm.nih.gov/pubmed/25891233) in adherence to prescribed Nicotine replacement therapy (NRT) dose, and a [2.0mg decrease](https://www.ncbi.nlm.nih.gov/pubmed/25891233) in daily NRT consumption up to 28 days after beginning treatment.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are also greatly increased. Homozygotes had increased risk of [antipsychotic medication and schizophrenia](https://www.ncbi.nlm.nih.gov/pubmed/26054357).
    # What should I do about this?
    People should not smoke or use cocaine.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(NKC)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[Histone deacetylase inhibitors (HDACi) including suberoylanilide hydroxamic acid and valproric acid](https://www.ncbi.nlm.nih.gov/pubmed/17349632/) impair NKC function, and should be avoided.</v>
      </c>
    </row>
    <row r="173" spans="1:12" x14ac:dyDescent="0.25">
      <c r="A173" s="26"/>
    </row>
    <row r="174" spans="1:12" x14ac:dyDescent="0.25">
      <c r="A174" s="26"/>
      <c r="C174" s="3" t="s">
        <v>30</v>
      </c>
    </row>
    <row r="175" spans="1:12" x14ac:dyDescent="0.25">
      <c r="A175" s="26"/>
    </row>
    <row r="176" spans="1:12" x14ac:dyDescent="0.25">
      <c r="A176" s="26"/>
      <c r="C176" s="3" t="str">
        <f>CONCATENATE( "    &lt;piechart percentage=",B163," /&gt;")</f>
        <v xml:space="preserve">    &lt;piechart percentage= /&gt;</v>
      </c>
    </row>
    <row r="177" spans="1:12" x14ac:dyDescent="0.25">
      <c r="A177" s="26"/>
      <c r="C177" s="3" t="str">
        <f>"  &lt;/Analysis&gt;"</f>
        <v xml:space="preserve">  &lt;/Analysis&gt;</v>
      </c>
      <c r="K177" s="21" t="str">
        <f t="shared" ref="K177:L179" si="17">K157</f>
        <v>rs242940</v>
      </c>
      <c r="L177" s="21" t="str">
        <f t="shared" si="17"/>
        <v>rs1396862</v>
      </c>
    </row>
    <row r="178" spans="1:12" s="21" customFormat="1" x14ac:dyDescent="0.25">
      <c r="A178" s="28" t="s">
        <v>70</v>
      </c>
      <c r="B178" s="20" t="str">
        <f>CONCATENATE(B38," and ",B98)</f>
        <v>A45815234G (A;G) and G45825631A (A;A)</v>
      </c>
      <c r="C178" s="21" t="str">
        <f>CONCATENATE("&lt;# ",B178," #&gt;")</f>
        <v>&lt;# A45815234G (A;G) and G45825631A (A;A) #&gt;</v>
      </c>
      <c r="K178" s="21" t="str">
        <f t="shared" si="17"/>
        <v>A45815234G</v>
      </c>
      <c r="L178" s="21" t="str">
        <f t="shared" si="17"/>
        <v>G45825631A</v>
      </c>
    </row>
    <row r="179" spans="1:12" x14ac:dyDescent="0.25">
      <c r="A179" s="14" t="s">
        <v>21</v>
      </c>
      <c r="B179" s="15" t="str">
        <f>K82</f>
        <v>NC_000017.10:g.[43892600A&gt;G];[43892600=]</v>
      </c>
      <c r="K179" s="3" t="str">
        <f t="shared" si="17"/>
        <v>NC_000017.10:g.</v>
      </c>
      <c r="L179" s="3" t="str">
        <f t="shared" si="17"/>
        <v>NC_000017.10:g.</v>
      </c>
    </row>
    <row r="180" spans="1:12" x14ac:dyDescent="0.25">
      <c r="A180" s="14" t="s">
        <v>72</v>
      </c>
      <c r="B180" s="15" t="str">
        <f>L82</f>
        <v>NC_000017.10:g.[43902997G&gt;A];[43902997=]</v>
      </c>
      <c r="C180" s="3" t="str">
        <f>CONCATENATE("  &lt;Analysis name=",CHAR(34),B178,CHAR(34))</f>
        <v xml:space="preserve">  &lt;Analysis name="A45815234G (A;G) and G45825631A (A;A)"</v>
      </c>
      <c r="J180" s="3" t="str">
        <f t="shared" ref="J180:L184" si="18">J160</f>
        <v>Variant</v>
      </c>
      <c r="K180" s="3" t="str">
        <f t="shared" si="18"/>
        <v>[43892600A&gt;G]</v>
      </c>
      <c r="L180" s="3" t="str">
        <f t="shared" si="18"/>
        <v>[43902997G&gt;A]</v>
      </c>
    </row>
    <row r="181" spans="1:12" x14ac:dyDescent="0.25">
      <c r="A181" s="26" t="s">
        <v>75</v>
      </c>
      <c r="B181" s="15" t="str">
        <f>CONCATENATE("People with this variant have one copy of the ",B22, " and two copies of the ",B31," variants. This substitution of a single nucleotide is known as a missense mutation.")</f>
        <v>People with this variant have one copy of the [A45815234G](https://www.ncbi.nlm.nih.gov/projects/SNP/snp_ref.cgi?rs=242940) and two copies of the [G45825631A](https://www.ncbi.nlm.nih.gov/projects/SNP/snp_ref.cgi?rs=1396862) variants. This substitution of a single nucleotide is known as a missense mutation.</v>
      </c>
      <c r="C181" s="3" t="str">
        <f>CONCATENATE("            case={  variantCall ",CHAR(40),CHAR(34),K182,CHAR(34),CHAR(41))</f>
        <v xml:space="preserve">            case={  variantCall ("NC_000017.10:g.[43892600A&gt;G];[43892600=]")</v>
      </c>
      <c r="J181" s="3" t="str">
        <f t="shared" si="18"/>
        <v>Wildtype</v>
      </c>
      <c r="K181" s="3" t="str">
        <f t="shared" si="18"/>
        <v>[43892600=]</v>
      </c>
      <c r="L181" s="3" t="str">
        <f t="shared" si="18"/>
        <v>[43902997=]</v>
      </c>
    </row>
    <row r="182" spans="1:12" x14ac:dyDescent="0.25">
      <c r="A182" s="26" t="s">
        <v>28</v>
      </c>
      <c r="B182" s="15" t="s">
        <v>162</v>
      </c>
      <c r="C182" s="3" t="s">
        <v>71</v>
      </c>
      <c r="J182" s="3" t="str">
        <f t="shared" si="18"/>
        <v>Het</v>
      </c>
      <c r="K182" s="3" t="str">
        <f t="shared" si="18"/>
        <v>NC_000017.10:g.[43892600A&gt;G];[43892600=]</v>
      </c>
      <c r="L182" s="3" t="str">
        <f t="shared" si="18"/>
        <v>NC_000017.10:g.[43902997G&gt;A];[43902997=]</v>
      </c>
    </row>
    <row r="183" spans="1:12" x14ac:dyDescent="0.25">
      <c r="A183" s="26" t="s">
        <v>73</v>
      </c>
      <c r="C183" s="3" t="str">
        <f>CONCATENATE("                    variantCall ",CHAR(40),CHAR(34),L183,CHAR(34),CHAR(41))</f>
        <v xml:space="preserve">                    variantCall ("NC_000017.10:g.[43902997G&gt;A];[43902997G&gt;A]")</v>
      </c>
      <c r="J183" s="3" t="str">
        <f t="shared" si="18"/>
        <v>Homo</v>
      </c>
      <c r="K183" s="3" t="str">
        <f t="shared" si="18"/>
        <v>NC_000017.10:g.[43892600A&gt;G];[43892600A&gt;G]</v>
      </c>
      <c r="L183" s="3" t="str">
        <f t="shared" si="18"/>
        <v>NC_000017.10:g.[43902997G&gt;A];[43902997G&gt;A]</v>
      </c>
    </row>
    <row r="184" spans="1:12" x14ac:dyDescent="0.25">
      <c r="A184" s="26"/>
      <c r="C184" s="3" t="str">
        <f>CONCATENATE("                  } &gt; ")</f>
        <v xml:space="preserve">                  } &gt; </v>
      </c>
      <c r="J184" s="3" t="str">
        <f t="shared" si="18"/>
        <v>Wildtype</v>
      </c>
      <c r="K184" s="3" t="str">
        <f t="shared" si="18"/>
        <v>NC_000017.10:g.[43892600=];[43892600=]</v>
      </c>
      <c r="L184" s="3" t="str">
        <f t="shared" si="18"/>
        <v>NC_000017.10:g.[43902997=];[43902997=]</v>
      </c>
    </row>
    <row r="185" spans="1:12" x14ac:dyDescent="0.25">
      <c r="A185" s="26"/>
      <c r="J185" s="3" t="str">
        <f>J165</f>
        <v>Het%</v>
      </c>
      <c r="K185" s="3">
        <f>K165</f>
        <v>48.4</v>
      </c>
      <c r="L185" s="3">
        <f>L165</f>
        <v>15.7</v>
      </c>
    </row>
    <row r="186" spans="1:12" x14ac:dyDescent="0.25">
      <c r="A186" s="26"/>
      <c r="C186" s="3" t="s">
        <v>26</v>
      </c>
      <c r="J186" s="3" t="str">
        <f t="shared" ref="J186:L187" si="19">J166</f>
        <v>Homo%</v>
      </c>
      <c r="K186" s="3">
        <f t="shared" si="19"/>
        <v>35.5</v>
      </c>
      <c r="L186" s="3">
        <f t="shared" si="19"/>
        <v>4.7</v>
      </c>
    </row>
    <row r="187" spans="1:12" x14ac:dyDescent="0.25">
      <c r="A187" s="14"/>
      <c r="J187" s="3" t="str">
        <f t="shared" si="19"/>
        <v>Wildtype%</v>
      </c>
      <c r="K187" s="3">
        <f t="shared" si="19"/>
        <v>16.3</v>
      </c>
      <c r="L187" s="3">
        <f t="shared" si="19"/>
        <v>79.599999999999994</v>
      </c>
    </row>
    <row r="188" spans="1:12" x14ac:dyDescent="0.25">
      <c r="A188" s="14"/>
      <c r="C188" s="3" t="str">
        <f>CONCATENATE("    ",B181)</f>
        <v xml:space="preserve">    People with this variant have one copy of the [A45815234G](https://www.ncbi.nlm.nih.gov/projects/SNP/snp_ref.cgi?rs=242940) and two copies of the [G45825631A](https://www.ncbi.nlm.nih.gov/projects/SNP/snp_ref.cgi?rs=1396862) variants. This substitution of a single nucleotide is known as a missense mutation.</v>
      </c>
    </row>
    <row r="189" spans="1:12" x14ac:dyDescent="0.25">
      <c r="A189" s="14"/>
    </row>
    <row r="190" spans="1:12" x14ac:dyDescent="0.25">
      <c r="A190" s="14"/>
      <c r="C190" s="3" t="s">
        <v>29</v>
      </c>
    </row>
    <row r="191" spans="1:12" x14ac:dyDescent="0.25">
      <c r="A191" s="14"/>
    </row>
    <row r="192" spans="1:12" x14ac:dyDescent="0.25">
      <c r="A192" s="26"/>
      <c r="C192" s="3" t="str">
        <f>CONCATENATE(B182)</f>
        <v xml:space="preserve">    # What is the effect of C78606381T (C;T)?
    The CHRNA3 protein plays a role in developing nicotine dependence and regulating nicotine receptor proliferation and destruction. Incorrect formation of the nicotine neurotransmitter receptor protein has a variety of effects. This heterozygous variant causes increased risk of [lung cancer](https://www.ncbi.nlm.nih.gov/pubmed/23094028), with an [odds ratio of 1.2](https://www.ncbi.nlm.nih.gov/pubmed/28827732), and [COPD](https://www.ncbi.nlm.nih.gov/pubmed/24621683), with an [odds ratio of 1.39](https://www.ncbi.nlm.nih.gov/pubmed/24621683). It causes an [increase](https://www.ncbi.nlm.nih.gov/pubmed/29030599) of [one](https://www.ncbi.nlm.nih.gov/pubmed/21559498)[cigarette](https://www.ncbi.nlm.nih.gov/pubmed/23870182)[per day](https://www.ncbi.nlm.nih.gov/pubmed/20418890) and may also cause [smoking persistence](https://www.ncbi.nlm.nih.gov/pubmed/22290489). However, the C allele is protective, with a [decrease of 3.25 packs per year per C allele](https://www.ncbi.nlm.nih.gov/pubmed/21436384). Finally, his variant may cause an increase in [cocaine dependence](https://www.ncbi.nlm.nih.gov/pubmed/20485328).
    # What is the effect of C645T?
    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 What should I do about this?
    People should not smoke or use cocaine.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93" spans="1:3" x14ac:dyDescent="0.25">
      <c r="A193" s="26"/>
    </row>
    <row r="194" spans="1:3" x14ac:dyDescent="0.25">
      <c r="A194" s="26"/>
      <c r="C194" s="3" t="s">
        <v>30</v>
      </c>
    </row>
    <row r="195" spans="1:3" x14ac:dyDescent="0.25">
      <c r="A195" s="26"/>
    </row>
    <row r="196" spans="1:3" x14ac:dyDescent="0.25">
      <c r="A196" s="26"/>
      <c r="C196" s="3" t="str">
        <f>CONCATENATE( "    &lt;piechart percentage=",B183," /&gt;")</f>
        <v xml:space="preserve">    &lt;piechart percentage= /&gt;</v>
      </c>
    </row>
    <row r="197" spans="1:3" x14ac:dyDescent="0.25">
      <c r="A197" s="26"/>
      <c r="C197" s="3" t="str">
        <f>"  &lt;/Analysis&gt;"</f>
        <v xml:space="preserve">  &lt;/Analysis&gt;</v>
      </c>
    </row>
    <row r="198" spans="1:3" s="21" customFormat="1" x14ac:dyDescent="0.25">
      <c r="A198" s="28" t="s">
        <v>70</v>
      </c>
      <c r="B198" s="20" t="s">
        <v>85</v>
      </c>
      <c r="C198" s="21" t="str">
        <f>CONCATENATE("&lt;# ",B198," #&gt;")</f>
        <v>&lt;# Wild type #&gt;</v>
      </c>
    </row>
    <row r="199" spans="1:3" x14ac:dyDescent="0.25">
      <c r="A199" s="14" t="s">
        <v>21</v>
      </c>
      <c r="B199" s="15" t="str">
        <f>K44</f>
        <v>NC_000017.10:g.[43892600=];[43892600=]</v>
      </c>
    </row>
    <row r="200" spans="1:3" x14ac:dyDescent="0.25">
      <c r="A200" s="14" t="s">
        <v>72</v>
      </c>
      <c r="B200" s="15" t="str">
        <f>L44</f>
        <v>NC_000017.10:g.[43902997=];[43902997=]</v>
      </c>
      <c r="C200" s="3" t="str">
        <f>CONCATENATE("  &lt;Analysis name=",CHAR(34),B198,CHAR(34))</f>
        <v xml:space="preserve">  &lt;Analysis name="Wild type"</v>
      </c>
    </row>
    <row r="201" spans="1:3" x14ac:dyDescent="0.25">
      <c r="A201" s="26" t="s">
        <v>75</v>
      </c>
      <c r="B201" s="15" t="str">
        <f>CONCATENATE("Your ",B12," gene has no variants. A normal gene is referred to as a ",CHAR(34),"wild-type",CHAR(34)," gene.")</f>
        <v>Your CRHR1 gene has no variants. A normal gene is referred to as a "wild-type" gene.</v>
      </c>
      <c r="C201" s="3" t="str">
        <f>CONCATENATE("            case={  variantCall ",CHAR(40),CHAR(34),B199,CHAR(34),CHAR(41))</f>
        <v xml:space="preserve">            case={  variantCall ("NC_000017.10:g.[43892600=];[43892600=]")</v>
      </c>
    </row>
    <row r="202" spans="1:3" x14ac:dyDescent="0.25">
      <c r="A202" s="26" t="s">
        <v>28</v>
      </c>
      <c r="C202" s="3" t="s">
        <v>71</v>
      </c>
    </row>
    <row r="203" spans="1:3" x14ac:dyDescent="0.25">
      <c r="A203" s="26" t="s">
        <v>73</v>
      </c>
      <c r="C203" s="3" t="str">
        <f>CONCATENATE("                    variantCall ",CHAR(40),CHAR(34),B200,CHAR(34),CHAR(41))</f>
        <v xml:space="preserve">                    variantCall ("NC_000017.10:g.[43902997=];[43902997=]")</v>
      </c>
    </row>
    <row r="204" spans="1:3" x14ac:dyDescent="0.25">
      <c r="A204" s="26"/>
      <c r="C204" s="3" t="str">
        <f>CONCATENATE("                  } &gt; ")</f>
        <v xml:space="preserve">                  } &gt; </v>
      </c>
    </row>
    <row r="205" spans="1:3" x14ac:dyDescent="0.25">
      <c r="A205" s="26"/>
    </row>
    <row r="206" spans="1:3" x14ac:dyDescent="0.25">
      <c r="A206" s="26"/>
      <c r="C206" s="3" t="s">
        <v>26</v>
      </c>
    </row>
    <row r="207" spans="1:3" x14ac:dyDescent="0.25">
      <c r="A207" s="14"/>
    </row>
    <row r="208" spans="1:3" x14ac:dyDescent="0.25">
      <c r="A208" s="14"/>
      <c r="C208" s="3" t="str">
        <f>CONCATENATE("    ",B201)</f>
        <v xml:space="preserve">    Your CRHR1 gene has no variants. A normal gene is referred to as a "wild-type" gene.</v>
      </c>
    </row>
    <row r="209" spans="1:3" x14ac:dyDescent="0.25">
      <c r="A209" s="14"/>
    </row>
    <row r="210" spans="1:3" x14ac:dyDescent="0.25">
      <c r="A210" s="26"/>
      <c r="C210" s="3" t="s">
        <v>30</v>
      </c>
    </row>
    <row r="211" spans="1:3" x14ac:dyDescent="0.25">
      <c r="A211" s="26"/>
    </row>
    <row r="212" spans="1:3" x14ac:dyDescent="0.25">
      <c r="A212" s="26"/>
      <c r="C212" s="3" t="str">
        <f>CONCATENATE( "    &lt;piechart percentage=",B203," /&gt;")</f>
        <v xml:space="preserve">    &lt;piechart percentage= /&gt;</v>
      </c>
    </row>
    <row r="213" spans="1:3" x14ac:dyDescent="0.25">
      <c r="A213" s="26"/>
      <c r="C213" s="3" t="str">
        <f>"  &lt;/Analysis&gt;"</f>
        <v xml:space="preserve">  &lt;/Analysis&gt;</v>
      </c>
    </row>
    <row r="214" spans="1:3" s="21" customFormat="1" x14ac:dyDescent="0.25">
      <c r="A214" s="28" t="s">
        <v>70</v>
      </c>
      <c r="B214" s="20" t="s">
        <v>86</v>
      </c>
      <c r="C214" s="21" t="str">
        <f>CONCATENATE("&lt;# ",B214," #&gt;")</f>
        <v>&lt;# Unknown #&gt;</v>
      </c>
    </row>
    <row r="215" spans="1:3" x14ac:dyDescent="0.25">
      <c r="A215" s="14" t="s">
        <v>21</v>
      </c>
      <c r="B215" s="15" t="str">
        <f>K60</f>
        <v>[43892600A&gt;G]</v>
      </c>
    </row>
    <row r="216" spans="1:3" x14ac:dyDescent="0.25">
      <c r="A216" s="14" t="s">
        <v>72</v>
      </c>
      <c r="C216" s="3" t="str">
        <f>CONCATENATE("  &lt;Analysis name=",CHAR(34),B214,CHAR(34), " case=true&gt;")</f>
        <v xml:space="preserve">  &lt;Analysis name="Unknown" case=true&gt;</v>
      </c>
    </row>
    <row r="217" spans="1:3" x14ac:dyDescent="0.25">
      <c r="A217" s="26" t="s">
        <v>75</v>
      </c>
      <c r="B217" s="15" t="s">
        <v>31</v>
      </c>
    </row>
    <row r="218" spans="1:3" x14ac:dyDescent="0.25">
      <c r="A218" s="26" t="s">
        <v>73</v>
      </c>
      <c r="B218" s="15">
        <v>0</v>
      </c>
      <c r="C218" s="3" t="s">
        <v>26</v>
      </c>
    </row>
    <row r="219" spans="1:3" x14ac:dyDescent="0.25">
      <c r="A219" s="26"/>
    </row>
    <row r="220" spans="1:3" x14ac:dyDescent="0.25">
      <c r="A220" s="14"/>
      <c r="C220" s="3" t="str">
        <f>CONCATENATE("    ",B217)</f>
        <v xml:space="preserve">    The effect is unknown.</v>
      </c>
    </row>
    <row r="221" spans="1:3" x14ac:dyDescent="0.25">
      <c r="A221" s="14"/>
    </row>
    <row r="222" spans="1:3" x14ac:dyDescent="0.25">
      <c r="A222" s="14"/>
      <c r="C222" s="3" t="s">
        <v>30</v>
      </c>
    </row>
    <row r="223" spans="1:3" x14ac:dyDescent="0.25">
      <c r="A223" s="26"/>
    </row>
    <row r="224" spans="1:3" x14ac:dyDescent="0.25">
      <c r="A224" s="26"/>
      <c r="C224" s="3" t="str">
        <f>CONCATENATE( "    &lt;piechart percentage=",B218," /&gt;")</f>
        <v xml:space="preserve">    &lt;piechart percentage=0 /&gt;</v>
      </c>
    </row>
    <row r="225" spans="1:3" x14ac:dyDescent="0.25">
      <c r="A225" s="26"/>
      <c r="C225" s="3" t="str">
        <f>"  &lt;/Analysis&gt;"</f>
        <v xml:space="preserve">  &lt;/Analysis&gt;</v>
      </c>
    </row>
    <row r="226" spans="1:3" x14ac:dyDescent="0.25">
      <c r="A226" s="14"/>
      <c r="C226" s="31" t="s">
        <v>78</v>
      </c>
    </row>
    <row r="227" spans="1:3" s="21" customFormat="1" x14ac:dyDescent="0.25">
      <c r="A227" s="19"/>
      <c r="B227" s="20"/>
      <c r="C227" s="35"/>
    </row>
    <row r="228" spans="1:3" x14ac:dyDescent="0.25">
      <c r="A228" s="14" t="s">
        <v>79</v>
      </c>
      <c r="B228" s="30" t="s">
        <v>317</v>
      </c>
      <c r="C228" s="10" t="str">
        <f>CONCATENATE("&lt;# ",A228," ",B228," #&gt;")</f>
        <v>&lt;# Tissues  brain; female tissue #&gt;</v>
      </c>
    </row>
    <row r="229" spans="1:3" x14ac:dyDescent="0.25">
      <c r="A229" s="14"/>
    </row>
    <row r="230" spans="1:3" x14ac:dyDescent="0.25">
      <c r="A230" s="14"/>
      <c r="B230" s="30" t="s">
        <v>318</v>
      </c>
      <c r="C230" s="31" t="str">
        <f>CONCATENATE("&lt;TopicBar ",B230," /&gt;")</f>
        <v>&lt;TopicBar mesh_D001921 mesh_D005836 /&gt;</v>
      </c>
    </row>
    <row r="231" spans="1:3" x14ac:dyDescent="0.25">
      <c r="A231" s="14"/>
    </row>
    <row r="232" spans="1:3" x14ac:dyDescent="0.25">
      <c r="A232" s="14" t="s">
        <v>32</v>
      </c>
      <c r="B232" s="30" t="s">
        <v>315</v>
      </c>
      <c r="C232" s="10" t="str">
        <f>CONCATENATE("&lt;# ",A232," ",B232," #&gt;")</f>
        <v>&lt;# Symptoms symptoms fatigue D005221; depression D003863; stress D040701; orthostatic intolerance (POTS) D054971; pain D010146; inflamation D007249 #&gt;</v>
      </c>
    </row>
    <row r="233" spans="1:3" x14ac:dyDescent="0.25">
      <c r="A233" s="14"/>
    </row>
    <row r="234" spans="1:3" x14ac:dyDescent="0.25">
      <c r="A234" s="14"/>
      <c r="B234" s="30" t="s">
        <v>316</v>
      </c>
      <c r="C234" s="31" t="str">
        <f>CONCATENATE("&lt;TopicBar ",B234," /&gt;")</f>
        <v>&lt;TopicBar mesh_D005221 mesh_D003863 mesh_D040701 mesh_D054971 mesh_D010146 mesh_D007249 /&gt;</v>
      </c>
    </row>
    <row r="235" spans="1:3" x14ac:dyDescent="0.25">
      <c r="A235" s="14"/>
      <c r="C235" s="31"/>
    </row>
    <row r="236" spans="1:3" x14ac:dyDescent="0.25">
      <c r="A236" s="14" t="s">
        <v>48</v>
      </c>
      <c r="B236" s="3" t="s">
        <v>319</v>
      </c>
      <c r="C236" s="10" t="str">
        <f>CONCATENATE("&lt;# ",A236," ",B236," #&gt;")</f>
        <v>&lt;# Diseases Diseases depression D003866; ME/CFS D015673; hypothyroid D007037; Parkinson Disease D010300; #&gt;</v>
      </c>
    </row>
    <row r="237" spans="1:3" x14ac:dyDescent="0.25">
      <c r="A237" s="14"/>
    </row>
    <row r="238" spans="1:3" x14ac:dyDescent="0.25">
      <c r="A238" s="14"/>
      <c r="B238" s="3" t="s">
        <v>320</v>
      </c>
      <c r="C238" s="31" t="str">
        <f>CONCATENATE("&lt;TopicBar ",B238," /&gt;")</f>
        <v>&lt;TopicBar mesh_D003866 mesh_D015673 mesh_D007037 mesh_D010300 /&gt;</v>
      </c>
    </row>
    <row r="239" spans="1:3" x14ac:dyDescent="0.25">
      <c r="A239" s="14"/>
    </row>
    <row r="240" spans="1:3" s="21" customFormat="1" x14ac:dyDescent="0.25">
      <c r="A240" s="28"/>
      <c r="B240" s="20"/>
    </row>
    <row r="241" spans="2:2" x14ac:dyDescent="0.25">
      <c r="B241" s="49"/>
    </row>
    <row r="242" spans="2:2" x14ac:dyDescent="0.25">
      <c r="B242" s="48"/>
    </row>
    <row r="243" spans="2:2" x14ac:dyDescent="0.25">
      <c r="B243" s="49"/>
    </row>
    <row r="244" spans="2:2" x14ac:dyDescent="0.25">
      <c r="B244" s="48"/>
    </row>
    <row r="245" spans="2:2" x14ac:dyDescent="0.25">
      <c r="B245" s="49"/>
    </row>
    <row r="246" spans="2:2" x14ac:dyDescent="0.25">
      <c r="B246" s="48"/>
    </row>
    <row r="247" spans="2:2" x14ac:dyDescent="0.25">
      <c r="B247" s="49"/>
    </row>
    <row r="248" spans="2:2" x14ac:dyDescent="0.25">
      <c r="B248" s="48"/>
    </row>
    <row r="249" spans="2:2" x14ac:dyDescent="0.25">
      <c r="B249" s="49"/>
    </row>
    <row r="250" spans="2:2" x14ac:dyDescent="0.25">
      <c r="B250" s="48"/>
    </row>
    <row r="251" spans="2:2" x14ac:dyDescent="0.25">
      <c r="B251" s="49"/>
    </row>
    <row r="923" spans="3:3" x14ac:dyDescent="0.25">
      <c r="C923" s="3" t="str">
        <f>CONCATENATE("    This variant is a change at a specific point in the ",B914," gene from ",B923," to ",B924," resulting in incorrect ",B917,"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9" spans="3:3" x14ac:dyDescent="0.25">
      <c r="C929" s="3" t="str">
        <f>CONCATENATE("    This variant is a change at a specific point in the ",B914," gene from ",B929," to ",B930," resulting in incorrect ",B917,"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9" spans="3:3" x14ac:dyDescent="0.25">
      <c r="C1059" s="3" t="str">
        <f>CONCATENATE("    This variant is a change at a specific point in the ",B1050," gene from ",B1059," to ",B1060," resulting in incorrect ",B1053,"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5" spans="3:3" x14ac:dyDescent="0.25">
      <c r="C1065" s="3" t="str">
        <f>CONCATENATE("    This variant is a change at a specific point in the ",B1050," gene from ",B1065," to ",B1066," resulting in incorrect ",B1053,"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7" spans="3:3" x14ac:dyDescent="0.25">
      <c r="C1467" s="3" t="str">
        <f>CONCATENATE("    This variant is a change at a specific point in the ",B1458," gene from ",B1467," to ",B1468," resulting in incorrect ",B1461,"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3" spans="3:3" x14ac:dyDescent="0.25">
      <c r="C1473" s="3" t="str">
        <f>CONCATENATE("    This variant is a change at a specific point in the ",B1458," gene from ",B1473," to ",B1474," resulting in incorrect ",B1461,"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3" spans="3:3" x14ac:dyDescent="0.25">
      <c r="C1603" s="3" t="str">
        <f>CONCATENATE("    This variant is a change at a specific point in the ",B1594," gene from ",B1603," to ",B1604," resulting in incorrect ",B1597,"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9" spans="3:3" x14ac:dyDescent="0.25">
      <c r="C1609" s="3" t="str">
        <f>CONCATENATE("    This variant is a change at a specific point in the ",B1594," gene from ",B1609," to ",B1610," resulting in incorrect ",B1597,"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9" spans="3:3" x14ac:dyDescent="0.25">
      <c r="C1739" s="3" t="str">
        <f>CONCATENATE("    This variant is a change at a specific point in the ",B1730," gene from ",B1739," to ",B1740," resulting in incorrect ",B1733,"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5" spans="3:3" x14ac:dyDescent="0.25">
      <c r="C1745" s="3" t="str">
        <f>CONCATENATE("    This variant is a change at a specific point in the ",B1730," gene from ",B1745," to ",B1746," resulting in incorrect ",B1733,"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5" spans="3:3" x14ac:dyDescent="0.25">
      <c r="C1875" s="3" t="str">
        <f>CONCATENATE("    This variant is a change at a specific point in the ",B1866," gene from ",B1875," to ",B1876," resulting in incorrect ",B1869,"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81" spans="3:3" x14ac:dyDescent="0.25">
      <c r="C1881" s="3" t="str">
        <f>CONCATENATE("    This variant is a change at a specific point in the ",B1866," gene from ",B1881," to ",B1882," resulting in incorrect ",B1869,"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1" spans="3:3" x14ac:dyDescent="0.25">
      <c r="C2011" s="3" t="str">
        <f>CONCATENATE("    This variant is a change at a specific point in the ",B2002," gene from ",B2011," to ",B2012," resulting in incorrect ",B2005,"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7" spans="3:3" x14ac:dyDescent="0.25">
      <c r="C2017" s="3" t="str">
        <f>CONCATENATE("    This variant is a change at a specific point in the ",B2002," gene from ",B2017," to ",B2018," resulting in incorrect ",B2005,"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7" spans="3:3" x14ac:dyDescent="0.25">
      <c r="C2147" s="3" t="str">
        <f>CONCATENATE("    This variant is a change at a specific point in the ",B2138," gene from ",B2147," to ",B2148," resulting in incorrect ",B2141,"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3" spans="3:3" x14ac:dyDescent="0.25">
      <c r="C2153" s="3" t="str">
        <f>CONCATENATE("    This variant is a change at a specific point in the ",B2138," gene from ",B2153," to ",B2154," resulting in incorrect ",B2141,"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3" spans="3:3" x14ac:dyDescent="0.25">
      <c r="C2283" s="3" t="str">
        <f>CONCATENATE("    This variant is a change at a specific point in the ",B2274," gene from ",B2283," to ",B2284," resulting in incorrect ",B2277,"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9" spans="3:3" x14ac:dyDescent="0.25">
      <c r="C2289" s="3" t="str">
        <f>CONCATENATE("    This variant is a change at a specific point in the ",B2274," gene from ",B2289," to ",B2290," resulting in incorrect ",B2277,"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9" spans="3:3" x14ac:dyDescent="0.25">
      <c r="C2419" s="3" t="str">
        <f>CONCATENATE("    This variant is a change at a specific point in the ",B2410," gene from ",B2419," to ",B2420," resulting in incorrect ",B2413,"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5" spans="3:3" x14ac:dyDescent="0.25">
      <c r="C2425" s="3" t="str">
        <f>CONCATENATE("    This variant is a change at a specific point in the ",B2410," gene from ",B2425," to ",B2426," resulting in incorrect ",B2413,"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9C589-B3EC-4896-9168-158D0864AD60}">
  <dimension ref="A1:AJ2563"/>
  <sheetViews>
    <sheetView workbookViewId="0">
      <selection sqref="A1:XFD1048576"/>
    </sheetView>
  </sheetViews>
  <sheetFormatPr defaultRowHeight="15.75" x14ac:dyDescent="0.25"/>
  <cols>
    <col min="1" max="1" width="16.28515625" style="3" customWidth="1"/>
    <col min="2" max="2" width="58.28515625" style="15" customWidth="1"/>
    <col min="3" max="6" width="9.140625" style="3"/>
    <col min="7" max="7" width="10.28515625" style="3" bestFit="1" customWidth="1"/>
    <col min="8" max="8" width="13" style="3" customWidth="1"/>
    <col min="9" max="9" width="13.4257812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8" t="s">
        <v>0</v>
      </c>
      <c r="B1" s="9" t="s">
        <v>1</v>
      </c>
      <c r="C1" s="8" t="s">
        <v>2</v>
      </c>
      <c r="H1" s="10"/>
      <c r="I1" s="11"/>
      <c r="J1" s="10"/>
      <c r="K1" s="10"/>
      <c r="L1" s="10"/>
      <c r="Y1" s="12"/>
      <c r="AC1" s="12"/>
      <c r="AF1" s="13"/>
      <c r="AG1" s="13"/>
      <c r="AJ1" s="13"/>
    </row>
    <row r="2" spans="1:36" x14ac:dyDescent="0.25">
      <c r="A2" s="14" t="s">
        <v>35</v>
      </c>
      <c r="B2" s="15" t="s">
        <v>169</v>
      </c>
      <c r="C2" s="3" t="str">
        <f>CONCATENATE("&lt;",A2," ",B2," /&gt;")</f>
        <v>&lt;Gene_Name CHRNA5 /&gt;</v>
      </c>
      <c r="D2" s="15"/>
      <c r="H2" s="10"/>
      <c r="I2" s="11"/>
      <c r="J2" s="10"/>
      <c r="K2" s="10"/>
      <c r="L2" s="10"/>
      <c r="Y2" s="12"/>
      <c r="AC2" s="12"/>
      <c r="AF2" s="13"/>
      <c r="AG2" s="13"/>
      <c r="AJ2" s="13"/>
    </row>
    <row r="3" spans="1:36" x14ac:dyDescent="0.25">
      <c r="A3" s="8"/>
      <c r="B3" s="9"/>
      <c r="C3" s="8"/>
      <c r="D3" s="15"/>
      <c r="H3" s="10"/>
      <c r="I3" s="11"/>
      <c r="J3" s="10"/>
      <c r="K3" s="10"/>
      <c r="L3" s="10"/>
      <c r="Y3" s="12"/>
      <c r="AC3" s="12"/>
      <c r="AF3" s="13"/>
      <c r="AG3" s="13"/>
      <c r="AJ3" s="13"/>
    </row>
    <row r="4" spans="1:36" x14ac:dyDescent="0.25">
      <c r="A4" s="14" t="s">
        <v>37</v>
      </c>
      <c r="B4" s="15" t="s">
        <v>170</v>
      </c>
      <c r="C4" s="3" t="str">
        <f>CONCATENATE("&lt;",A4," ",B4," /&gt;")</f>
        <v>&lt;GeneName_full neuronal acetylcholine receptor subunit alpha-5 /&gt;</v>
      </c>
      <c r="D4" s="15"/>
      <c r="H4" s="10"/>
      <c r="I4" s="11"/>
      <c r="J4" s="10"/>
      <c r="K4" s="10"/>
      <c r="L4" s="10"/>
      <c r="Y4" s="12"/>
      <c r="AC4" s="12"/>
      <c r="AF4" s="13"/>
      <c r="AG4" s="13"/>
      <c r="AJ4" s="13"/>
    </row>
    <row r="5" spans="1:36" x14ac:dyDescent="0.25">
      <c r="A5" s="14"/>
      <c r="B5" s="9"/>
      <c r="C5" s="8"/>
      <c r="D5" s="15"/>
      <c r="H5" s="10"/>
      <c r="I5" s="11"/>
      <c r="J5" s="10"/>
      <c r="K5" s="10"/>
      <c r="L5" s="10"/>
      <c r="Y5" s="12"/>
      <c r="AC5" s="12"/>
      <c r="AF5" s="13"/>
      <c r="AG5" s="13"/>
      <c r="AJ5" s="13"/>
    </row>
    <row r="6" spans="1:36" x14ac:dyDescent="0.25">
      <c r="A6" s="14"/>
      <c r="B6" s="3"/>
      <c r="C6" s="3" t="str">
        <f>CONCATENATE("# What does the ",B2," gene do?")</f>
        <v># What does the CHRNA5 gene do?</v>
      </c>
      <c r="H6" s="10"/>
      <c r="I6" s="11"/>
      <c r="J6" s="10"/>
      <c r="K6" s="10"/>
      <c r="L6" s="10"/>
      <c r="Y6" s="16"/>
      <c r="Z6" s="16"/>
      <c r="AA6" s="16"/>
      <c r="AC6" s="16"/>
      <c r="AF6" s="13"/>
      <c r="AJ6" s="13"/>
    </row>
    <row r="7" spans="1:36" x14ac:dyDescent="0.25">
      <c r="A7" s="14"/>
      <c r="I7" s="17"/>
      <c r="Y7" s="16"/>
      <c r="Z7" s="16"/>
      <c r="AA7" s="16"/>
      <c r="AC7" s="16"/>
      <c r="AF7" s="13"/>
      <c r="AJ7" s="13"/>
    </row>
    <row r="8" spans="1:36" x14ac:dyDescent="0.25">
      <c r="A8" s="14" t="s">
        <v>5</v>
      </c>
      <c r="B8" s="37" t="s">
        <v>194</v>
      </c>
      <c r="C8" s="3" t="str">
        <f>CONCATENATE(B8," This gene is located on chromosome ",B9,".")</f>
        <v>[CHRNA5](https://www.genecards.org/cgi-bin/carddisp.pl?gene=CHRNA5) creates a protein that controls signals between between [motor neurons and muscle fiber](https://www.ebi.ac.uk/QuickGO/term/GO:0007274)s as well as the body’s response to [nicotine](http://www.uniprot.org/citations/18227835). Variants in CHRNA5 are associated with [anxiety](https://www.ncbi.nlm.nih.gov/pubmed/25826680) and decreased function of [natural killer cells (NKC)](https://www.ncbi.nlm.nih.gov/pubmed/27099524), a type of white blood cell that helps the body respond to viral infections. This gene is located on chromosome 15.</v>
      </c>
      <c r="I8" s="17"/>
      <c r="X8" s="18"/>
      <c r="Y8" s="16"/>
      <c r="Z8" s="16"/>
      <c r="AA8" s="16"/>
      <c r="AC8" s="16"/>
    </row>
    <row r="9" spans="1:36" x14ac:dyDescent="0.25">
      <c r="A9" s="14" t="s">
        <v>6</v>
      </c>
      <c r="B9" s="2">
        <v>15</v>
      </c>
      <c r="I9" s="17"/>
      <c r="Y9" s="16"/>
      <c r="Z9" s="16"/>
      <c r="AA9" s="16"/>
      <c r="AC9" s="16"/>
    </row>
    <row r="10" spans="1:36" x14ac:dyDescent="0.25">
      <c r="A10" s="14" t="s">
        <v>7</v>
      </c>
      <c r="B10" s="2" t="s">
        <v>40</v>
      </c>
      <c r="Y10" s="12"/>
      <c r="AC10" s="16"/>
    </row>
    <row r="11" spans="1:36" s="21" customFormat="1" ht="16.5" thickBot="1" x14ac:dyDescent="0.3">
      <c r="A11" s="19"/>
      <c r="B11" s="20"/>
    </row>
    <row r="12" spans="1:36" ht="16.5" thickBot="1" x14ac:dyDescent="0.3">
      <c r="A12" s="14" t="s">
        <v>3</v>
      </c>
      <c r="B12" s="15" t="s">
        <v>169</v>
      </c>
      <c r="C12" s="3" t="str">
        <f>CONCATENATE("&lt;GeneMap name= ",CHAR(34),B12,CHAR(34)," interval=",CHAR(34),B13,"=",CHAR(34),"&gt;")</f>
        <v>&lt;GeneMap name= "CHRNA5" interval="NC_000015.9:g.78857862_78887611="&gt;</v>
      </c>
      <c r="J12" s="23"/>
      <c r="K12" s="23"/>
      <c r="L12" s="23"/>
      <c r="M12" s="23"/>
      <c r="N12" s="23"/>
      <c r="O12" s="24"/>
      <c r="P12" s="25"/>
      <c r="Q12" s="24"/>
      <c r="R12" s="24"/>
      <c r="S12" s="25"/>
      <c r="T12" s="25"/>
      <c r="U12" s="24"/>
      <c r="V12" s="24"/>
      <c r="W12" s="25"/>
      <c r="X12" s="25"/>
      <c r="Y12" s="25"/>
      <c r="Z12" s="25"/>
    </row>
    <row r="13" spans="1:36" x14ac:dyDescent="0.25">
      <c r="A13" s="14" t="s">
        <v>9</v>
      </c>
      <c r="B13" t="s">
        <v>177</v>
      </c>
      <c r="J13" s="15"/>
      <c r="K13" s="15"/>
      <c r="L13" s="15"/>
      <c r="M13" s="15"/>
      <c r="N13" s="15"/>
      <c r="O13" s="15"/>
      <c r="P13" s="15"/>
      <c r="Q13" s="15"/>
      <c r="R13" s="15"/>
      <c r="S13" s="15"/>
      <c r="T13" s="15"/>
      <c r="U13" s="15"/>
      <c r="V13" s="15"/>
      <c r="W13" s="15"/>
      <c r="X13" s="15"/>
      <c r="Y13" s="15"/>
      <c r="Z13" s="15"/>
    </row>
    <row r="14" spans="1:36" x14ac:dyDescent="0.25">
      <c r="A14" s="14" t="s">
        <v>11</v>
      </c>
      <c r="B14" t="s">
        <v>91</v>
      </c>
      <c r="C14" s="3" t="str">
        <f>CONCATENATE("# What are some common variants of ",B12,"?")</f>
        <v># What are some common variants of CHRNA5?</v>
      </c>
      <c r="J14" s="15"/>
      <c r="K14" s="15"/>
      <c r="L14" s="15"/>
      <c r="M14" s="15"/>
      <c r="N14" s="15"/>
      <c r="O14" s="15"/>
      <c r="P14" s="15"/>
      <c r="Q14" s="15"/>
      <c r="R14" s="15"/>
      <c r="S14" s="15"/>
      <c r="T14" s="15"/>
      <c r="U14" s="15"/>
      <c r="V14" s="15"/>
      <c r="W14" s="15"/>
      <c r="X14" s="15"/>
      <c r="Y14" s="15"/>
      <c r="Z14" s="15"/>
    </row>
    <row r="15" spans="1:36" x14ac:dyDescent="0.25">
      <c r="A15" s="14"/>
      <c r="B15" s="2"/>
      <c r="C15" s="3" t="s">
        <v>13</v>
      </c>
      <c r="J15" s="15"/>
      <c r="K15" s="15"/>
      <c r="L15" s="15"/>
      <c r="M15" s="15"/>
      <c r="N15" s="15"/>
      <c r="O15" s="15"/>
      <c r="P15" s="15"/>
      <c r="Q15" s="15"/>
      <c r="R15" s="15"/>
      <c r="S15" s="15"/>
      <c r="T15" s="15"/>
      <c r="U15" s="15"/>
      <c r="V15" s="15"/>
      <c r="W15" s="15"/>
      <c r="X15" s="15"/>
      <c r="Y15" s="15"/>
      <c r="Z15" s="15"/>
    </row>
    <row r="16" spans="1:36" x14ac:dyDescent="0.25">
      <c r="B16" s="2"/>
      <c r="C16" s="3" t="str">
        <f>CONCATENATE("A variant is a change at a specific point in the gene from the expected nucleotide sequence to another, resulting in incorrect ", B10," function. There are ",B14," common variants in ",B12,": ",B22,", ",B31,", and ",B40,".")</f>
        <v>A variant is a change at a specific point in the gene from the expected nucleotide sequence to another, resulting in incorrect protein function. There are three common variants in CHRNA5: [G1192A (Asp398Asn)](https://www.ncbi.nlm.nih.gov/clinvar/variation/17497/), [A78573551G](https://www.ncbi.nlm.nih.gov/projects/SNP/snp_ref.cgi?rs=6495306), and [A78581651T](https://www.ncbi.nlm.nih.gov/projects/SNP/snp_ref.cgi?rs=7180002).</v>
      </c>
      <c r="J16" s="15"/>
      <c r="K16" s="15"/>
      <c r="L16" s="15"/>
      <c r="M16" s="15"/>
      <c r="N16" s="15"/>
      <c r="O16" s="15"/>
      <c r="P16" s="15"/>
      <c r="Q16" s="15"/>
      <c r="R16" s="15"/>
      <c r="S16" s="15"/>
      <c r="T16" s="15"/>
      <c r="U16" s="15"/>
      <c r="V16" s="15"/>
      <c r="W16" s="15"/>
      <c r="X16" s="15"/>
      <c r="Y16" s="15"/>
      <c r="Z16" s="15"/>
    </row>
    <row r="17" spans="1:26" x14ac:dyDescent="0.25">
      <c r="B17" s="2"/>
      <c r="J17" s="15"/>
      <c r="K17" s="15"/>
      <c r="L17" s="15"/>
      <c r="M17" s="15"/>
      <c r="N17" s="15"/>
      <c r="O17" s="15"/>
      <c r="P17" s="15"/>
      <c r="Q17" s="15"/>
      <c r="R17" s="15"/>
      <c r="S17" s="15"/>
      <c r="T17" s="15"/>
      <c r="U17" s="15"/>
      <c r="V17" s="15"/>
      <c r="W17" s="15"/>
      <c r="X17" s="15"/>
      <c r="Y17" s="15"/>
      <c r="Z17" s="15"/>
    </row>
    <row r="18" spans="1:26" x14ac:dyDescent="0.25">
      <c r="A18" s="14" t="s">
        <v>14</v>
      </c>
      <c r="B18" s="6" t="s">
        <v>184</v>
      </c>
      <c r="C18" s="3" t="str">
        <f>CONCATENATE("&lt;# ",B19," #&gt;")</f>
        <v>&lt;# G1192A #&gt;</v>
      </c>
      <c r="J18" s="15"/>
      <c r="K18" s="15"/>
      <c r="L18" s="15"/>
      <c r="M18" s="15"/>
      <c r="N18" s="15"/>
      <c r="O18" s="15"/>
      <c r="P18" s="15"/>
      <c r="Q18" s="15"/>
      <c r="R18" s="15"/>
      <c r="S18" s="15"/>
      <c r="T18" s="15"/>
      <c r="U18" s="15"/>
      <c r="V18" s="15"/>
      <c r="W18" s="15"/>
      <c r="X18" s="15"/>
      <c r="Y18" s="15"/>
      <c r="Z18" s="15"/>
    </row>
    <row r="19" spans="1:26" x14ac:dyDescent="0.25">
      <c r="A19" s="26" t="s">
        <v>15</v>
      </c>
      <c r="B19" s="7" t="s">
        <v>178</v>
      </c>
      <c r="J19" s="6"/>
      <c r="K19" s="15"/>
      <c r="L19" s="15"/>
      <c r="M19" s="15"/>
      <c r="N19" s="15"/>
      <c r="O19" s="15"/>
      <c r="P19" s="15"/>
      <c r="Q19" s="15"/>
      <c r="R19" s="15"/>
      <c r="S19" s="15"/>
      <c r="T19" s="15"/>
      <c r="U19" s="15"/>
      <c r="V19" s="15"/>
      <c r="W19" s="15"/>
      <c r="X19" s="15"/>
      <c r="Y19" s="15"/>
      <c r="Z19" s="15"/>
    </row>
    <row r="20" spans="1:26" x14ac:dyDescent="0.25">
      <c r="A20" s="26" t="s">
        <v>17</v>
      </c>
      <c r="B20" s="2" t="s">
        <v>44</v>
      </c>
      <c r="C20" s="3" t="str">
        <f>CONCATENATE("  &lt;Variant hgvs=",CHAR(34),B18,CHAR(34)," name=",CHAR(34),B19,CHAR(34),"&gt; ")</f>
        <v xml:space="preserve">  &lt;Variant hgvs="NC_000015.9:g.78882925G&gt;A" name="G1192A"&gt; </v>
      </c>
      <c r="J20" s="2"/>
      <c r="K20" s="15"/>
      <c r="L20" s="15"/>
      <c r="M20" s="15"/>
      <c r="N20" s="15"/>
      <c r="O20" s="15"/>
      <c r="P20" s="15"/>
      <c r="Q20" s="15"/>
      <c r="R20" s="15"/>
      <c r="S20" s="15"/>
      <c r="T20" s="15"/>
      <c r="U20" s="15"/>
      <c r="V20" s="15"/>
      <c r="W20" s="15"/>
      <c r="X20" s="15"/>
      <c r="Y20" s="15"/>
      <c r="Z20" s="15"/>
    </row>
    <row r="21" spans="1:26" x14ac:dyDescent="0.25">
      <c r="A21" s="26" t="s">
        <v>19</v>
      </c>
      <c r="B21" s="2" t="s">
        <v>24</v>
      </c>
      <c r="H21" s="15"/>
      <c r="I21" s="15"/>
      <c r="J21" s="2"/>
      <c r="K21" s="15"/>
      <c r="L21" s="15"/>
      <c r="M21" s="15"/>
      <c r="N21" s="15"/>
      <c r="O21" s="15"/>
      <c r="P21" s="15"/>
      <c r="Q21" s="15"/>
      <c r="R21" s="15"/>
      <c r="S21" s="15"/>
      <c r="T21" s="15"/>
      <c r="U21" s="15"/>
      <c r="V21" s="15"/>
      <c r="W21" s="15"/>
      <c r="X21" s="15"/>
      <c r="Y21" s="15"/>
      <c r="Z21" s="15"/>
    </row>
    <row r="22" spans="1:26" x14ac:dyDescent="0.25">
      <c r="A22" s="26" t="s">
        <v>21</v>
      </c>
      <c r="B22" s="7" t="s">
        <v>179</v>
      </c>
      <c r="C22" s="3" t="str">
        <f>CONCATENATE("    Instead of ",B20,", there is an ",B21," nucleotide.")</f>
        <v xml:space="preserve">    Instead of guanine (G), there is an adenine (A) nucleotide.</v>
      </c>
      <c r="H22" s="15"/>
      <c r="I22" s="15"/>
      <c r="J22" s="7"/>
      <c r="K22" s="15"/>
      <c r="L22" s="15"/>
      <c r="M22" s="15"/>
      <c r="N22" s="15"/>
      <c r="O22" s="15"/>
      <c r="P22" s="15"/>
      <c r="Q22" s="15"/>
      <c r="R22" s="15"/>
      <c r="S22" s="15"/>
      <c r="T22" s="15"/>
      <c r="U22" s="15"/>
      <c r="V22" s="15"/>
      <c r="W22" s="15"/>
      <c r="X22" s="15"/>
      <c r="Y22" s="15"/>
      <c r="Z22" s="15"/>
    </row>
    <row r="23" spans="1:26" x14ac:dyDescent="0.25">
      <c r="A23" s="3" t="s">
        <v>65</v>
      </c>
      <c r="B23" s="6" t="s">
        <v>153</v>
      </c>
      <c r="H23" s="2"/>
      <c r="I23" s="2"/>
      <c r="J23" s="15"/>
      <c r="K23" s="15"/>
      <c r="L23" s="15"/>
      <c r="M23" s="15"/>
      <c r="N23" s="15"/>
      <c r="O23" s="15"/>
      <c r="P23" s="15"/>
      <c r="Q23" s="15"/>
      <c r="R23" s="15"/>
      <c r="S23" s="15"/>
      <c r="T23" s="15"/>
      <c r="U23" s="15"/>
      <c r="V23" s="15"/>
      <c r="W23" s="15"/>
      <c r="X23" s="15"/>
      <c r="Y23" s="15"/>
      <c r="Z23" s="15"/>
    </row>
    <row r="24" spans="1:26" x14ac:dyDescent="0.25">
      <c r="A24" s="3" t="s">
        <v>51</v>
      </c>
      <c r="B24" s="7" t="s">
        <v>186</v>
      </c>
      <c r="C24" s="3" t="str">
        <f>"  &lt;/Variant&gt;"</f>
        <v xml:space="preserve">  &lt;/Variant&gt;</v>
      </c>
      <c r="H24" s="2"/>
      <c r="I24" s="2"/>
      <c r="J24" s="15"/>
      <c r="K24" s="15"/>
      <c r="L24" s="15"/>
      <c r="M24" s="15"/>
      <c r="N24" s="15"/>
      <c r="O24" s="15"/>
      <c r="P24" s="15"/>
      <c r="Q24" s="15"/>
      <c r="R24" s="15"/>
      <c r="S24" s="15"/>
      <c r="T24" s="15"/>
      <c r="U24" s="15"/>
      <c r="V24" s="15"/>
      <c r="W24" s="15"/>
      <c r="X24" s="15"/>
      <c r="Y24" s="15"/>
      <c r="Z24" s="15"/>
    </row>
    <row r="25" spans="1:26" x14ac:dyDescent="0.25">
      <c r="A25" s="26" t="s">
        <v>52</v>
      </c>
      <c r="B25" s="7" t="s">
        <v>187</v>
      </c>
      <c r="J25" s="6"/>
    </row>
    <row r="26" spans="1:26" x14ac:dyDescent="0.25">
      <c r="A26" s="26"/>
      <c r="B26" s="7"/>
      <c r="J26" s="6"/>
    </row>
    <row r="27" spans="1:26" x14ac:dyDescent="0.25">
      <c r="A27" s="14" t="s">
        <v>14</v>
      </c>
      <c r="B27" s="41" t="s">
        <v>188</v>
      </c>
      <c r="C27" s="3" t="str">
        <f>CONCATENATE("&lt;# ",B28," #&gt;")</f>
        <v>&lt;# A78573551G #&gt;</v>
      </c>
      <c r="J27" s="6"/>
    </row>
    <row r="28" spans="1:26" x14ac:dyDescent="0.25">
      <c r="A28" s="26" t="s">
        <v>15</v>
      </c>
      <c r="B28" s="7" t="s">
        <v>180</v>
      </c>
      <c r="J28" s="2"/>
    </row>
    <row r="29" spans="1:26" x14ac:dyDescent="0.25">
      <c r="A29" s="26" t="s">
        <v>17</v>
      </c>
      <c r="B29" s="2" t="s">
        <v>24</v>
      </c>
      <c r="C29" s="3" t="str">
        <f>CONCATENATE("  &lt;Variant hgvs=",CHAR(34),B27,CHAR(34)," name=",CHAR(34),B28,CHAR(34),"&gt; ")</f>
        <v xml:space="preserve">  &lt;Variant hgvs="NC_000015.9:g.78865893G&gt;A" name="A78573551G"&gt; </v>
      </c>
      <c r="J29" s="2"/>
    </row>
    <row r="30" spans="1:26" x14ac:dyDescent="0.25">
      <c r="A30" s="26" t="s">
        <v>19</v>
      </c>
      <c r="B30" s="2" t="s">
        <v>44</v>
      </c>
      <c r="J30" s="7"/>
    </row>
    <row r="31" spans="1:26" x14ac:dyDescent="0.25">
      <c r="A31" s="26" t="s">
        <v>21</v>
      </c>
      <c r="B31" s="7" t="s">
        <v>181</v>
      </c>
      <c r="C31" s="3" t="str">
        <f>CONCATENATE("    Instead of ",B29,", there is an ",B30," nucleotide.")</f>
        <v xml:space="preserve">    Instead of adenine (A), there is an guanine (G) nucleotide.</v>
      </c>
    </row>
    <row r="32" spans="1:26" x14ac:dyDescent="0.25">
      <c r="A32" s="3" t="s">
        <v>65</v>
      </c>
      <c r="B32" s="3" t="s">
        <v>153</v>
      </c>
      <c r="J32" s="7"/>
    </row>
    <row r="33" spans="1:13" x14ac:dyDescent="0.25">
      <c r="A33" s="3" t="s">
        <v>51</v>
      </c>
      <c r="B33" s="3" t="s">
        <v>189</v>
      </c>
      <c r="C33" s="3" t="str">
        <f>"  &lt;/Variant&gt;"</f>
        <v xml:space="preserve">  &lt;/Variant&gt;</v>
      </c>
      <c r="J33" s="7"/>
    </row>
    <row r="34" spans="1:13" x14ac:dyDescent="0.25">
      <c r="A34" s="26" t="s">
        <v>52</v>
      </c>
      <c r="B34" s="7" t="s">
        <v>190</v>
      </c>
    </row>
    <row r="35" spans="1:13" x14ac:dyDescent="0.25">
      <c r="B35" s="3"/>
    </row>
    <row r="36" spans="1:13" x14ac:dyDescent="0.25">
      <c r="A36" s="14" t="s">
        <v>14</v>
      </c>
      <c r="B36" s="41" t="s">
        <v>191</v>
      </c>
      <c r="C36" s="3" t="str">
        <f>CONCATENATE("&lt;# ",B37," #&gt;")</f>
        <v>&lt;# A78581651T #&gt;</v>
      </c>
      <c r="J36" s="6"/>
    </row>
    <row r="37" spans="1:13" x14ac:dyDescent="0.25">
      <c r="A37" s="26" t="s">
        <v>15</v>
      </c>
      <c r="B37" s="42" t="s">
        <v>182</v>
      </c>
      <c r="J37" s="2"/>
    </row>
    <row r="38" spans="1:13" x14ac:dyDescent="0.25">
      <c r="A38" s="26" t="s">
        <v>17</v>
      </c>
      <c r="B38" s="2" t="s">
        <v>24</v>
      </c>
      <c r="C38" s="3" t="str">
        <f>CONCATENATE("  &lt;Variant hgvs=",CHAR(34),B36,CHAR(34)," name=",CHAR(34),B37,CHAR(34),"&gt; ")</f>
        <v xml:space="preserve">  &lt;Variant hgvs="NC_000015.9:g.78873993A&gt;T" name="A78581651T"&gt; </v>
      </c>
      <c r="J38" s="2"/>
    </row>
    <row r="39" spans="1:13" x14ac:dyDescent="0.25">
      <c r="A39" s="26" t="s">
        <v>19</v>
      </c>
      <c r="B39" s="2" t="s">
        <v>20</v>
      </c>
      <c r="J39" s="7"/>
    </row>
    <row r="40" spans="1:13" x14ac:dyDescent="0.25">
      <c r="A40" s="26" t="s">
        <v>21</v>
      </c>
      <c r="B40" s="7" t="s">
        <v>183</v>
      </c>
      <c r="C40" s="3" t="str">
        <f>CONCATENATE("    Instead of ",B38,", there is a ",B39," nucleotide.")</f>
        <v xml:space="preserve">    Instead of adenine (A), there is a thymine (T) nucleotide.</v>
      </c>
    </row>
    <row r="41" spans="1:13" x14ac:dyDescent="0.25">
      <c r="A41" s="3" t="s">
        <v>65</v>
      </c>
      <c r="B41" s="3" t="s">
        <v>153</v>
      </c>
      <c r="J41" s="7"/>
    </row>
    <row r="42" spans="1:13" x14ac:dyDescent="0.25">
      <c r="A42" s="3" t="s">
        <v>51</v>
      </c>
      <c r="B42" s="3" t="s">
        <v>192</v>
      </c>
      <c r="C42" s="3" t="str">
        <f>"  &lt;/Variant&gt;"</f>
        <v xml:space="preserve">  &lt;/Variant&gt;</v>
      </c>
      <c r="J42" s="7"/>
    </row>
    <row r="43" spans="1:13" x14ac:dyDescent="0.25">
      <c r="A43" s="26" t="s">
        <v>52</v>
      </c>
      <c r="B43" s="7" t="s">
        <v>193</v>
      </c>
    </row>
    <row r="44" spans="1:13" x14ac:dyDescent="0.25">
      <c r="B44" s="3"/>
    </row>
    <row r="45" spans="1:13" s="21" customFormat="1" x14ac:dyDescent="0.25">
      <c r="A45" s="28"/>
      <c r="B45" s="20"/>
    </row>
    <row r="46" spans="1:13" s="10" customFormat="1" x14ac:dyDescent="0.25">
      <c r="A46" s="32"/>
      <c r="B46" s="33"/>
      <c r="C46" s="34" t="s">
        <v>62</v>
      </c>
      <c r="L46" s="38"/>
    </row>
    <row r="47" spans="1:13" s="10" customFormat="1" x14ac:dyDescent="0.25">
      <c r="A47" s="32"/>
      <c r="B47" s="33"/>
      <c r="K47" s="10" t="s">
        <v>185</v>
      </c>
      <c r="L47" s="38" t="s">
        <v>110</v>
      </c>
      <c r="M47" s="11" t="s">
        <v>109</v>
      </c>
    </row>
    <row r="48" spans="1:13" s="21" customFormat="1" x14ac:dyDescent="0.25">
      <c r="A48" s="28" t="s">
        <v>70</v>
      </c>
      <c r="B48" s="20" t="str">
        <f>CONCATENATE(B19," (G;A)")</f>
        <v>G1192A (G;A)</v>
      </c>
      <c r="C48" s="21" t="str">
        <f>CONCATENATE("&lt;# ",B48," #&gt;")</f>
        <v>&lt;# G1192A (G;A) #&gt;</v>
      </c>
      <c r="K48" s="21" t="str">
        <f>B19</f>
        <v>G1192A</v>
      </c>
      <c r="L48" s="21" t="str">
        <f>B28</f>
        <v>A78573551G</v>
      </c>
      <c r="M48" s="21" t="str">
        <f>B37</f>
        <v>A78581651T</v>
      </c>
    </row>
    <row r="49" spans="1:13" s="10" customFormat="1" x14ac:dyDescent="0.25">
      <c r="A49" s="3" t="s">
        <v>21</v>
      </c>
      <c r="B49" s="29" t="str">
        <f>K52</f>
        <v>NC_000015.9:g.[78882925G&gt;A];[78882925=]</v>
      </c>
      <c r="J49" s="3"/>
      <c r="K49" s="22" t="str">
        <f>B23</f>
        <v>NC_000015.9:g.</v>
      </c>
      <c r="L49" s="22" t="str">
        <f>B32</f>
        <v>NC_000015.9:g.</v>
      </c>
      <c r="M49" s="10" t="str">
        <f>B41</f>
        <v>NC_000015.9:g.</v>
      </c>
    </row>
    <row r="50" spans="1:13" x14ac:dyDescent="0.25">
      <c r="B50" s="29"/>
      <c r="C50" s="3" t="str">
        <f>CONCATENATE("  &lt;Analysis name=",CHAR(34),B48,CHAR(34))</f>
        <v xml:space="preserve">  &lt;Analysis name="G1192A (G;A)"</v>
      </c>
      <c r="J50" s="3" t="s">
        <v>21</v>
      </c>
      <c r="K50" s="15" t="str">
        <f>B24</f>
        <v>[78882925G&gt;A]</v>
      </c>
      <c r="L50" s="22" t="str">
        <f>B33</f>
        <v>[78865893G&gt;A]</v>
      </c>
      <c r="M50" s="10" t="str">
        <f t="shared" ref="M50:M51" si="0">B42</f>
        <v>[78873993A&gt;T]</v>
      </c>
    </row>
    <row r="51" spans="1:13" x14ac:dyDescent="0.25">
      <c r="A51" s="5" t="s">
        <v>27</v>
      </c>
      <c r="B51" s="2" t="str">
        <f>CONCATENATE("People with this variant have one copy of the ",B22," variant. This substitution of a single nucleotide is known as a missense mutation.")</f>
        <v>People with this variant have one copy of the [G1192A (Asp398Asn)](https://www.ncbi.nlm.nih.gov/clinvar/variation/17497/) variant. This substitution of a single nucleotide is known as a missense mutation.</v>
      </c>
      <c r="C51" s="3" t="str">
        <f>CONCATENATE("            case={  variantCall ",CHAR(40),CHAR(34),K52,CHAR(34),CHAR(41))</f>
        <v xml:space="preserve">            case={  variantCall ("NC_000015.9:g.[78882925G&gt;A];[78882925=]")</v>
      </c>
      <c r="J51" s="3" t="s">
        <v>52</v>
      </c>
      <c r="K51" s="15" t="str">
        <f>B25</f>
        <v>[78882925=]</v>
      </c>
      <c r="L51" s="22" t="str">
        <f>B34</f>
        <v>[78865893=]</v>
      </c>
      <c r="M51" s="10" t="str">
        <f t="shared" si="0"/>
        <v>[78873993=]</v>
      </c>
    </row>
    <row r="52" spans="1:13" x14ac:dyDescent="0.25">
      <c r="A52" s="1" t="s">
        <v>28</v>
      </c>
      <c r="B52" s="2" t="s">
        <v>197</v>
      </c>
      <c r="C52" s="3" t="s">
        <v>71</v>
      </c>
      <c r="J52" s="3" t="s">
        <v>63</v>
      </c>
      <c r="K52" s="15" t="str">
        <f>CONCATENATE(K49,K50,";",K51)</f>
        <v>NC_000015.9:g.[78882925G&gt;A];[78882925=]</v>
      </c>
      <c r="L52" s="15" t="str">
        <f>CONCATENATE(L49,L50,";",L51)</f>
        <v>NC_000015.9:g.[78865893G&gt;A];[78865893=]</v>
      </c>
      <c r="M52" s="15" t="str">
        <f>CONCATENATE(M49,M50,";",M51)</f>
        <v>NC_000015.9:g.[78873993A&gt;T];[78873993=]</v>
      </c>
    </row>
    <row r="53" spans="1:13" x14ac:dyDescent="0.25">
      <c r="A53" s="3" t="s">
        <v>73</v>
      </c>
      <c r="B53" s="29">
        <f>K55</f>
        <v>39.200000000000003</v>
      </c>
      <c r="C53" s="3" t="str">
        <f>CONCATENATE("                    ","variantCall ",CHAR(40),CHAR(34),L54,CHAR(34),CHAR(41))</f>
        <v xml:space="preserve">                    variantCall ("NC_000015.9:g.[78865893=];[78865893=]")</v>
      </c>
      <c r="J53" s="3" t="s">
        <v>64</v>
      </c>
      <c r="K53" s="15" t="str">
        <f>CONCATENATE(K49,K50,";",K50)</f>
        <v>NC_000015.9:g.[78882925G&gt;A];[78882925G&gt;A]</v>
      </c>
      <c r="L53" s="15" t="str">
        <f>CONCATENATE(L49,L50,";",L50)</f>
        <v>NC_000015.9:g.[78865893G&gt;A];[78865893G&gt;A]</v>
      </c>
      <c r="M53" s="15" t="str">
        <f>CONCATENATE(M49,M50,";",M50)</f>
        <v>NC_000015.9:g.[78873993A&gt;T];[78873993A&gt;T]</v>
      </c>
    </row>
    <row r="54" spans="1:13" x14ac:dyDescent="0.25">
      <c r="C54" s="3" t="s">
        <v>71</v>
      </c>
      <c r="J54" s="3" t="s">
        <v>52</v>
      </c>
      <c r="K54" s="2" t="str">
        <f>CONCATENATE(K49,K51,";",K51)</f>
        <v>NC_000015.9:g.[78882925=];[78882925=]</v>
      </c>
      <c r="L54" s="2" t="str">
        <f>CONCATENATE(L49,L51,";",L51)</f>
        <v>NC_000015.9:g.[78865893=];[78865893=]</v>
      </c>
      <c r="M54" s="2" t="str">
        <f>CONCATENATE(M49,M51,";",M51)</f>
        <v>NC_000015.9:g.[78873993=];[78873993=]</v>
      </c>
    </row>
    <row r="55" spans="1:13" x14ac:dyDescent="0.25">
      <c r="C55" s="3" t="str">
        <f>CONCATENATE("                    ","variantCall ",CHAR(40),CHAR(34),M54,CHAR(34),CHAR(41))</f>
        <v xml:space="preserve">                    variantCall ("NC_000015.9:g.[78873993=];[78873993=]")</v>
      </c>
      <c r="J55" s="3" t="s">
        <v>67</v>
      </c>
      <c r="K55">
        <v>39.200000000000003</v>
      </c>
      <c r="L55" s="2">
        <v>39.200000000000003</v>
      </c>
      <c r="M55" s="2">
        <v>27.3</v>
      </c>
    </row>
    <row r="56" spans="1:13" x14ac:dyDescent="0.25">
      <c r="A56" s="14"/>
      <c r="C56" s="3" t="str">
        <f>CONCATENATE("                  } &gt; ")</f>
        <v xml:space="preserve">                  } &gt; </v>
      </c>
      <c r="J56" s="3" t="s">
        <v>68</v>
      </c>
      <c r="K56">
        <v>5.2</v>
      </c>
      <c r="L56" s="2">
        <v>17.899999999999999</v>
      </c>
      <c r="M56" s="2">
        <v>9.5</v>
      </c>
    </row>
    <row r="57" spans="1:13" x14ac:dyDescent="0.25">
      <c r="A57" s="26"/>
      <c r="J57" s="3" t="s">
        <v>69</v>
      </c>
      <c r="K57" s="2">
        <v>55.6</v>
      </c>
      <c r="L57" s="2">
        <v>42.9</v>
      </c>
      <c r="M57" s="2">
        <v>63.2</v>
      </c>
    </row>
    <row r="58" spans="1:13" x14ac:dyDescent="0.25">
      <c r="A58" s="14"/>
      <c r="C58" s="3" t="s">
        <v>26</v>
      </c>
      <c r="K58"/>
      <c r="L58" s="2"/>
      <c r="M58" s="2"/>
    </row>
    <row r="59" spans="1:13" x14ac:dyDescent="0.25">
      <c r="A59" s="14"/>
      <c r="K59" s="15"/>
      <c r="L59" s="15"/>
      <c r="M59" s="15"/>
    </row>
    <row r="60" spans="1:13" x14ac:dyDescent="0.25">
      <c r="A60" s="26"/>
      <c r="C60" s="3" t="str">
        <f>CONCATENATE("    ",B51)</f>
        <v xml:space="preserve">    People with this variant have one copy of the [G1192A (Asp398Asn)](https://www.ncbi.nlm.nih.gov/clinvar/variation/17497/) variant. This substitution of a single nucleotide is known as a missense mutation.</v>
      </c>
      <c r="K60" s="15"/>
      <c r="L60" s="15"/>
      <c r="M60" s="15"/>
    </row>
    <row r="61" spans="1:13" x14ac:dyDescent="0.25">
      <c r="A61" s="14"/>
      <c r="K61" s="2"/>
      <c r="L61" s="2"/>
      <c r="M61" s="2"/>
    </row>
    <row r="62" spans="1:13" x14ac:dyDescent="0.25">
      <c r="A62" s="14"/>
      <c r="C62" s="3" t="s">
        <v>29</v>
      </c>
    </row>
    <row r="63" spans="1:13" x14ac:dyDescent="0.25">
      <c r="A63" s="14"/>
    </row>
    <row r="64" spans="1:13" x14ac:dyDescent="0.25">
      <c r="A64" s="14"/>
      <c r="C64" s="3" t="str">
        <f>CONCATENATE(B52)</f>
        <v xml:space="preserve">    This variant controls [cognitive function, working memory, and gray matter volume in the brain](https://www.ncbi.nlm.nih.gov/pubmed/24819610). Males with this variant have faster [information processing](https://www.ncbi.nlm.nih.gov/pubmed/25674902), including [much better behavioral performance, more efficient brain activity, and a larger brain volume.](https://www.ncbi.nlm.nih.gov/pubmed/24819610) Females with this variant exhibit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v>
      </c>
    </row>
    <row r="65" spans="1:13" x14ac:dyDescent="0.25">
      <c r="A65" s="26"/>
    </row>
    <row r="66" spans="1:13" x14ac:dyDescent="0.25">
      <c r="A66" s="26"/>
      <c r="C66" s="3" t="s">
        <v>30</v>
      </c>
    </row>
    <row r="67" spans="1:13" x14ac:dyDescent="0.25">
      <c r="A67" s="26"/>
    </row>
    <row r="68" spans="1:13" x14ac:dyDescent="0.25">
      <c r="A68" s="26"/>
      <c r="C68" s="3" t="str">
        <f>CONCATENATE( "    &lt;piechart percentage=",B53," /&gt;")</f>
        <v xml:space="preserve">    &lt;piechart percentage=39.2 /&gt;</v>
      </c>
    </row>
    <row r="69" spans="1:13" x14ac:dyDescent="0.25">
      <c r="A69" s="26"/>
      <c r="C69" s="3" t="str">
        <f>"  &lt;/Analysis&gt;"</f>
        <v xml:space="preserve">  &lt;/Analysis&gt;</v>
      </c>
      <c r="K69" s="3" t="str">
        <f t="shared" ref="K69:M69" si="1">K47</f>
        <v>rs16969968</v>
      </c>
      <c r="L69" s="3" t="str">
        <f t="shared" si="1"/>
        <v>rs3913434</v>
      </c>
      <c r="M69" s="3" t="str">
        <f t="shared" si="1"/>
        <v>rs270838</v>
      </c>
    </row>
    <row r="70" spans="1:13" s="21" customFormat="1" x14ac:dyDescent="0.25">
      <c r="A70" s="28" t="s">
        <v>70</v>
      </c>
      <c r="B70" s="20" t="str">
        <f>CONCATENATE(B19," (A;A)")</f>
        <v>G1192A (A;A)</v>
      </c>
      <c r="C70" s="21" t="str">
        <f>CONCATENATE("&lt;# ",B70," #&gt;")</f>
        <v>&lt;# G1192A (A;A) #&gt;</v>
      </c>
      <c r="K70" s="21" t="str">
        <f t="shared" ref="K70:M71" si="2">K48</f>
        <v>G1192A</v>
      </c>
      <c r="L70" s="21" t="str">
        <f t="shared" si="2"/>
        <v>A78573551G</v>
      </c>
      <c r="M70" s="21" t="str">
        <f t="shared" si="2"/>
        <v>A78581651T</v>
      </c>
    </row>
    <row r="71" spans="1:13" x14ac:dyDescent="0.25">
      <c r="A71" s="3" t="s">
        <v>21</v>
      </c>
      <c r="B71" s="29" t="str">
        <f>K53</f>
        <v>NC_000015.9:g.[78882925G&gt;A];[78882925G&gt;A]</v>
      </c>
      <c r="C71" s="10"/>
      <c r="K71" s="3" t="str">
        <f t="shared" si="2"/>
        <v>NC_000015.9:g.</v>
      </c>
      <c r="L71" s="3" t="str">
        <f t="shared" si="2"/>
        <v>NC_000015.9:g.</v>
      </c>
      <c r="M71" s="3" t="str">
        <f t="shared" si="2"/>
        <v>NC_000015.9:g.</v>
      </c>
    </row>
    <row r="72" spans="1:13" x14ac:dyDescent="0.25">
      <c r="B72" s="29"/>
      <c r="C72" s="3" t="str">
        <f>CONCATENATE("  &lt;Analysis name=",CHAR(34),B70,CHAR(34))</f>
        <v xml:space="preserve">  &lt;Analysis name="G1192A (A;A)"</v>
      </c>
      <c r="J72" s="3" t="str">
        <f t="shared" ref="J72:M79" si="3">J50</f>
        <v>Variant</v>
      </c>
      <c r="K72" s="3" t="str">
        <f t="shared" si="3"/>
        <v>[78882925G&gt;A]</v>
      </c>
      <c r="L72" s="3" t="str">
        <f t="shared" si="3"/>
        <v>[78865893G&gt;A]</v>
      </c>
      <c r="M72" s="3" t="str">
        <f t="shared" si="3"/>
        <v>[78873993A&gt;T]</v>
      </c>
    </row>
    <row r="73" spans="1:13" x14ac:dyDescent="0.25">
      <c r="A73" s="5" t="s">
        <v>75</v>
      </c>
      <c r="B73" s="2" t="str">
        <f>CONCATENATE("People with this variant have two copies of the ",B22," variant. This substitution of a single nucleotide is known as a missense mutation.")</f>
        <v>People with this variant have two copies of the [G1192A (Asp398Asn)](https://www.ncbi.nlm.nih.gov/clinvar/variation/17497/) variant. This substitution of a single nucleotide is known as a missense mutation.</v>
      </c>
      <c r="C73" s="3" t="str">
        <f>CONCATENATE("            case={  variantCall ",CHAR(40),CHAR(34),B71,CHAR(34),CHAR(41))</f>
        <v xml:space="preserve">            case={  variantCall ("NC_000015.9:g.[78882925G&gt;A];[78882925G&gt;A]")</v>
      </c>
      <c r="J73" s="3" t="str">
        <f t="shared" si="3"/>
        <v>Wildtype</v>
      </c>
      <c r="K73" s="3" t="str">
        <f t="shared" si="3"/>
        <v>[78882925=]</v>
      </c>
      <c r="L73" s="3" t="str">
        <f t="shared" si="3"/>
        <v>[78865893=]</v>
      </c>
      <c r="M73" s="3" t="str">
        <f t="shared" si="3"/>
        <v>[78873993=]</v>
      </c>
    </row>
    <row r="74" spans="1:13" x14ac:dyDescent="0.25">
      <c r="A74" s="1" t="s">
        <v>28</v>
      </c>
      <c r="B74" s="29" t="s">
        <v>196</v>
      </c>
      <c r="C74" s="3" t="s">
        <v>71</v>
      </c>
      <c r="J74" s="3" t="str">
        <f t="shared" si="3"/>
        <v>Het</v>
      </c>
      <c r="K74" s="3" t="str">
        <f t="shared" si="3"/>
        <v>NC_000015.9:g.[78882925G&gt;A];[78882925=]</v>
      </c>
      <c r="L74" s="3" t="str">
        <f t="shared" si="3"/>
        <v>NC_000015.9:g.[78865893G&gt;A];[78865893=]</v>
      </c>
      <c r="M74" s="3" t="str">
        <f t="shared" si="3"/>
        <v>NC_000015.9:g.[78873993A&gt;T];[78873993=]</v>
      </c>
    </row>
    <row r="75" spans="1:13" x14ac:dyDescent="0.25">
      <c r="A75" s="3" t="s">
        <v>73</v>
      </c>
      <c r="B75" s="29">
        <f>K56</f>
        <v>5.2</v>
      </c>
      <c r="C75" s="3" t="str">
        <f>CONCATENATE("                    ","variantCall ",CHAR(40),CHAR(34),L76,CHAR(34),CHAR(41))</f>
        <v xml:space="preserve">                    variantCall ("NC_000015.9:g.[78865893=];[78865893=]")</v>
      </c>
      <c r="J75" s="3" t="str">
        <f t="shared" si="3"/>
        <v>Homo</v>
      </c>
      <c r="K75" s="3" t="str">
        <f t="shared" si="3"/>
        <v>NC_000015.9:g.[78882925G&gt;A];[78882925G&gt;A]</v>
      </c>
      <c r="L75" s="3" t="str">
        <f t="shared" si="3"/>
        <v>NC_000015.9:g.[78865893G&gt;A];[78865893G&gt;A]</v>
      </c>
      <c r="M75" s="3" t="str">
        <f t="shared" si="3"/>
        <v>NC_000015.9:g.[78873993A&gt;T];[78873993A&gt;T]</v>
      </c>
    </row>
    <row r="76" spans="1:13" x14ac:dyDescent="0.25">
      <c r="C76" s="3" t="s">
        <v>71</v>
      </c>
      <c r="J76" s="3" t="str">
        <f t="shared" si="3"/>
        <v>Wildtype</v>
      </c>
      <c r="K76" s="3" t="str">
        <f t="shared" si="3"/>
        <v>NC_000015.9:g.[78882925=];[78882925=]</v>
      </c>
      <c r="L76" s="3" t="str">
        <f t="shared" si="3"/>
        <v>NC_000015.9:g.[78865893=];[78865893=]</v>
      </c>
      <c r="M76" s="3" t="str">
        <f t="shared" si="3"/>
        <v>NC_000015.9:g.[78873993=];[78873993=]</v>
      </c>
    </row>
    <row r="77" spans="1:13" x14ac:dyDescent="0.25">
      <c r="C77" s="3" t="str">
        <f>CONCATENATE("                    ","variantCall ",CHAR(40),CHAR(34),M76,CHAR(34),CHAR(41))</f>
        <v xml:space="preserve">                    variantCall ("NC_000015.9:g.[78873993=];[78873993=]")</v>
      </c>
      <c r="J77" s="3" t="str">
        <f t="shared" si="3"/>
        <v>Het%</v>
      </c>
      <c r="K77" s="3">
        <f t="shared" si="3"/>
        <v>39.200000000000003</v>
      </c>
      <c r="L77" s="3">
        <f t="shared" si="3"/>
        <v>39.200000000000003</v>
      </c>
      <c r="M77" s="3">
        <f t="shared" si="3"/>
        <v>27.3</v>
      </c>
    </row>
    <row r="78" spans="1:13" x14ac:dyDescent="0.25">
      <c r="A78" s="14"/>
      <c r="C78" s="3" t="str">
        <f>CONCATENATE("                  } &gt; ")</f>
        <v xml:space="preserve">                  } &gt; </v>
      </c>
      <c r="J78" s="3" t="str">
        <f t="shared" si="3"/>
        <v>Homo%</v>
      </c>
      <c r="K78" s="3">
        <f t="shared" si="3"/>
        <v>5.2</v>
      </c>
      <c r="L78" s="3">
        <f t="shared" si="3"/>
        <v>17.899999999999999</v>
      </c>
      <c r="M78" s="3">
        <f t="shared" si="3"/>
        <v>9.5</v>
      </c>
    </row>
    <row r="79" spans="1:13" x14ac:dyDescent="0.25">
      <c r="A79" s="26"/>
      <c r="J79" s="3" t="str">
        <f t="shared" si="3"/>
        <v>Wildtype%</v>
      </c>
      <c r="K79" s="3">
        <f t="shared" si="3"/>
        <v>55.6</v>
      </c>
      <c r="L79" s="3">
        <f t="shared" si="3"/>
        <v>42.9</v>
      </c>
      <c r="M79" s="3">
        <f t="shared" si="3"/>
        <v>63.2</v>
      </c>
    </row>
    <row r="80" spans="1:13" x14ac:dyDescent="0.25">
      <c r="A80" s="14"/>
      <c r="C80" s="3" t="s">
        <v>26</v>
      </c>
    </row>
    <row r="81" spans="1:13" x14ac:dyDescent="0.25">
      <c r="A81" s="14"/>
    </row>
    <row r="82" spans="1:13" x14ac:dyDescent="0.25">
      <c r="A82" s="26"/>
      <c r="C82" s="3" t="str">
        <f>CONCATENATE("    ",B73)</f>
        <v xml:space="preserve">    People with this variant have two copies of the [G1192A (Asp398Asn)](https://www.ncbi.nlm.nih.gov/clinvar/variation/17497/) variant. This substitution of a single nucleotide is known as a missense mutation.</v>
      </c>
    </row>
    <row r="83" spans="1:13" x14ac:dyDescent="0.25">
      <c r="A83" s="14"/>
    </row>
    <row r="84" spans="1:13" x14ac:dyDescent="0.25">
      <c r="A84" s="14"/>
      <c r="C84" s="3" t="s">
        <v>29</v>
      </c>
    </row>
    <row r="85" spans="1:13" x14ac:dyDescent="0.25">
      <c r="A85" s="14"/>
    </row>
    <row r="86" spans="1:13" x14ac:dyDescent="0.25">
      <c r="A86" s="14"/>
      <c r="C86" s="3" t="str">
        <f>CONCATENATE(B74)</f>
        <v xml:space="preserve">    This variant controls [cognitive function, working memory, and gray matter volume in the brain](https://www.ncbi.nlm.nih.gov/pubmed/24819610). Males with this variant have much faster [information processing](https://www.ncbi.nlm.nih.gov/pubmed/25674902), including [much better behavioral performance, more efficient brain activity, and a larger brain volume.](https://www.ncbi.nlm.nih.gov/pubmed/24819610) Females with this variant exhibit much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an elevated risk and earlier onset of [lung cancer](https://www.ncbi.nlm.nih.gov/pubmed/27543155), [COPD](https://www.ncbi.nlm.nih.gov/pubmed/26771213) and [newborn lung and breathing problems](https://www.ncbi.nlm.nih.gov/pubmed/24838476) in the children of smoking mothers.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Pregnant women should consider [supplemental vitamin C](https://www.ncbi.nlm.nih.gov/pubmed/24838476).
    Consult your physician on [medications](http://www.uniprot.org/uniprot/P30532#pathology_and_biotech) that act on variants in CHRNA5, including [Ethanol](https://www.drugbank.ca/drugs/DB00898), [Galantamine](https://www.drugbank.ca/drugs/DB00674), and [nicotine](https://www.drugbank.ca/drugs/DB00184).</v>
      </c>
    </row>
    <row r="87" spans="1:13" x14ac:dyDescent="0.25">
      <c r="A87" s="26"/>
    </row>
    <row r="88" spans="1:13" x14ac:dyDescent="0.25">
      <c r="A88" s="26"/>
      <c r="C88" s="3" t="s">
        <v>30</v>
      </c>
    </row>
    <row r="89" spans="1:13" x14ac:dyDescent="0.25">
      <c r="A89" s="26"/>
    </row>
    <row r="90" spans="1:13" x14ac:dyDescent="0.25">
      <c r="A90" s="26"/>
      <c r="C90" s="3" t="str">
        <f>CONCATENATE( "    &lt;piechart percentage=",B75," /&gt;")</f>
        <v xml:space="preserve">    &lt;piechart percentage=5.2 /&gt;</v>
      </c>
    </row>
    <row r="91" spans="1:13" x14ac:dyDescent="0.25">
      <c r="A91" s="26"/>
      <c r="C91" s="3" t="str">
        <f>"  &lt;/Analysis&gt;"</f>
        <v xml:space="preserve">  &lt;/Analysis&gt;</v>
      </c>
      <c r="K91" s="3" t="str">
        <f t="shared" ref="K91:M93" si="4">K69</f>
        <v>rs16969968</v>
      </c>
      <c r="L91" s="3" t="str">
        <f t="shared" si="4"/>
        <v>rs3913434</v>
      </c>
      <c r="M91" s="3" t="str">
        <f t="shared" si="4"/>
        <v>rs270838</v>
      </c>
    </row>
    <row r="92" spans="1:13" s="21" customFormat="1" x14ac:dyDescent="0.25">
      <c r="A92" s="28" t="s">
        <v>70</v>
      </c>
      <c r="B92" s="20" t="str">
        <f>CONCATENATE(B28," (A;G)")</f>
        <v>A78573551G (A;G)</v>
      </c>
      <c r="C92" s="21" t="str">
        <f>CONCATENATE("&lt;# ",B92," #&gt;")</f>
        <v>&lt;# A78573551G (A;G) #&gt;</v>
      </c>
      <c r="K92" s="21" t="str">
        <f t="shared" si="4"/>
        <v>G1192A</v>
      </c>
      <c r="L92" s="21" t="str">
        <f t="shared" si="4"/>
        <v>A78573551G</v>
      </c>
      <c r="M92" s="21" t="str">
        <f t="shared" si="4"/>
        <v>A78581651T</v>
      </c>
    </row>
    <row r="93" spans="1:13" s="10" customFormat="1" x14ac:dyDescent="0.25">
      <c r="A93" s="3" t="s">
        <v>21</v>
      </c>
      <c r="B93" s="29" t="str">
        <f>L96</f>
        <v>NC_000015.9:g.[78865893G&gt;A];[78865893=]</v>
      </c>
      <c r="J93" s="3"/>
      <c r="K93" s="22" t="str">
        <f t="shared" si="4"/>
        <v>NC_000015.9:g.</v>
      </c>
      <c r="L93" s="22" t="str">
        <f t="shared" si="4"/>
        <v>NC_000015.9:g.</v>
      </c>
      <c r="M93" s="10" t="str">
        <f t="shared" si="4"/>
        <v>NC_000015.9:g.</v>
      </c>
    </row>
    <row r="94" spans="1:13" x14ac:dyDescent="0.25">
      <c r="A94" s="3" t="s">
        <v>72</v>
      </c>
      <c r="B94" s="29"/>
      <c r="C94" s="3" t="str">
        <f>CONCATENATE("  &lt;Analysis name=",CHAR(34),B92,CHAR(34))</f>
        <v xml:space="preserve">  &lt;Analysis name="A78573551G (A;G)"</v>
      </c>
      <c r="J94" s="3" t="str">
        <f t="shared" ref="J94:M97" si="5">J72</f>
        <v>Variant</v>
      </c>
      <c r="K94" s="15" t="str">
        <f t="shared" si="5"/>
        <v>[78882925G&gt;A]</v>
      </c>
      <c r="L94" s="22" t="str">
        <f t="shared" si="5"/>
        <v>[78865893G&gt;A]</v>
      </c>
      <c r="M94" s="3" t="str">
        <f t="shared" si="5"/>
        <v>[78873993A&gt;T]</v>
      </c>
    </row>
    <row r="95" spans="1:13" x14ac:dyDescent="0.25">
      <c r="A95" s="5" t="s">
        <v>27</v>
      </c>
      <c r="B95" s="2" t="str">
        <f>CONCATENATE("People with this variant have one copy of the ",B31," variant. This substitution of a single nucleotide is known as a missense mutation.")</f>
        <v>People with this variant have one copy of the [A78573551G](https://www.ncbi.nlm.nih.gov/projects/SNP/snp_ref.cgi?rs=6495306) variant. This substitution of a single nucleotide is known as a missense mutation.</v>
      </c>
      <c r="C95" s="3" t="str">
        <f>CONCATENATE("            case={  variantCall ",CHAR(40),CHAR(34),L96,CHAR(34),CHAR(41))</f>
        <v xml:space="preserve">            case={  variantCall ("NC_000015.9:g.[78865893G&gt;A];[78865893=]")</v>
      </c>
      <c r="J95" s="3" t="str">
        <f t="shared" si="5"/>
        <v>Wildtype</v>
      </c>
      <c r="K95" s="15" t="str">
        <f t="shared" si="5"/>
        <v>[78882925=]</v>
      </c>
      <c r="L95" s="22" t="str">
        <f t="shared" si="5"/>
        <v>[78865893=]</v>
      </c>
      <c r="M95" s="3" t="str">
        <f t="shared" si="5"/>
        <v>[78873993=]</v>
      </c>
    </row>
    <row r="96" spans="1:13" x14ac:dyDescent="0.25">
      <c r="A96" s="1" t="s">
        <v>28</v>
      </c>
      <c r="B96" s="2" t="s">
        <v>195</v>
      </c>
      <c r="C96" s="3" t="s">
        <v>71</v>
      </c>
      <c r="J96" s="3" t="str">
        <f t="shared" si="5"/>
        <v>Het</v>
      </c>
      <c r="K96" s="15" t="str">
        <f t="shared" si="5"/>
        <v>NC_000015.9:g.[78882925G&gt;A];[78882925=]</v>
      </c>
      <c r="L96" s="15" t="str">
        <f t="shared" si="5"/>
        <v>NC_000015.9:g.[78865893G&gt;A];[78865893=]</v>
      </c>
      <c r="M96" s="3" t="str">
        <f t="shared" si="5"/>
        <v>NC_000015.9:g.[78873993A&gt;T];[78873993=]</v>
      </c>
    </row>
    <row r="97" spans="1:13" x14ac:dyDescent="0.25">
      <c r="A97" s="3" t="s">
        <v>73</v>
      </c>
      <c r="B97" s="29">
        <f>L55</f>
        <v>39.200000000000003</v>
      </c>
      <c r="C97" s="3" t="str">
        <f>CONCATENATE("                    ","variantCall ",CHAR(40),CHAR(34),K98,CHAR(34),CHAR(41))</f>
        <v xml:space="preserve">                    variantCall ("NC_000015.9:g.[78882925=];[78882925=]")</v>
      </c>
      <c r="J97" s="3" t="str">
        <f t="shared" si="5"/>
        <v>Homo</v>
      </c>
      <c r="K97" s="15" t="str">
        <f t="shared" si="5"/>
        <v>NC_000015.9:g.[78882925G&gt;A];[78882925G&gt;A]</v>
      </c>
      <c r="L97" s="15" t="str">
        <f t="shared" si="5"/>
        <v>NC_000015.9:g.[78865893G&gt;A];[78865893G&gt;A]</v>
      </c>
      <c r="M97" s="3" t="str">
        <f t="shared" si="5"/>
        <v>NC_000015.9:g.[78873993A&gt;T];[78873993A&gt;T]</v>
      </c>
    </row>
    <row r="98" spans="1:13" x14ac:dyDescent="0.25">
      <c r="B98" s="29"/>
      <c r="C98" s="3" t="s">
        <v>71</v>
      </c>
      <c r="J98" s="3" t="str">
        <f t="shared" ref="J98:M101" si="6">J76</f>
        <v>Wildtype</v>
      </c>
      <c r="K98" s="2" t="str">
        <f t="shared" si="6"/>
        <v>NC_000015.9:g.[78882925=];[78882925=]</v>
      </c>
      <c r="L98" s="2" t="str">
        <f t="shared" si="6"/>
        <v>NC_000015.9:g.[78865893=];[78865893=]</v>
      </c>
      <c r="M98" s="3" t="str">
        <f t="shared" si="6"/>
        <v>NC_000015.9:g.[78873993=];[78873993=]</v>
      </c>
    </row>
    <row r="99" spans="1:13" x14ac:dyDescent="0.25">
      <c r="B99" s="29"/>
      <c r="C99" s="3" t="str">
        <f>CONCATENATE("                    ","variantCall ",CHAR(40),CHAR(34),M98,CHAR(34),CHAR(41))</f>
        <v xml:space="preserve">                    variantCall ("NC_000015.9:g.[78873993=];[78873993=]")</v>
      </c>
      <c r="J99" s="3" t="str">
        <f t="shared" si="6"/>
        <v>Het%</v>
      </c>
      <c r="K99" s="15">
        <f t="shared" si="6"/>
        <v>39.200000000000003</v>
      </c>
      <c r="L99" s="15">
        <f t="shared" si="6"/>
        <v>39.200000000000003</v>
      </c>
      <c r="M99" s="3">
        <f t="shared" si="6"/>
        <v>27.3</v>
      </c>
    </row>
    <row r="100" spans="1:13" x14ac:dyDescent="0.25">
      <c r="C100" s="3" t="str">
        <f>CONCATENATE("                  } &gt; ")</f>
        <v xml:space="preserve">                  } &gt; </v>
      </c>
      <c r="J100" s="3" t="str">
        <f t="shared" si="6"/>
        <v>Homo%</v>
      </c>
      <c r="K100" s="2">
        <f t="shared" si="6"/>
        <v>5.2</v>
      </c>
      <c r="L100" s="2">
        <f t="shared" si="6"/>
        <v>17.899999999999999</v>
      </c>
      <c r="M100" s="3">
        <f t="shared" si="6"/>
        <v>9.5</v>
      </c>
    </row>
    <row r="101" spans="1:13" x14ac:dyDescent="0.25">
      <c r="J101" s="3" t="str">
        <f t="shared" si="6"/>
        <v>Wildtype%</v>
      </c>
      <c r="K101" s="2">
        <f t="shared" si="6"/>
        <v>55.6</v>
      </c>
      <c r="L101" s="2">
        <f t="shared" si="6"/>
        <v>42.9</v>
      </c>
      <c r="M101" s="3">
        <f t="shared" si="6"/>
        <v>63.2</v>
      </c>
    </row>
    <row r="102" spans="1:13" x14ac:dyDescent="0.25">
      <c r="A102" s="14"/>
      <c r="C102" s="3" t="s">
        <v>26</v>
      </c>
    </row>
    <row r="103" spans="1:13" x14ac:dyDescent="0.25">
      <c r="A103" s="26"/>
    </row>
    <row r="104" spans="1:13" x14ac:dyDescent="0.25">
      <c r="A104" s="14"/>
      <c r="C104" s="3" t="str">
        <f>CONCATENATE("    ",B95)</f>
        <v xml:space="preserve">    People with this variant have one copy of the [A78573551G](https://www.ncbi.nlm.nih.gov/projects/SNP/snp_ref.cgi?rs=6495306) variant. This substitution of a single nucleotide is known as a missense mutation.</v>
      </c>
    </row>
    <row r="105" spans="1:13" x14ac:dyDescent="0.25">
      <c r="A105" s="14"/>
    </row>
    <row r="106" spans="1:13" x14ac:dyDescent="0.25">
      <c r="A106" s="26"/>
      <c r="C106" s="3" t="s">
        <v>29</v>
      </c>
    </row>
    <row r="107" spans="1:13" x14ac:dyDescent="0.25">
      <c r="A107" s="14"/>
    </row>
    <row r="108" spans="1:13" x14ac:dyDescent="0.25">
      <c r="A108" s="14"/>
      <c r="C108" s="3" t="str">
        <f>CONCATENATE(B96)</f>
        <v xml:space="preserve">    This variant acts in the part of the [brain](https://www.ncbi.nlm.nih.gov/pubmed/26220977) that controls motor function, problem solving, language, judgement, impulse control, sexual behavior, and memory formation and processing. This may cause ME/CFS related cognition issues. This variant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v>
      </c>
    </row>
    <row r="109" spans="1:13" x14ac:dyDescent="0.25">
      <c r="A109" s="14"/>
    </row>
    <row r="110" spans="1:13" x14ac:dyDescent="0.25">
      <c r="A110" s="14"/>
      <c r="C110" s="3" t="s">
        <v>30</v>
      </c>
    </row>
    <row r="111" spans="1:13" x14ac:dyDescent="0.25">
      <c r="A111" s="26"/>
    </row>
    <row r="112" spans="1:13" x14ac:dyDescent="0.25">
      <c r="A112" s="26"/>
      <c r="C112" s="3" t="str">
        <f>CONCATENATE( "    &lt;piechart percentage=",B97," /&gt;")</f>
        <v xml:space="preserve">    &lt;piechart percentage=39.2 /&gt;</v>
      </c>
    </row>
    <row r="113" spans="1:13" x14ac:dyDescent="0.25">
      <c r="A113" s="26"/>
      <c r="C113" s="3" t="str">
        <f>"  &lt;/Analysis&gt;"</f>
        <v xml:space="preserve">  &lt;/Analysis&gt;</v>
      </c>
      <c r="K113" s="3" t="str">
        <f t="shared" ref="K113:M113" si="7">K91</f>
        <v>rs16969968</v>
      </c>
      <c r="L113" s="3" t="str">
        <f t="shared" si="7"/>
        <v>rs3913434</v>
      </c>
      <c r="M113" s="3" t="str">
        <f t="shared" si="7"/>
        <v>rs270838</v>
      </c>
    </row>
    <row r="114" spans="1:13" s="21" customFormat="1" x14ac:dyDescent="0.25">
      <c r="A114" s="28" t="s">
        <v>70</v>
      </c>
      <c r="B114" s="20" t="str">
        <f>CONCATENATE(B28," (G;G)")</f>
        <v>A78573551G (G;G)</v>
      </c>
      <c r="C114" s="21" t="str">
        <f>CONCATENATE("&lt;# ",B114," #&gt;")</f>
        <v>&lt;# A78573551G (G;G) #&gt;</v>
      </c>
      <c r="K114" s="21" t="str">
        <f t="shared" ref="K114:M114" si="8">K92</f>
        <v>G1192A</v>
      </c>
      <c r="L114" s="21" t="str">
        <f t="shared" si="8"/>
        <v>A78573551G</v>
      </c>
      <c r="M114" s="21" t="str">
        <f t="shared" si="8"/>
        <v>A78581651T</v>
      </c>
    </row>
    <row r="115" spans="1:13" s="10" customFormat="1" x14ac:dyDescent="0.25">
      <c r="A115" s="3" t="s">
        <v>21</v>
      </c>
      <c r="B115" s="29" t="str">
        <f>L118</f>
        <v>NC_000015.9:g.[78865893G&gt;A];[78865893=]</v>
      </c>
      <c r="J115" s="3"/>
      <c r="K115" s="22" t="str">
        <f t="shared" ref="K115:M115" si="9">K93</f>
        <v>NC_000015.9:g.</v>
      </c>
      <c r="L115" s="22" t="str">
        <f t="shared" si="9"/>
        <v>NC_000015.9:g.</v>
      </c>
      <c r="M115" s="10" t="str">
        <f t="shared" si="9"/>
        <v>NC_000015.9:g.</v>
      </c>
    </row>
    <row r="116" spans="1:13" x14ac:dyDescent="0.25">
      <c r="A116" s="3" t="s">
        <v>72</v>
      </c>
      <c r="B116" s="29"/>
      <c r="C116" s="3" t="str">
        <f>CONCATENATE("  &lt;Analysis name=",CHAR(34),B114,CHAR(34))</f>
        <v xml:space="preserve">  &lt;Analysis name="A78573551G (G;G)"</v>
      </c>
      <c r="J116" s="3" t="str">
        <f t="shared" ref="J116:M116" si="10">J94</f>
        <v>Variant</v>
      </c>
      <c r="K116" s="15" t="str">
        <f t="shared" si="10"/>
        <v>[78882925G&gt;A]</v>
      </c>
      <c r="L116" s="22" t="str">
        <f t="shared" si="10"/>
        <v>[78865893G&gt;A]</v>
      </c>
      <c r="M116" s="3" t="str">
        <f t="shared" si="10"/>
        <v>[78873993A&gt;T]</v>
      </c>
    </row>
    <row r="117" spans="1:13" x14ac:dyDescent="0.25">
      <c r="A117" s="5" t="s">
        <v>27</v>
      </c>
      <c r="B117" s="2" t="str">
        <f>CONCATENATE("People with this variant have two copies of the ",B31," variant. This substitution of a single nucleotide is known as a missense mutation.")</f>
        <v>People with this variant have two copies of the [A78573551G](https://www.ncbi.nlm.nih.gov/projects/SNP/snp_ref.cgi?rs=6495306) variant. This substitution of a single nucleotide is known as a missense mutation.</v>
      </c>
      <c r="C117" s="3" t="str">
        <f>CONCATENATE("            case={  variantCall ",CHAR(40),CHAR(34),L118,CHAR(34),CHAR(41))</f>
        <v xml:space="preserve">            case={  variantCall ("NC_000015.9:g.[78865893G&gt;A];[78865893=]")</v>
      </c>
      <c r="J117" s="3" t="str">
        <f t="shared" ref="J117:M117" si="11">J95</f>
        <v>Wildtype</v>
      </c>
      <c r="K117" s="15" t="str">
        <f t="shared" si="11"/>
        <v>[78882925=]</v>
      </c>
      <c r="L117" s="22" t="str">
        <f t="shared" si="11"/>
        <v>[78865893=]</v>
      </c>
      <c r="M117" s="3" t="str">
        <f t="shared" si="11"/>
        <v>[78873993=]</v>
      </c>
    </row>
    <row r="118" spans="1:13" x14ac:dyDescent="0.25">
      <c r="A118" s="1" t="s">
        <v>28</v>
      </c>
      <c r="B118" s="2" t="s">
        <v>195</v>
      </c>
      <c r="C118" s="3" t="s">
        <v>71</v>
      </c>
      <c r="J118" s="3" t="str">
        <f t="shared" ref="J118:M118" si="12">J96</f>
        <v>Het</v>
      </c>
      <c r="K118" s="15" t="str">
        <f t="shared" si="12"/>
        <v>NC_000015.9:g.[78882925G&gt;A];[78882925=]</v>
      </c>
      <c r="L118" s="15" t="str">
        <f t="shared" si="12"/>
        <v>NC_000015.9:g.[78865893G&gt;A];[78865893=]</v>
      </c>
      <c r="M118" s="3" t="str">
        <f t="shared" si="12"/>
        <v>NC_000015.9:g.[78873993A&gt;T];[78873993=]</v>
      </c>
    </row>
    <row r="119" spans="1:13" x14ac:dyDescent="0.25">
      <c r="A119" s="3" t="s">
        <v>73</v>
      </c>
      <c r="B119" s="29">
        <f>L78</f>
        <v>17.899999999999999</v>
      </c>
      <c r="C119" s="3" t="str">
        <f>CONCATENATE("                    ","variantCall ",CHAR(40),CHAR(34),K120,CHAR(34),CHAR(41))</f>
        <v xml:space="preserve">                    variantCall ("NC_000015.9:g.[78882925=];[78882925=]")</v>
      </c>
      <c r="J119" s="3" t="str">
        <f t="shared" ref="J119:M119" si="13">J97</f>
        <v>Homo</v>
      </c>
      <c r="K119" s="15" t="str">
        <f t="shared" si="13"/>
        <v>NC_000015.9:g.[78882925G&gt;A];[78882925G&gt;A]</v>
      </c>
      <c r="L119" s="15" t="str">
        <f t="shared" si="13"/>
        <v>NC_000015.9:g.[78865893G&gt;A];[78865893G&gt;A]</v>
      </c>
      <c r="M119" s="3" t="str">
        <f t="shared" si="13"/>
        <v>NC_000015.9:g.[78873993A&gt;T];[78873993A&gt;T]</v>
      </c>
    </row>
    <row r="120" spans="1:13" x14ac:dyDescent="0.25">
      <c r="B120" s="29"/>
      <c r="C120" s="3" t="s">
        <v>71</v>
      </c>
      <c r="J120" s="3" t="str">
        <f t="shared" ref="J120:M123" si="14">J98</f>
        <v>Wildtype</v>
      </c>
      <c r="K120" s="2" t="str">
        <f t="shared" si="14"/>
        <v>NC_000015.9:g.[78882925=];[78882925=]</v>
      </c>
      <c r="L120" s="2" t="str">
        <f t="shared" si="14"/>
        <v>NC_000015.9:g.[78865893=];[78865893=]</v>
      </c>
      <c r="M120" s="3" t="str">
        <f t="shared" si="14"/>
        <v>NC_000015.9:g.[78873993=];[78873993=]</v>
      </c>
    </row>
    <row r="121" spans="1:13" x14ac:dyDescent="0.25">
      <c r="B121" s="29"/>
      <c r="C121" s="3" t="str">
        <f>CONCATENATE("                    ","variantCall ",CHAR(40),CHAR(34),M120,CHAR(34),CHAR(41))</f>
        <v xml:space="preserve">                    variantCall ("NC_000015.9:g.[78873993=];[78873993=]")</v>
      </c>
      <c r="J121" s="3" t="str">
        <f t="shared" si="14"/>
        <v>Het%</v>
      </c>
      <c r="K121" s="15">
        <f t="shared" si="14"/>
        <v>39.200000000000003</v>
      </c>
      <c r="L121" s="15">
        <f t="shared" si="14"/>
        <v>39.200000000000003</v>
      </c>
      <c r="M121" s="3">
        <f t="shared" si="14"/>
        <v>27.3</v>
      </c>
    </row>
    <row r="122" spans="1:13" x14ac:dyDescent="0.25">
      <c r="C122" s="3" t="str">
        <f>CONCATENATE("                  } &gt; ")</f>
        <v xml:space="preserve">                  } &gt; </v>
      </c>
      <c r="J122" s="3" t="str">
        <f t="shared" si="14"/>
        <v>Homo%</v>
      </c>
      <c r="K122" s="2">
        <f t="shared" si="14"/>
        <v>5.2</v>
      </c>
      <c r="L122" s="2">
        <f t="shared" si="14"/>
        <v>17.899999999999999</v>
      </c>
      <c r="M122" s="3">
        <f t="shared" si="14"/>
        <v>9.5</v>
      </c>
    </row>
    <row r="123" spans="1:13" x14ac:dyDescent="0.25">
      <c r="J123" s="3" t="str">
        <f t="shared" si="14"/>
        <v>Wildtype%</v>
      </c>
      <c r="K123" s="2">
        <f t="shared" si="14"/>
        <v>55.6</v>
      </c>
      <c r="L123" s="2">
        <f t="shared" si="14"/>
        <v>42.9</v>
      </c>
      <c r="M123" s="3">
        <f t="shared" si="14"/>
        <v>63.2</v>
      </c>
    </row>
    <row r="124" spans="1:13" x14ac:dyDescent="0.25">
      <c r="A124" s="14"/>
      <c r="C124" s="3" t="s">
        <v>26</v>
      </c>
    </row>
    <row r="125" spans="1:13" x14ac:dyDescent="0.25">
      <c r="A125" s="26"/>
    </row>
    <row r="126" spans="1:13" x14ac:dyDescent="0.25">
      <c r="A126" s="14"/>
      <c r="C126" s="3" t="str">
        <f>CONCATENATE("    ",B117)</f>
        <v xml:space="preserve">    People with this variant have two copies of the [A78573551G](https://www.ncbi.nlm.nih.gov/projects/SNP/snp_ref.cgi?rs=6495306) variant. This substitution of a single nucleotide is known as a missense mutation.</v>
      </c>
    </row>
    <row r="127" spans="1:13" x14ac:dyDescent="0.25">
      <c r="A127" s="14"/>
    </row>
    <row r="128" spans="1:13" x14ac:dyDescent="0.25">
      <c r="A128" s="26"/>
      <c r="C128" s="3" t="s">
        <v>29</v>
      </c>
    </row>
    <row r="129" spans="1:13" x14ac:dyDescent="0.25">
      <c r="A129" s="14"/>
    </row>
    <row r="130" spans="1:13" x14ac:dyDescent="0.25">
      <c r="A130" s="14"/>
      <c r="C130" s="3" t="str">
        <f>CONCATENATE(B118)</f>
        <v xml:space="preserve">    This variant acts in the part of the [brain](https://www.ncbi.nlm.nih.gov/pubmed/26220977) that controls motor function, problem solving, language, judgement, impulse control, sexual behavior, and memory formation and processing. This may cause ME/CFS related cognition issues. This variant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v>
      </c>
    </row>
    <row r="131" spans="1:13" x14ac:dyDescent="0.25">
      <c r="A131" s="14"/>
    </row>
    <row r="132" spans="1:13" x14ac:dyDescent="0.25">
      <c r="A132" s="14"/>
      <c r="C132" s="3" t="s">
        <v>30</v>
      </c>
    </row>
    <row r="133" spans="1:13" x14ac:dyDescent="0.25">
      <c r="A133" s="26"/>
    </row>
    <row r="134" spans="1:13" x14ac:dyDescent="0.25">
      <c r="A134" s="26"/>
      <c r="C134" s="3" t="str">
        <f>CONCATENATE( "    &lt;piechart percentage=",B119," /&gt;")</f>
        <v xml:space="preserve">    &lt;piechart percentage=17.9 /&gt;</v>
      </c>
    </row>
    <row r="135" spans="1:13" x14ac:dyDescent="0.25">
      <c r="A135" s="26"/>
      <c r="C135" s="3" t="str">
        <f>"  &lt;/Analysis&gt;"</f>
        <v xml:space="preserve">  &lt;/Analysis&gt;</v>
      </c>
      <c r="K135" s="3" t="str">
        <f t="shared" ref="K135:M145" si="15">K91</f>
        <v>rs16969968</v>
      </c>
      <c r="L135" s="3" t="str">
        <f t="shared" si="15"/>
        <v>rs3913434</v>
      </c>
      <c r="M135" s="3" t="str">
        <f t="shared" si="15"/>
        <v>rs270838</v>
      </c>
    </row>
    <row r="136" spans="1:13" s="21" customFormat="1" x14ac:dyDescent="0.25">
      <c r="A136" s="28" t="s">
        <v>70</v>
      </c>
      <c r="B136" s="20" t="str">
        <f>CONCATENATE(B37," (A;T)")</f>
        <v>A78581651T (A;T)</v>
      </c>
      <c r="C136" s="21" t="str">
        <f>CONCATENATE("&lt;# ",B136," #&gt;")</f>
        <v>&lt;# A78581651T (A;T) #&gt;</v>
      </c>
      <c r="K136" s="21" t="str">
        <f t="shared" si="15"/>
        <v>G1192A</v>
      </c>
      <c r="L136" s="21" t="str">
        <f t="shared" si="15"/>
        <v>A78573551G</v>
      </c>
      <c r="M136" s="21" t="str">
        <f t="shared" si="15"/>
        <v>A78581651T</v>
      </c>
    </row>
    <row r="137" spans="1:13" x14ac:dyDescent="0.25">
      <c r="A137" s="3" t="s">
        <v>21</v>
      </c>
      <c r="B137" s="29" t="str">
        <f>M140</f>
        <v>NC_000015.9:g.[78873993A&gt;T];[78873993=]</v>
      </c>
      <c r="C137" s="10"/>
      <c r="K137" s="3" t="str">
        <f t="shared" si="15"/>
        <v>NC_000015.9:g.</v>
      </c>
      <c r="L137" s="3" t="str">
        <f t="shared" si="15"/>
        <v>NC_000015.9:g.</v>
      </c>
      <c r="M137" s="3" t="str">
        <f t="shared" si="15"/>
        <v>NC_000015.9:g.</v>
      </c>
    </row>
    <row r="138" spans="1:13" x14ac:dyDescent="0.25">
      <c r="A138" s="3" t="s">
        <v>72</v>
      </c>
      <c r="B138" s="29" t="str">
        <f>L53</f>
        <v>NC_000015.9:g.[78865893G&gt;A];[78865893G&gt;A]</v>
      </c>
      <c r="C138" s="3" t="str">
        <f>CONCATENATE("  &lt;Analysis name=",CHAR(34),B136,CHAR(34))</f>
        <v xml:space="preserve">  &lt;Analysis name="A78581651T (A;T)"</v>
      </c>
      <c r="J138" s="3" t="str">
        <f t="shared" ref="J138:J145" si="16">J94</f>
        <v>Variant</v>
      </c>
      <c r="K138" s="3" t="str">
        <f t="shared" si="15"/>
        <v>[78882925G&gt;A]</v>
      </c>
      <c r="L138" s="3" t="str">
        <f t="shared" si="15"/>
        <v>[78865893G&gt;A]</v>
      </c>
      <c r="M138" s="3" t="str">
        <f t="shared" si="15"/>
        <v>[78873993A&gt;T]</v>
      </c>
    </row>
    <row r="139" spans="1:13" x14ac:dyDescent="0.25">
      <c r="A139" s="5" t="s">
        <v>75</v>
      </c>
      <c r="B139" s="2" t="str">
        <f>CONCATENATE("People with this variant have one copy of the ",B40," variant. This substitution of a single nucleotide is known as a missense mutation.")</f>
        <v>People with this variant have one copy of the [A78581651T](https://www.ncbi.nlm.nih.gov/projects/SNP/snp_ref.cgi?rs=7180002) variant. This substitution of a single nucleotide is known as a missense mutation.</v>
      </c>
      <c r="C139" s="3" t="str">
        <f>CONCATENATE("            case={  variantCall ",CHAR(40),CHAR(34),B137,CHAR(34),CHAR(41))</f>
        <v xml:space="preserve">            case={  variantCall ("NC_000015.9:g.[78873993A&gt;T];[78873993=]")</v>
      </c>
      <c r="J139" s="3" t="str">
        <f t="shared" si="16"/>
        <v>Wildtype</v>
      </c>
      <c r="K139" s="3" t="str">
        <f t="shared" si="15"/>
        <v>[78882925=]</v>
      </c>
      <c r="L139" s="3" t="str">
        <f t="shared" si="15"/>
        <v>[78865893=]</v>
      </c>
      <c r="M139" s="3" t="str">
        <f t="shared" si="15"/>
        <v>[78873993=]</v>
      </c>
    </row>
    <row r="140" spans="1:13" x14ac:dyDescent="0.25">
      <c r="A140" s="1" t="s">
        <v>28</v>
      </c>
      <c r="B140" s="2" t="s">
        <v>198</v>
      </c>
      <c r="C140" s="3" t="s">
        <v>71</v>
      </c>
      <c r="J140" s="3" t="str">
        <f t="shared" si="16"/>
        <v>Het</v>
      </c>
      <c r="K140" s="3" t="str">
        <f t="shared" si="15"/>
        <v>NC_000015.9:g.[78882925G&gt;A];[78882925=]</v>
      </c>
      <c r="L140" s="3" t="str">
        <f t="shared" si="15"/>
        <v>NC_000015.9:g.[78865893G&gt;A];[78865893=]</v>
      </c>
      <c r="M140" s="3" t="str">
        <f t="shared" si="15"/>
        <v>NC_000015.9:g.[78873993A&gt;T];[78873993=]</v>
      </c>
    </row>
    <row r="141" spans="1:13" x14ac:dyDescent="0.25">
      <c r="A141" s="3" t="s">
        <v>73</v>
      </c>
      <c r="B141" s="29">
        <f>M143</f>
        <v>27.3</v>
      </c>
      <c r="C141" s="3" t="str">
        <f>CONCATENATE("                    ","variantCall ",CHAR(40),CHAR(34),K142,CHAR(34),CHAR(41))</f>
        <v xml:space="preserve">                    variantCall ("NC_000015.9:g.[78882925=];[78882925=]")</v>
      </c>
      <c r="J141" s="3" t="str">
        <f t="shared" si="16"/>
        <v>Homo</v>
      </c>
      <c r="K141" s="3" t="str">
        <f t="shared" si="15"/>
        <v>NC_000015.9:g.[78882925G&gt;A];[78882925G&gt;A]</v>
      </c>
      <c r="L141" s="3" t="str">
        <f t="shared" si="15"/>
        <v>NC_000015.9:g.[78865893G&gt;A];[78865893G&gt;A]</v>
      </c>
      <c r="M141" s="3" t="str">
        <f t="shared" si="15"/>
        <v>NC_000015.9:g.[78873993A&gt;T];[78873993A&gt;T]</v>
      </c>
    </row>
    <row r="142" spans="1:13" x14ac:dyDescent="0.25">
      <c r="C142" s="3" t="s">
        <v>71</v>
      </c>
      <c r="J142" s="3" t="str">
        <f t="shared" si="16"/>
        <v>Wildtype</v>
      </c>
      <c r="K142" s="3" t="str">
        <f t="shared" si="15"/>
        <v>NC_000015.9:g.[78882925=];[78882925=]</v>
      </c>
      <c r="L142" s="3" t="str">
        <f t="shared" si="15"/>
        <v>NC_000015.9:g.[78865893=];[78865893=]</v>
      </c>
      <c r="M142" s="3" t="str">
        <f t="shared" si="15"/>
        <v>NC_000015.9:g.[78873993=];[78873993=]</v>
      </c>
    </row>
    <row r="143" spans="1:13" x14ac:dyDescent="0.25">
      <c r="C143" s="3" t="str">
        <f>CONCATENATE("                    ","variantCall ",CHAR(40),CHAR(34),K142,CHAR(34),CHAR(41))</f>
        <v xml:space="preserve">                    variantCall ("NC_000015.9:g.[78882925=];[78882925=]")</v>
      </c>
      <c r="J143" s="3" t="str">
        <f t="shared" si="16"/>
        <v>Het%</v>
      </c>
      <c r="K143" s="3">
        <f t="shared" si="15"/>
        <v>39.200000000000003</v>
      </c>
      <c r="L143" s="3">
        <f t="shared" si="15"/>
        <v>39.200000000000003</v>
      </c>
      <c r="M143" s="3">
        <f t="shared" si="15"/>
        <v>27.3</v>
      </c>
    </row>
    <row r="144" spans="1:13" x14ac:dyDescent="0.25">
      <c r="A144" s="14"/>
      <c r="C144" s="3" t="str">
        <f>CONCATENATE("                  } &gt; ")</f>
        <v xml:space="preserve">                  } &gt; </v>
      </c>
      <c r="J144" s="3" t="str">
        <f t="shared" si="16"/>
        <v>Homo%</v>
      </c>
      <c r="K144" s="3">
        <f t="shared" si="15"/>
        <v>5.2</v>
      </c>
      <c r="L144" s="3">
        <f t="shared" si="15"/>
        <v>17.899999999999999</v>
      </c>
      <c r="M144" s="3">
        <f t="shared" si="15"/>
        <v>9.5</v>
      </c>
    </row>
    <row r="145" spans="1:13" x14ac:dyDescent="0.25">
      <c r="A145" s="26"/>
      <c r="J145" s="3" t="str">
        <f t="shared" si="16"/>
        <v>Wildtype%</v>
      </c>
      <c r="K145" s="3">
        <f t="shared" si="15"/>
        <v>55.6</v>
      </c>
      <c r="L145" s="3">
        <f t="shared" si="15"/>
        <v>42.9</v>
      </c>
      <c r="M145" s="3">
        <f t="shared" si="15"/>
        <v>63.2</v>
      </c>
    </row>
    <row r="146" spans="1:13" x14ac:dyDescent="0.25">
      <c r="A146" s="14"/>
      <c r="C146" s="3" t="s">
        <v>26</v>
      </c>
    </row>
    <row r="147" spans="1:13" x14ac:dyDescent="0.25">
      <c r="A147" s="14"/>
    </row>
    <row r="148" spans="1:13" x14ac:dyDescent="0.25">
      <c r="A148" s="26"/>
      <c r="C148" s="3" t="str">
        <f>CONCATENATE("    ",B139)</f>
        <v xml:space="preserve">    People with this variant have one copy of the [A78581651T](https://www.ncbi.nlm.nih.gov/projects/SNP/snp_ref.cgi?rs=7180002) variant. This substitution of a single nucleotide is known as a missense mutation.</v>
      </c>
    </row>
    <row r="149" spans="1:13" x14ac:dyDescent="0.25">
      <c r="A149" s="14"/>
    </row>
    <row r="150" spans="1:13" x14ac:dyDescent="0.25">
      <c r="A150" s="14"/>
      <c r="C150" s="3" t="s">
        <v>29</v>
      </c>
    </row>
    <row r="151" spans="1:13" x14ac:dyDescent="0.25">
      <c r="A151" s="14"/>
    </row>
    <row r="152" spans="1:13" x14ac:dyDescent="0.25">
      <c r="A152" s="14"/>
      <c r="C152" s="3" t="str">
        <f>CONCATENATE(B140)</f>
        <v xml:space="preserve">    This variant acts in the part of the [brain](https://www.ncbi.nlm.nih.gov/pubmed/26220977) that controls motor function, problem solving, language, judgement, impulse control, sexual behavior, and memory formation and processing. This variant also is associated with increased risk of [lung cancer](https://www.ncbi.nlm.nih.gov/pubmed/25233467) and an [increased number of cigarettes smoked per day](https://www.ncbi.nlm.nih.gov/pubmed/26981579).
    Your variant is [2X](https://www.ncbi.nlm.nih.gov/pubmed/27099524) more common in [ME/CFS patients](https://www.ncbi.nlm.nih.gov/pubmed/27099524). It causes the CHRNA5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People should avoid smoking, and proactively check for lung cancer if they smoke.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53" spans="1:13" x14ac:dyDescent="0.25">
      <c r="A153" s="26"/>
    </row>
    <row r="154" spans="1:13" x14ac:dyDescent="0.25">
      <c r="A154" s="26"/>
      <c r="C154" s="3" t="s">
        <v>30</v>
      </c>
    </row>
    <row r="155" spans="1:13" x14ac:dyDescent="0.25">
      <c r="A155" s="26"/>
    </row>
    <row r="156" spans="1:13" x14ac:dyDescent="0.25">
      <c r="A156" s="26"/>
      <c r="C156" s="3" t="str">
        <f>CONCATENATE( "    &lt;piechart percentage=",B141," /&gt;")</f>
        <v xml:space="preserve">    &lt;piechart percentage=27.3 /&gt;</v>
      </c>
    </row>
    <row r="157" spans="1:13" x14ac:dyDescent="0.25">
      <c r="A157" s="26"/>
      <c r="C157" s="3" t="str">
        <f>"  &lt;/Analysis&gt;"</f>
        <v xml:space="preserve">  &lt;/Analysis&gt;</v>
      </c>
      <c r="K157" s="3" t="str">
        <f t="shared" ref="K157:M167" si="17">K113</f>
        <v>rs16969968</v>
      </c>
      <c r="L157" s="3" t="str">
        <f t="shared" si="17"/>
        <v>rs3913434</v>
      </c>
      <c r="M157" s="3" t="str">
        <f t="shared" si="17"/>
        <v>rs270838</v>
      </c>
    </row>
    <row r="158" spans="1:13" s="21" customFormat="1" x14ac:dyDescent="0.25">
      <c r="A158" s="28" t="s">
        <v>70</v>
      </c>
      <c r="B158" s="20" t="str">
        <f>CONCATENATE(B37," (T;T)")</f>
        <v>A78581651T (T;T)</v>
      </c>
      <c r="C158" s="21" t="str">
        <f>CONCATENATE("&lt;# ",B158," #&gt;")</f>
        <v>&lt;# A78581651T (T;T) #&gt;</v>
      </c>
      <c r="K158" s="21" t="str">
        <f t="shared" si="17"/>
        <v>G1192A</v>
      </c>
      <c r="L158" s="21" t="str">
        <f t="shared" si="17"/>
        <v>A78573551G</v>
      </c>
      <c r="M158" s="21" t="str">
        <f t="shared" si="17"/>
        <v>A78581651T</v>
      </c>
    </row>
    <row r="159" spans="1:13" x14ac:dyDescent="0.25">
      <c r="A159" s="3" t="s">
        <v>21</v>
      </c>
      <c r="B159" s="29" t="str">
        <f>M162</f>
        <v>NC_000015.9:g.[78873993A&gt;T];[78873993=]</v>
      </c>
      <c r="C159" s="10"/>
      <c r="K159" s="3" t="str">
        <f t="shared" si="17"/>
        <v>NC_000015.9:g.</v>
      </c>
      <c r="L159" s="3" t="str">
        <f t="shared" si="17"/>
        <v>NC_000015.9:g.</v>
      </c>
      <c r="M159" s="3" t="str">
        <f t="shared" si="17"/>
        <v>NC_000015.9:g.</v>
      </c>
    </row>
    <row r="160" spans="1:13" x14ac:dyDescent="0.25">
      <c r="A160" s="3" t="s">
        <v>72</v>
      </c>
      <c r="B160" s="29" t="str">
        <f>L75</f>
        <v>NC_000015.9:g.[78865893G&gt;A];[78865893G&gt;A]</v>
      </c>
      <c r="C160" s="3" t="str">
        <f>CONCATENATE("  &lt;Analysis name=",CHAR(34),B158,CHAR(34))</f>
        <v xml:space="preserve">  &lt;Analysis name="A78581651T (T;T)"</v>
      </c>
      <c r="J160" s="3" t="str">
        <f t="shared" ref="J160:J167" si="18">J116</f>
        <v>Variant</v>
      </c>
      <c r="K160" s="3" t="str">
        <f t="shared" si="17"/>
        <v>[78882925G&gt;A]</v>
      </c>
      <c r="L160" s="3" t="str">
        <f t="shared" si="17"/>
        <v>[78865893G&gt;A]</v>
      </c>
      <c r="M160" s="3" t="str">
        <f t="shared" si="17"/>
        <v>[78873993A&gt;T]</v>
      </c>
    </row>
    <row r="161" spans="1:13" x14ac:dyDescent="0.25">
      <c r="A161" s="5" t="s">
        <v>75</v>
      </c>
      <c r="B161" s="2" t="str">
        <f>CONCATENATE("People with this variant have two copies of the ",B40," variant. This substitution of a single nucleotide is known as a missense mutation.")</f>
        <v>People with this variant have two copies of the [A78581651T](https://www.ncbi.nlm.nih.gov/projects/SNP/snp_ref.cgi?rs=7180002) variant. This substitution of a single nucleotide is known as a missense mutation.</v>
      </c>
      <c r="C161" s="3" t="str">
        <f>CONCATENATE("            case={  variantCall ",CHAR(40),CHAR(34),B159,CHAR(34),CHAR(41))</f>
        <v xml:space="preserve">            case={  variantCall ("NC_000015.9:g.[78873993A&gt;T];[78873993=]")</v>
      </c>
      <c r="J161" s="3" t="str">
        <f t="shared" si="18"/>
        <v>Wildtype</v>
      </c>
      <c r="K161" s="3" t="str">
        <f t="shared" si="17"/>
        <v>[78882925=]</v>
      </c>
      <c r="L161" s="3" t="str">
        <f t="shared" si="17"/>
        <v>[78865893=]</v>
      </c>
      <c r="M161" s="3" t="str">
        <f t="shared" si="17"/>
        <v>[78873993=]</v>
      </c>
    </row>
    <row r="162" spans="1:13" x14ac:dyDescent="0.25">
      <c r="A162" s="1" t="s">
        <v>28</v>
      </c>
      <c r="B162" s="2" t="s">
        <v>198</v>
      </c>
      <c r="C162" s="3" t="s">
        <v>71</v>
      </c>
      <c r="J162" s="3" t="str">
        <f t="shared" si="18"/>
        <v>Het</v>
      </c>
      <c r="K162" s="3" t="str">
        <f t="shared" si="17"/>
        <v>NC_000015.9:g.[78882925G&gt;A];[78882925=]</v>
      </c>
      <c r="L162" s="3" t="str">
        <f t="shared" si="17"/>
        <v>NC_000015.9:g.[78865893G&gt;A];[78865893=]</v>
      </c>
      <c r="M162" s="3" t="str">
        <f t="shared" si="17"/>
        <v>NC_000015.9:g.[78873993A&gt;T];[78873993=]</v>
      </c>
    </row>
    <row r="163" spans="1:13" x14ac:dyDescent="0.25">
      <c r="A163" s="3" t="s">
        <v>73</v>
      </c>
      <c r="B163" s="29">
        <f>M166</f>
        <v>9.5</v>
      </c>
      <c r="C163" s="3" t="str">
        <f>CONCATENATE("                    ","variantCall ",CHAR(40),CHAR(34),K164,CHAR(34),CHAR(41))</f>
        <v xml:space="preserve">                    variantCall ("NC_000015.9:g.[78882925=];[78882925=]")</v>
      </c>
      <c r="J163" s="3" t="str">
        <f t="shared" si="18"/>
        <v>Homo</v>
      </c>
      <c r="K163" s="3" t="str">
        <f t="shared" si="17"/>
        <v>NC_000015.9:g.[78882925G&gt;A];[78882925G&gt;A]</v>
      </c>
      <c r="L163" s="3" t="str">
        <f t="shared" si="17"/>
        <v>NC_000015.9:g.[78865893G&gt;A];[78865893G&gt;A]</v>
      </c>
      <c r="M163" s="3" t="str">
        <f t="shared" si="17"/>
        <v>NC_000015.9:g.[78873993A&gt;T];[78873993A&gt;T]</v>
      </c>
    </row>
    <row r="164" spans="1:13" x14ac:dyDescent="0.25">
      <c r="C164" s="3" t="s">
        <v>71</v>
      </c>
      <c r="J164" s="3" t="str">
        <f t="shared" si="18"/>
        <v>Wildtype</v>
      </c>
      <c r="K164" s="3" t="str">
        <f t="shared" si="17"/>
        <v>NC_000015.9:g.[78882925=];[78882925=]</v>
      </c>
      <c r="L164" s="3" t="str">
        <f t="shared" si="17"/>
        <v>NC_000015.9:g.[78865893=];[78865893=]</v>
      </c>
      <c r="M164" s="3" t="str">
        <f t="shared" si="17"/>
        <v>NC_000015.9:g.[78873993=];[78873993=]</v>
      </c>
    </row>
    <row r="165" spans="1:13" x14ac:dyDescent="0.25">
      <c r="C165" s="3" t="str">
        <f>CONCATENATE("                    ","variantCall ",CHAR(40),CHAR(34),K164,CHAR(34),CHAR(41))</f>
        <v xml:space="preserve">                    variantCall ("NC_000015.9:g.[78882925=];[78882925=]")</v>
      </c>
      <c r="J165" s="3" t="str">
        <f t="shared" si="18"/>
        <v>Het%</v>
      </c>
      <c r="K165" s="3">
        <f t="shared" si="17"/>
        <v>39.200000000000003</v>
      </c>
      <c r="L165" s="3">
        <f t="shared" si="17"/>
        <v>39.200000000000003</v>
      </c>
      <c r="M165" s="3">
        <f t="shared" si="17"/>
        <v>27.3</v>
      </c>
    </row>
    <row r="166" spans="1:13" x14ac:dyDescent="0.25">
      <c r="A166" s="14"/>
      <c r="C166" s="3" t="str">
        <f>CONCATENATE("                  } &gt; ")</f>
        <v xml:space="preserve">                  } &gt; </v>
      </c>
      <c r="J166" s="3" t="str">
        <f t="shared" si="18"/>
        <v>Homo%</v>
      </c>
      <c r="K166" s="3">
        <f t="shared" si="17"/>
        <v>5.2</v>
      </c>
      <c r="L166" s="3">
        <f t="shared" si="17"/>
        <v>17.899999999999999</v>
      </c>
      <c r="M166" s="3">
        <f t="shared" si="17"/>
        <v>9.5</v>
      </c>
    </row>
    <row r="167" spans="1:13" x14ac:dyDescent="0.25">
      <c r="A167" s="26"/>
      <c r="J167" s="3" t="str">
        <f t="shared" si="18"/>
        <v>Wildtype%</v>
      </c>
      <c r="K167" s="3">
        <f t="shared" si="17"/>
        <v>55.6</v>
      </c>
      <c r="L167" s="3">
        <f t="shared" si="17"/>
        <v>42.9</v>
      </c>
      <c r="M167" s="3">
        <f t="shared" si="17"/>
        <v>63.2</v>
      </c>
    </row>
    <row r="168" spans="1:13" x14ac:dyDescent="0.25">
      <c r="A168" s="14"/>
      <c r="C168" s="3" t="s">
        <v>26</v>
      </c>
    </row>
    <row r="169" spans="1:13" x14ac:dyDescent="0.25">
      <c r="A169" s="14"/>
    </row>
    <row r="170" spans="1:13" x14ac:dyDescent="0.25">
      <c r="A170" s="26"/>
      <c r="C170" s="3" t="str">
        <f>CONCATENATE("    ",B161)</f>
        <v xml:space="preserve">    People with this variant have two copies of the [A78581651T](https://www.ncbi.nlm.nih.gov/projects/SNP/snp_ref.cgi?rs=7180002) variant. This substitution of a single nucleotide is known as a missense mutation.</v>
      </c>
    </row>
    <row r="171" spans="1:13" x14ac:dyDescent="0.25">
      <c r="A171" s="14"/>
    </row>
    <row r="172" spans="1:13" x14ac:dyDescent="0.25">
      <c r="A172" s="14"/>
      <c r="C172" s="3" t="s">
        <v>29</v>
      </c>
    </row>
    <row r="173" spans="1:13" x14ac:dyDescent="0.25">
      <c r="A173" s="14"/>
    </row>
    <row r="174" spans="1:13" x14ac:dyDescent="0.25">
      <c r="A174" s="14"/>
      <c r="C174" s="3" t="str">
        <f>CONCATENATE(B162)</f>
        <v xml:space="preserve">    This variant acts in the part of the [brain](https://www.ncbi.nlm.nih.gov/pubmed/26220977) that controls motor function, problem solving, language, judgement, impulse control, sexual behavior, and memory formation and processing. This variant also is associated with increased risk of [lung cancer](https://www.ncbi.nlm.nih.gov/pubmed/25233467) and an [increased number of cigarettes smoked per day](https://www.ncbi.nlm.nih.gov/pubmed/26981579).
    Your variant is [2X](https://www.ncbi.nlm.nih.gov/pubmed/27099524) more common in [ME/CFS patients](https://www.ncbi.nlm.nih.gov/pubmed/27099524). It causes the CHRNA5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People should avoid smoking, and proactively check for lung cancer if they smoke.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75" spans="1:13" x14ac:dyDescent="0.25">
      <c r="A175" s="26"/>
    </row>
    <row r="176" spans="1:13" x14ac:dyDescent="0.25">
      <c r="A176" s="26"/>
      <c r="C176" s="3" t="s">
        <v>30</v>
      </c>
    </row>
    <row r="177" spans="1:13" x14ac:dyDescent="0.25">
      <c r="A177" s="26"/>
    </row>
    <row r="178" spans="1:13" x14ac:dyDescent="0.25">
      <c r="A178" s="26"/>
      <c r="C178" s="3" t="str">
        <f>CONCATENATE( "    &lt;piechart percentage=",B163," /&gt;")</f>
        <v xml:space="preserve">    &lt;piechart percentage=9.5 /&gt;</v>
      </c>
    </row>
    <row r="179" spans="1:13" x14ac:dyDescent="0.25">
      <c r="A179" s="26"/>
      <c r="C179" s="3" t="str">
        <f>"  &lt;/Analysis&gt;"</f>
        <v xml:space="preserve">  &lt;/Analysis&gt;</v>
      </c>
      <c r="K179" s="3" t="str">
        <f t="shared" ref="K179:M189" si="19">K135</f>
        <v>rs16969968</v>
      </c>
      <c r="L179" s="3" t="str">
        <f t="shared" si="19"/>
        <v>rs3913434</v>
      </c>
      <c r="M179" s="3" t="str">
        <f t="shared" si="19"/>
        <v>rs270838</v>
      </c>
    </row>
    <row r="180" spans="1:13" s="21" customFormat="1" x14ac:dyDescent="0.25">
      <c r="A180" s="28" t="s">
        <v>70</v>
      </c>
      <c r="B180" s="20" t="str">
        <f>CONCATENATE(B48," and ",B92," and ",B136)</f>
        <v>G1192A (G;A) and A78573551G (A;G) and A78581651T (A;T)</v>
      </c>
      <c r="C180" s="21" t="str">
        <f>CONCATENATE("&lt;# ",B180," #&gt;")</f>
        <v>&lt;# G1192A (G;A) and A78573551G (A;G) and A78581651T (A;T) #&gt;</v>
      </c>
      <c r="K180" s="21" t="str">
        <f t="shared" si="19"/>
        <v>G1192A</v>
      </c>
      <c r="L180" s="21" t="str">
        <f t="shared" si="19"/>
        <v>A78573551G</v>
      </c>
      <c r="M180" s="21" t="str">
        <f t="shared" si="19"/>
        <v>A78581651T</v>
      </c>
    </row>
    <row r="181" spans="1:13" x14ac:dyDescent="0.25">
      <c r="A181" s="14" t="s">
        <v>21</v>
      </c>
      <c r="B181" s="15" t="str">
        <f>K52</f>
        <v>NC_000015.9:g.[78882925G&gt;A];[78882925=]</v>
      </c>
      <c r="K181" s="3" t="str">
        <f t="shared" si="19"/>
        <v>NC_000015.9:g.</v>
      </c>
      <c r="L181" s="3" t="str">
        <f t="shared" si="19"/>
        <v>NC_000015.9:g.</v>
      </c>
      <c r="M181" s="3" t="str">
        <f t="shared" si="19"/>
        <v>NC_000015.9:g.</v>
      </c>
    </row>
    <row r="182" spans="1:13" x14ac:dyDescent="0.25">
      <c r="A182" s="14" t="s">
        <v>72</v>
      </c>
      <c r="C182" s="3" t="str">
        <f>CONCATENATE("  &lt;Analysis name=",CHAR(34),B180,CHAR(34))</f>
        <v xml:space="preserve">  &lt;Analysis name="G1192A (G;A) and A78573551G (A;G) and A78581651T (A;T)"</v>
      </c>
      <c r="J182" s="3" t="str">
        <f t="shared" ref="J182:J189" si="20">J138</f>
        <v>Variant</v>
      </c>
      <c r="K182" s="3" t="str">
        <f t="shared" si="19"/>
        <v>[78882925G&gt;A]</v>
      </c>
      <c r="L182" s="3" t="str">
        <f t="shared" si="19"/>
        <v>[78865893G&gt;A]</v>
      </c>
      <c r="M182" s="3" t="str">
        <f t="shared" si="19"/>
        <v>[78873993A&gt;T]</v>
      </c>
    </row>
    <row r="183" spans="1:13" x14ac:dyDescent="0.25">
      <c r="A183" s="26" t="s">
        <v>75</v>
      </c>
      <c r="B183" s="15" t="str">
        <f>CONCATENATE("People with this variant have copies of the ",B22,", ",B31, ", and ",B40," variants. This substitution of a single nucleotide is known as a missense mutation.")</f>
        <v>People with this variant have copies of the [G1192A (Asp398Asn)](https://www.ncbi.nlm.nih.gov/clinvar/variation/17497/), [A78573551G](https://www.ncbi.nlm.nih.gov/projects/SNP/snp_ref.cgi?rs=6495306), and [A78581651T](https://www.ncbi.nlm.nih.gov/projects/SNP/snp_ref.cgi?rs=7180002) variants. This substitution of a single nucleotide is known as a missense mutation.</v>
      </c>
      <c r="C183" s="3" t="str">
        <f>CONCATENATE("            case={  variantCall ",CHAR(40),CHAR(34),K184,CHAR(34),CHAR(41))</f>
        <v xml:space="preserve">            case={  variantCall ("NC_000015.9:g.[78882925G&gt;A];[78882925=]")</v>
      </c>
      <c r="J183" s="3" t="str">
        <f t="shared" si="20"/>
        <v>Wildtype</v>
      </c>
      <c r="K183" s="3" t="str">
        <f t="shared" si="19"/>
        <v>[78882925=]</v>
      </c>
      <c r="L183" s="3" t="str">
        <f t="shared" si="19"/>
        <v>[78865893=]</v>
      </c>
      <c r="M183" s="3" t="str">
        <f t="shared" si="19"/>
        <v>[78873993=]</v>
      </c>
    </row>
    <row r="184" spans="1:13" x14ac:dyDescent="0.25">
      <c r="A184" s="26" t="s">
        <v>28</v>
      </c>
      <c r="B184" s="15" t="s">
        <v>199</v>
      </c>
      <c r="C184" s="3" t="s">
        <v>71</v>
      </c>
      <c r="J184" s="3" t="str">
        <f t="shared" si="20"/>
        <v>Het</v>
      </c>
      <c r="K184" s="3" t="str">
        <f t="shared" si="19"/>
        <v>NC_000015.9:g.[78882925G&gt;A];[78882925=]</v>
      </c>
      <c r="L184" s="3" t="str">
        <f t="shared" si="19"/>
        <v>NC_000015.9:g.[78865893G&gt;A];[78865893=]</v>
      </c>
      <c r="M184" s="3" t="str">
        <f t="shared" si="19"/>
        <v>NC_000015.9:g.[78873993A&gt;T];[78873993=]</v>
      </c>
    </row>
    <row r="185" spans="1:13" x14ac:dyDescent="0.25">
      <c r="A185" s="26" t="s">
        <v>73</v>
      </c>
      <c r="C185" s="3" t="str">
        <f>CONCATENATE("                    ",CHAR(40),"variantCall ",CHAR(40),CHAR(34),L184,CHAR(34),CHAR(41)," or variantCall ",CHAR(40),CHAR(34),L185,CHAR(34),CHAR(41),CHAR(41))</f>
        <v xml:space="preserve">                    (variantCall ("NC_000015.9:g.[78865893G&gt;A];[78865893=]") or variantCall ("NC_000015.9:g.[78865893G&gt;A];[78865893G&gt;A]"))</v>
      </c>
      <c r="J185" s="3" t="str">
        <f t="shared" si="20"/>
        <v>Homo</v>
      </c>
      <c r="K185" s="3" t="str">
        <f t="shared" si="19"/>
        <v>NC_000015.9:g.[78882925G&gt;A];[78882925G&gt;A]</v>
      </c>
      <c r="L185" s="3" t="str">
        <f t="shared" si="19"/>
        <v>NC_000015.9:g.[78865893G&gt;A];[78865893G&gt;A]</v>
      </c>
      <c r="M185" s="3" t="str">
        <f t="shared" si="19"/>
        <v>NC_000015.9:g.[78873993A&gt;T];[78873993A&gt;T]</v>
      </c>
    </row>
    <row r="186" spans="1:13" x14ac:dyDescent="0.25">
      <c r="A186" s="26"/>
      <c r="C186" s="3" t="s">
        <v>71</v>
      </c>
      <c r="J186" s="3" t="str">
        <f t="shared" si="20"/>
        <v>Wildtype</v>
      </c>
      <c r="K186" s="3" t="str">
        <f t="shared" si="19"/>
        <v>NC_000015.9:g.[78882925=];[78882925=]</v>
      </c>
      <c r="L186" s="3" t="str">
        <f t="shared" si="19"/>
        <v>NC_000015.9:g.[78865893=];[78865893=]</v>
      </c>
      <c r="M186" s="3" t="str">
        <f t="shared" si="19"/>
        <v>NC_000015.9:g.[78873993=];[78873993=]</v>
      </c>
    </row>
    <row r="187" spans="1:13" x14ac:dyDescent="0.25">
      <c r="A187" s="26"/>
      <c r="C187" s="3" t="str">
        <f>CONCATENATE("                    ",CHAR(40),"variantCall ",CHAR(40),CHAR(34),M184,CHAR(34),CHAR(41)," or variantCall ",CHAR(40),CHAR(34),M185,CHAR(34),CHAR(41),CHAR(41))</f>
        <v xml:space="preserve">                    (variantCall ("NC_000015.9:g.[78873993A&gt;T];[78873993=]") or variantCall ("NC_000015.9:g.[78873993A&gt;T];[78873993A&gt;T]"))</v>
      </c>
      <c r="J187" s="3" t="str">
        <f t="shared" si="20"/>
        <v>Het%</v>
      </c>
      <c r="K187" s="3">
        <f t="shared" si="19"/>
        <v>39.200000000000003</v>
      </c>
      <c r="L187" s="3">
        <f t="shared" si="19"/>
        <v>39.200000000000003</v>
      </c>
      <c r="M187" s="3">
        <f t="shared" si="19"/>
        <v>27.3</v>
      </c>
    </row>
    <row r="188" spans="1:13" x14ac:dyDescent="0.25">
      <c r="A188" s="26"/>
      <c r="C188" s="3" t="str">
        <f>CONCATENATE("                  } &gt; ")</f>
        <v xml:space="preserve">                  } &gt; </v>
      </c>
      <c r="J188" s="3" t="str">
        <f t="shared" si="20"/>
        <v>Homo%</v>
      </c>
      <c r="K188" s="3">
        <f t="shared" si="19"/>
        <v>5.2</v>
      </c>
      <c r="L188" s="3">
        <f t="shared" si="19"/>
        <v>17.899999999999999</v>
      </c>
      <c r="M188" s="3">
        <f t="shared" si="19"/>
        <v>9.5</v>
      </c>
    </row>
    <row r="189" spans="1:13" x14ac:dyDescent="0.25">
      <c r="A189" s="14"/>
      <c r="J189" s="3" t="str">
        <f t="shared" si="20"/>
        <v>Wildtype%</v>
      </c>
      <c r="K189" s="3">
        <f t="shared" si="19"/>
        <v>55.6</v>
      </c>
      <c r="L189" s="3">
        <f t="shared" si="19"/>
        <v>42.9</v>
      </c>
      <c r="M189" s="3">
        <f t="shared" si="19"/>
        <v>63.2</v>
      </c>
    </row>
    <row r="190" spans="1:13" x14ac:dyDescent="0.25">
      <c r="A190" s="14"/>
      <c r="C190" s="3" t="s">
        <v>26</v>
      </c>
    </row>
    <row r="191" spans="1:13" x14ac:dyDescent="0.25">
      <c r="A191" s="14"/>
    </row>
    <row r="192" spans="1:13" x14ac:dyDescent="0.25">
      <c r="A192" s="14"/>
      <c r="C192" s="3" t="str">
        <f>CONCATENATE("    ",B183)</f>
        <v xml:space="preserve">    People with this variant have copies of the [G1192A (Asp398Asn)](https://www.ncbi.nlm.nih.gov/clinvar/variation/17497/), [A78573551G](https://www.ncbi.nlm.nih.gov/projects/SNP/snp_ref.cgi?rs=6495306), and [A78581651T](https://www.ncbi.nlm.nih.gov/projects/SNP/snp_ref.cgi?rs=7180002) variants. This substitution of a single nucleotide is known as a missense mutation.</v>
      </c>
    </row>
    <row r="193" spans="1:13" x14ac:dyDescent="0.25">
      <c r="A193" s="14"/>
    </row>
    <row r="194" spans="1:13" x14ac:dyDescent="0.25">
      <c r="A194" s="26"/>
      <c r="C194" s="3" t="s">
        <v>29</v>
      </c>
    </row>
    <row r="195" spans="1:13" x14ac:dyDescent="0.25">
      <c r="A195" s="26"/>
    </row>
    <row r="196" spans="1:13" x14ac:dyDescent="0.25">
      <c r="A196" s="26"/>
      <c r="C196" s="3" t="str">
        <f>CONCATENATE(B184)</f>
        <v xml:space="preserve">    There is currently no data on the interaction between these variants.  However, some information exists on the individual variants.
    # What is the effect of G1192A (G;A)?
    This variant controls [cognitive function, working memory, and gray matter volume in the brain](https://www.ncbi.nlm.nih.gov/pubmed/24819610). Males with this variant have faster [information processing](https://www.ncbi.nlm.nih.gov/pubmed/25674902), including [much better behavioral performance, more efficient brain activity, and a larger brain volume.](https://www.ncbi.nlm.nih.gov/pubmed/24819610) Females with this variant exhibit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
    # What is the effect of A78573551G?
    This variant acts in the part of the [brain](https://www.ncbi.nlm.nih.gov/pubmed/26220977) that controls motor function, problem solving, language, judgement, impulse control, sexual behavior, and memory formation and processing. This may cause ME/CFS related cognition issues. This variant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is the effect of A78581651T?
    This variant acts in the part of the [brain](https://www.ncbi.nlm.nih.gov/pubmed/26220977) that controls motor function, problem solving, language, judgement, impulse control, sexual behavior, and memory formation and processing. This variant also is associated with increased risk of [lung cancer](https://www.ncbi.nlm.nih.gov/pubmed/25233467) and an [increased number of cigarettes smoked per day](https://www.ncbi.nlm.nih.gov/pubmed/26981579).
    Your variant is [2X](https://www.ncbi.nlm.nih.gov/pubmed/27099524) more common in [ME/CFS patients](https://www.ncbi.nlm.nih.gov/pubmed/27099524). It causes the CHRNA5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Consult your physician on [medications](http://www.uniprot.org/uniprot/P30532#pathology_and_biotech) that act on variants in CHRNA5, including [Ethanol](https://www.drugbank.ca/drugs/DB00898), [Galantamine](https://www.drugbank.ca/drugs/DB00674), and [nicotine](https://www.drugbank.ca/drugs/DB00184).</v>
      </c>
    </row>
    <row r="197" spans="1:13" x14ac:dyDescent="0.25">
      <c r="A197" s="26"/>
    </row>
    <row r="198" spans="1:13" x14ac:dyDescent="0.25">
      <c r="A198" s="26"/>
      <c r="C198" s="3" t="s">
        <v>30</v>
      </c>
    </row>
    <row r="199" spans="1:13" x14ac:dyDescent="0.25">
      <c r="A199" s="26"/>
    </row>
    <row r="200" spans="1:13" x14ac:dyDescent="0.25">
      <c r="A200" s="26"/>
      <c r="C200" s="3" t="str">
        <f>CONCATENATE( "    &lt;piechart percentage=",B185," /&gt;")</f>
        <v xml:space="preserve">    &lt;piechart percentage= /&gt;</v>
      </c>
    </row>
    <row r="201" spans="1:13" x14ac:dyDescent="0.25">
      <c r="A201" s="26"/>
      <c r="C201" s="3" t="str">
        <f>"  &lt;/Analysis&gt;"</f>
        <v xml:space="preserve">  &lt;/Analysis&gt;</v>
      </c>
      <c r="K201" s="3" t="str">
        <f t="shared" ref="K201:M203" si="21">K179</f>
        <v>rs16969968</v>
      </c>
      <c r="L201" s="3" t="str">
        <f t="shared" si="21"/>
        <v>rs3913434</v>
      </c>
      <c r="M201" s="3" t="str">
        <f t="shared" si="21"/>
        <v>rs270838</v>
      </c>
    </row>
    <row r="202" spans="1:13" s="21" customFormat="1" x14ac:dyDescent="0.25">
      <c r="A202" s="28" t="s">
        <v>70</v>
      </c>
      <c r="B202" s="20" t="str">
        <f>CONCATENATE(B70," and ",B92," and ",B136)</f>
        <v>G1192A (A;A) and A78573551G (A;G) and A78581651T (A;T)</v>
      </c>
      <c r="C202" s="21" t="str">
        <f>CONCATENATE("&lt;# ",B202," #&gt;")</f>
        <v>&lt;# G1192A (A;A) and A78573551G (A;G) and A78581651T (A;T) #&gt;</v>
      </c>
      <c r="K202" s="21" t="str">
        <f t="shared" si="21"/>
        <v>G1192A</v>
      </c>
      <c r="L202" s="21" t="str">
        <f t="shared" si="21"/>
        <v>A78573551G</v>
      </c>
      <c r="M202" s="21" t="str">
        <f t="shared" si="21"/>
        <v>A78581651T</v>
      </c>
    </row>
    <row r="203" spans="1:13" x14ac:dyDescent="0.25">
      <c r="A203" s="14" t="s">
        <v>21</v>
      </c>
      <c r="B203" s="15" t="str">
        <f>K74</f>
        <v>NC_000015.9:g.[78882925G&gt;A];[78882925=]</v>
      </c>
      <c r="K203" s="3" t="str">
        <f t="shared" si="21"/>
        <v>NC_000015.9:g.</v>
      </c>
      <c r="L203" s="3" t="str">
        <f t="shared" si="21"/>
        <v>NC_000015.9:g.</v>
      </c>
      <c r="M203" s="3" t="str">
        <f t="shared" si="21"/>
        <v>NC_000015.9:g.</v>
      </c>
    </row>
    <row r="204" spans="1:13" x14ac:dyDescent="0.25">
      <c r="A204" s="14" t="s">
        <v>72</v>
      </c>
      <c r="C204" s="3" t="str">
        <f>CONCATENATE("  &lt;Analysis name=",CHAR(34),B202,CHAR(34))</f>
        <v xml:space="preserve">  &lt;Analysis name="G1192A (A;A) and A78573551G (A;G) and A78581651T (A;T)"</v>
      </c>
      <c r="J204" s="3" t="str">
        <f t="shared" ref="J204:M211" si="22">J182</f>
        <v>Variant</v>
      </c>
      <c r="K204" s="3" t="str">
        <f t="shared" si="22"/>
        <v>[78882925G&gt;A]</v>
      </c>
      <c r="L204" s="3" t="str">
        <f t="shared" si="22"/>
        <v>[78865893G&gt;A]</v>
      </c>
      <c r="M204" s="3" t="str">
        <f t="shared" si="22"/>
        <v>[78873993A&gt;T]</v>
      </c>
    </row>
    <row r="205" spans="1:13" x14ac:dyDescent="0.25">
      <c r="A205" s="26" t="s">
        <v>75</v>
      </c>
      <c r="B205" s="15" t="str">
        <f>CONCATENATE("People with this variant have copies of the ",B22,", ",B31, ", and ",B40," variants. This substitution of a single nucleotide is known as a missense mutation.")</f>
        <v>People with this variant have copies of the [G1192A (Asp398Asn)](https://www.ncbi.nlm.nih.gov/clinvar/variation/17497/), [A78573551G](https://www.ncbi.nlm.nih.gov/projects/SNP/snp_ref.cgi?rs=6495306), and [A78581651T](https://www.ncbi.nlm.nih.gov/projects/SNP/snp_ref.cgi?rs=7180002) variants. This substitution of a single nucleotide is known as a missense mutation.</v>
      </c>
      <c r="C205" s="3" t="str">
        <f>CONCATENATE("            case={  variantCall ",CHAR(40),CHAR(34),K207,CHAR(34),CHAR(41))</f>
        <v xml:space="preserve">            case={  variantCall ("NC_000015.9:g.[78882925G&gt;A];[78882925G&gt;A]")</v>
      </c>
      <c r="J205" s="3" t="str">
        <f t="shared" si="22"/>
        <v>Wildtype</v>
      </c>
      <c r="K205" s="3" t="str">
        <f t="shared" si="22"/>
        <v>[78882925=]</v>
      </c>
      <c r="L205" s="3" t="str">
        <f t="shared" si="22"/>
        <v>[78865893=]</v>
      </c>
      <c r="M205" s="3" t="str">
        <f t="shared" si="22"/>
        <v>[78873993=]</v>
      </c>
    </row>
    <row r="206" spans="1:13" x14ac:dyDescent="0.25">
      <c r="A206" s="26" t="s">
        <v>28</v>
      </c>
      <c r="B206" s="15" t="s">
        <v>200</v>
      </c>
      <c r="C206" s="3" t="s">
        <v>71</v>
      </c>
      <c r="J206" s="3" t="str">
        <f t="shared" si="22"/>
        <v>Het</v>
      </c>
      <c r="K206" s="3" t="str">
        <f t="shared" si="22"/>
        <v>NC_000015.9:g.[78882925G&gt;A];[78882925=]</v>
      </c>
      <c r="L206" s="3" t="str">
        <f t="shared" si="22"/>
        <v>NC_000015.9:g.[78865893G&gt;A];[78865893=]</v>
      </c>
      <c r="M206" s="3" t="str">
        <f t="shared" si="22"/>
        <v>NC_000015.9:g.[78873993A&gt;T];[78873993=]</v>
      </c>
    </row>
    <row r="207" spans="1:13" x14ac:dyDescent="0.25">
      <c r="A207" s="26" t="s">
        <v>73</v>
      </c>
      <c r="C207" s="3" t="str">
        <f>CONCATENATE("                    ",CHAR(40),"variantCall ",CHAR(40),CHAR(34),L206,CHAR(34),CHAR(41)," or variantCall ",CHAR(40),CHAR(34),L207,CHAR(34),CHAR(41),CHAR(41))</f>
        <v xml:space="preserve">                    (variantCall ("NC_000015.9:g.[78865893G&gt;A];[78865893=]") or variantCall ("NC_000015.9:g.[78865893G&gt;A];[78865893G&gt;A]"))</v>
      </c>
      <c r="J207" s="3" t="str">
        <f t="shared" si="22"/>
        <v>Homo</v>
      </c>
      <c r="K207" s="3" t="str">
        <f t="shared" si="22"/>
        <v>NC_000015.9:g.[78882925G&gt;A];[78882925G&gt;A]</v>
      </c>
      <c r="L207" s="3" t="str">
        <f t="shared" si="22"/>
        <v>NC_000015.9:g.[78865893G&gt;A];[78865893G&gt;A]</v>
      </c>
      <c r="M207" s="3" t="str">
        <f t="shared" si="22"/>
        <v>NC_000015.9:g.[78873993A&gt;T];[78873993A&gt;T]</v>
      </c>
    </row>
    <row r="208" spans="1:13" x14ac:dyDescent="0.25">
      <c r="A208" s="26"/>
      <c r="C208" s="3" t="s">
        <v>71</v>
      </c>
      <c r="J208" s="3" t="str">
        <f t="shared" si="22"/>
        <v>Wildtype</v>
      </c>
      <c r="K208" s="3" t="str">
        <f t="shared" si="22"/>
        <v>NC_000015.9:g.[78882925=];[78882925=]</v>
      </c>
      <c r="L208" s="3" t="str">
        <f t="shared" si="22"/>
        <v>NC_000015.9:g.[78865893=];[78865893=]</v>
      </c>
      <c r="M208" s="3" t="str">
        <f t="shared" si="22"/>
        <v>NC_000015.9:g.[78873993=];[78873993=]</v>
      </c>
    </row>
    <row r="209" spans="1:13" x14ac:dyDescent="0.25">
      <c r="A209" s="26"/>
      <c r="C209" s="3" t="str">
        <f>CONCATENATE("                    ",CHAR(40),"variantCall ",CHAR(40),CHAR(34),M206,CHAR(34),CHAR(41)," or variantCall ",CHAR(40),CHAR(34),M207,CHAR(34),CHAR(41),CHAR(41))</f>
        <v xml:space="preserve">                    (variantCall ("NC_000015.9:g.[78873993A&gt;T];[78873993=]") or variantCall ("NC_000015.9:g.[78873993A&gt;T];[78873993A&gt;T]"))</v>
      </c>
      <c r="J209" s="3" t="str">
        <f t="shared" si="22"/>
        <v>Het%</v>
      </c>
      <c r="K209" s="3">
        <f t="shared" si="22"/>
        <v>39.200000000000003</v>
      </c>
      <c r="L209" s="3">
        <f t="shared" si="22"/>
        <v>39.200000000000003</v>
      </c>
      <c r="M209" s="3">
        <f t="shared" si="22"/>
        <v>27.3</v>
      </c>
    </row>
    <row r="210" spans="1:13" x14ac:dyDescent="0.25">
      <c r="A210" s="26"/>
      <c r="C210" s="3" t="str">
        <f>CONCATENATE("                  } &gt; ")</f>
        <v xml:space="preserve">                  } &gt; </v>
      </c>
      <c r="J210" s="3" t="str">
        <f t="shared" si="22"/>
        <v>Homo%</v>
      </c>
      <c r="K210" s="3">
        <f t="shared" si="22"/>
        <v>5.2</v>
      </c>
      <c r="L210" s="3">
        <f t="shared" si="22"/>
        <v>17.899999999999999</v>
      </c>
      <c r="M210" s="3">
        <f t="shared" si="22"/>
        <v>9.5</v>
      </c>
    </row>
    <row r="211" spans="1:13" x14ac:dyDescent="0.25">
      <c r="A211" s="14"/>
      <c r="J211" s="3" t="str">
        <f t="shared" si="22"/>
        <v>Wildtype%</v>
      </c>
      <c r="K211" s="3">
        <f t="shared" si="22"/>
        <v>55.6</v>
      </c>
      <c r="L211" s="3">
        <f t="shared" si="22"/>
        <v>42.9</v>
      </c>
      <c r="M211" s="3">
        <f t="shared" si="22"/>
        <v>63.2</v>
      </c>
    </row>
    <row r="212" spans="1:13" x14ac:dyDescent="0.25">
      <c r="A212" s="14"/>
      <c r="C212" s="3" t="s">
        <v>26</v>
      </c>
    </row>
    <row r="213" spans="1:13" x14ac:dyDescent="0.25">
      <c r="A213" s="14"/>
    </row>
    <row r="214" spans="1:13" x14ac:dyDescent="0.25">
      <c r="A214" s="14"/>
      <c r="C214" s="3" t="str">
        <f>CONCATENATE("    ",B205)</f>
        <v xml:space="preserve">    People with this variant have copies of the [G1192A (Asp398Asn)](https://www.ncbi.nlm.nih.gov/clinvar/variation/17497/), [A78573551G](https://www.ncbi.nlm.nih.gov/projects/SNP/snp_ref.cgi?rs=6495306), and [A78581651T](https://www.ncbi.nlm.nih.gov/projects/SNP/snp_ref.cgi?rs=7180002) variants. This substitution of a single nucleotide is known as a missense mutation.</v>
      </c>
    </row>
    <row r="215" spans="1:13" x14ac:dyDescent="0.25">
      <c r="A215" s="14"/>
    </row>
    <row r="216" spans="1:13" x14ac:dyDescent="0.25">
      <c r="A216" s="26"/>
      <c r="C216" s="3" t="s">
        <v>29</v>
      </c>
    </row>
    <row r="217" spans="1:13" x14ac:dyDescent="0.25">
      <c r="A217" s="26"/>
    </row>
    <row r="218" spans="1:13" x14ac:dyDescent="0.25">
      <c r="A218" s="26"/>
      <c r="C218" s="3" t="str">
        <f>CONCATENATE(B206)</f>
        <v xml:space="preserve">    There is currently no data on the interaction between these variants.  However, some information exists on the individual variants.
    # What is the effect of G1192A (A;A)?
    This variant controls [cognitive function, working memory, and gray matter volume in the brain](https://www.ncbi.nlm.nih.gov/pubmed/24819610). Males with this variant have much faster [information processing](https://www.ncbi.nlm.nih.gov/pubmed/25674902), including [much better behavioral performance, more efficient brain activity, and a larger brain volume.](https://www.ncbi.nlm.nih.gov/pubmed/24819610) Females with this variant exhibit much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an elevated risk and earlier onset of [lung cancer](https://www.ncbi.nlm.nih.gov/pubmed/27543155), [COPD](https://www.ncbi.nlm.nih.gov/pubmed/26771213) and [newborn lung and breathing problems](https://www.ncbi.nlm.nih.gov/pubmed/24838476) in the children of smoking mothers.
    # What is the effect of A78573551G?
    This variant acts in the part of the [brain](https://www.ncbi.nlm.nih.gov/pubmed/26220977) that controls motor function, problem solving, language, judgement, impulse control, sexual behavior, and memory formation and processing. This may cause ME/CFS related cognition issues. This variant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is the effect of A78581651T?
    This variant acts in the part of the [brain](https://www.ncbi.nlm.nih.gov/pubmed/26220977) that controls motor function, problem solving, language, judgement, impulse control, sexual behavior, and memory formation and processing. This variant also is associated with increased risk of [lung cancer](https://www.ncbi.nlm.nih.gov/pubmed/25233467) and an [increased number of cigarettes smoked per day](https://www.ncbi.nlm.nih.gov/pubmed/26981579).
    Your variant is [2X](https://www.ncbi.nlm.nih.gov/pubmed/27099524) more common in [ME/CFS patients](https://www.ncbi.nlm.nih.gov/pubmed/27099524). It causes the CHRNA5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Consult your physician on [medications](http://www.uniprot.org/uniprot/P30532#pathology_and_biotech) that act on variants in CHRNA5, including [Ethanol](https://www.drugbank.ca/drugs/DB00898), [Galantamine](https://www.drugbank.ca/drugs/DB00674), and [nicotine](https://www.drugbank.ca/drugs/DB00184).</v>
      </c>
    </row>
    <row r="219" spans="1:13" x14ac:dyDescent="0.25">
      <c r="A219" s="26"/>
    </row>
    <row r="220" spans="1:13" x14ac:dyDescent="0.25">
      <c r="A220" s="26"/>
      <c r="C220" s="3" t="s">
        <v>30</v>
      </c>
    </row>
    <row r="221" spans="1:13" x14ac:dyDescent="0.25">
      <c r="A221" s="26"/>
    </row>
    <row r="222" spans="1:13" x14ac:dyDescent="0.25">
      <c r="A222" s="26"/>
      <c r="C222" s="3" t="str">
        <f>CONCATENATE( "    &lt;piechart percentage=",B207," /&gt;")</f>
        <v xml:space="preserve">    &lt;piechart percentage= /&gt;</v>
      </c>
    </row>
    <row r="223" spans="1:13" x14ac:dyDescent="0.25">
      <c r="A223" s="26"/>
      <c r="C223" s="3" t="str">
        <f>"  &lt;/Analysis&gt;"</f>
        <v xml:space="preserve">  &lt;/Analysis&gt;</v>
      </c>
      <c r="K223" s="3" t="str">
        <f t="shared" ref="K223:M225" si="23">K201</f>
        <v>rs16969968</v>
      </c>
      <c r="L223" s="3" t="str">
        <f t="shared" si="23"/>
        <v>rs3913434</v>
      </c>
      <c r="M223" s="3" t="str">
        <f t="shared" si="23"/>
        <v>rs270838</v>
      </c>
    </row>
    <row r="224" spans="1:13" s="21" customFormat="1" x14ac:dyDescent="0.25">
      <c r="A224" s="28" t="s">
        <v>70</v>
      </c>
      <c r="B224" s="20" t="str">
        <f>CONCATENATE(B48," and ",B92)</f>
        <v>G1192A (G;A) and A78573551G (A;G)</v>
      </c>
      <c r="C224" s="21" t="str">
        <f>CONCATENATE("&lt;# ",B224," #&gt;")</f>
        <v>&lt;# G1192A (G;A) and A78573551G (A;G) #&gt;</v>
      </c>
      <c r="K224" s="21" t="str">
        <f t="shared" si="23"/>
        <v>G1192A</v>
      </c>
      <c r="L224" s="21" t="str">
        <f t="shared" si="23"/>
        <v>A78573551G</v>
      </c>
      <c r="M224" s="21" t="str">
        <f t="shared" si="23"/>
        <v>A78581651T</v>
      </c>
    </row>
    <row r="225" spans="1:13" x14ac:dyDescent="0.25">
      <c r="A225" s="14" t="s">
        <v>21</v>
      </c>
      <c r="B225" s="15" t="str">
        <f>K96</f>
        <v>NC_000015.9:g.[78882925G&gt;A];[78882925=]</v>
      </c>
      <c r="K225" s="3" t="str">
        <f t="shared" si="23"/>
        <v>NC_000015.9:g.</v>
      </c>
      <c r="L225" s="3" t="str">
        <f t="shared" si="23"/>
        <v>NC_000015.9:g.</v>
      </c>
      <c r="M225" s="3" t="str">
        <f t="shared" si="23"/>
        <v>NC_000015.9:g.</v>
      </c>
    </row>
    <row r="226" spans="1:13" x14ac:dyDescent="0.25">
      <c r="A226" s="14" t="s">
        <v>72</v>
      </c>
      <c r="C226" s="3" t="str">
        <f>CONCATENATE("  &lt;Analysis name=",CHAR(34),B224,CHAR(34))</f>
        <v xml:space="preserve">  &lt;Analysis name="G1192A (G;A) and A78573551G (A;G)"</v>
      </c>
      <c r="J226" s="3" t="str">
        <f t="shared" ref="J226:M233" si="24">J204</f>
        <v>Variant</v>
      </c>
      <c r="K226" s="3" t="str">
        <f t="shared" si="24"/>
        <v>[78882925G&gt;A]</v>
      </c>
      <c r="L226" s="3" t="str">
        <f t="shared" si="24"/>
        <v>[78865893G&gt;A]</v>
      </c>
      <c r="M226" s="3" t="str">
        <f t="shared" si="24"/>
        <v>[78873993A&gt;T]</v>
      </c>
    </row>
    <row r="227" spans="1:13" x14ac:dyDescent="0.25">
      <c r="A227" s="26" t="s">
        <v>75</v>
      </c>
      <c r="B227" s="15" t="str">
        <f>CONCATENATE("People with this variant have copies of the ",B22, ", and ",B31," variants. This substitution of a single nucleotide is known as a missense mutation.")</f>
        <v>People with this variant have copies of the [G1192A (Asp398Asn)](https://www.ncbi.nlm.nih.gov/clinvar/variation/17497/), and [A78573551G](https://www.ncbi.nlm.nih.gov/projects/SNP/snp_ref.cgi?rs=6495306) variants. This substitution of a single nucleotide is known as a missense mutation.</v>
      </c>
      <c r="C227" s="3" t="str">
        <f>CONCATENATE("            case={  variantCall ",CHAR(40),CHAR(34),K228,CHAR(34),CHAR(41))</f>
        <v xml:space="preserve">            case={  variantCall ("NC_000015.9:g.[78882925G&gt;A];[78882925=]")</v>
      </c>
      <c r="J227" s="3" t="str">
        <f t="shared" si="24"/>
        <v>Wildtype</v>
      </c>
      <c r="K227" s="3" t="str">
        <f t="shared" si="24"/>
        <v>[78882925=]</v>
      </c>
      <c r="L227" s="3" t="str">
        <f t="shared" si="24"/>
        <v>[78865893=]</v>
      </c>
      <c r="M227" s="3" t="str">
        <f t="shared" si="24"/>
        <v>[78873993=]</v>
      </c>
    </row>
    <row r="228" spans="1:13" x14ac:dyDescent="0.25">
      <c r="A228" s="26" t="s">
        <v>28</v>
      </c>
      <c r="B228" s="15" t="s">
        <v>205</v>
      </c>
      <c r="C228" s="3" t="s">
        <v>71</v>
      </c>
      <c r="J228" s="3" t="str">
        <f t="shared" si="24"/>
        <v>Het</v>
      </c>
      <c r="K228" s="3" t="str">
        <f t="shared" si="24"/>
        <v>NC_000015.9:g.[78882925G&gt;A];[78882925=]</v>
      </c>
      <c r="L228" s="3" t="str">
        <f t="shared" si="24"/>
        <v>NC_000015.9:g.[78865893G&gt;A];[78865893=]</v>
      </c>
      <c r="M228" s="3" t="str">
        <f t="shared" si="24"/>
        <v>NC_000015.9:g.[78873993A&gt;T];[78873993=]</v>
      </c>
    </row>
    <row r="229" spans="1:13" x14ac:dyDescent="0.25">
      <c r="A229" s="26" t="s">
        <v>73</v>
      </c>
      <c r="C229" s="3" t="str">
        <f>CONCATENATE("                    ",CHAR(40),"variantCall ",CHAR(40),CHAR(34),L228,CHAR(34),CHAR(41)," or variantCall ",CHAR(40),CHAR(34),L229,CHAR(34),CHAR(41),CHAR(41))</f>
        <v xml:space="preserve">                    (variantCall ("NC_000015.9:g.[78865893G&gt;A];[78865893=]") or variantCall ("NC_000015.9:g.[78865893G&gt;A];[78865893G&gt;A]"))</v>
      </c>
      <c r="J229" s="3" t="str">
        <f t="shared" si="24"/>
        <v>Homo</v>
      </c>
      <c r="K229" s="3" t="str">
        <f t="shared" si="24"/>
        <v>NC_000015.9:g.[78882925G&gt;A];[78882925G&gt;A]</v>
      </c>
      <c r="L229" s="3" t="str">
        <f t="shared" si="24"/>
        <v>NC_000015.9:g.[78865893G&gt;A];[78865893G&gt;A]</v>
      </c>
      <c r="M229" s="3" t="str">
        <f t="shared" si="24"/>
        <v>NC_000015.9:g.[78873993A&gt;T];[78873993A&gt;T]</v>
      </c>
    </row>
    <row r="230" spans="1:13" x14ac:dyDescent="0.25">
      <c r="A230" s="26"/>
      <c r="C230" s="3" t="s">
        <v>71</v>
      </c>
      <c r="J230" s="3" t="str">
        <f t="shared" si="24"/>
        <v>Wildtype</v>
      </c>
      <c r="K230" s="3" t="str">
        <f t="shared" si="24"/>
        <v>NC_000015.9:g.[78882925=];[78882925=]</v>
      </c>
      <c r="L230" s="3" t="str">
        <f t="shared" si="24"/>
        <v>NC_000015.9:g.[78865893=];[78865893=]</v>
      </c>
      <c r="M230" s="3" t="str">
        <f t="shared" si="24"/>
        <v>NC_000015.9:g.[78873993=];[78873993=]</v>
      </c>
    </row>
    <row r="231" spans="1:13" x14ac:dyDescent="0.25">
      <c r="A231" s="26"/>
      <c r="C231" s="3" t="str">
        <f>CONCATENATE("                    variantCall ",CHAR(40),CHAR(34),M230,CHAR(34),CHAR(41))</f>
        <v xml:space="preserve">                    variantCall ("NC_000015.9:g.[78873993=];[78873993=]")</v>
      </c>
      <c r="J231" s="3" t="str">
        <f t="shared" si="24"/>
        <v>Het%</v>
      </c>
      <c r="K231" s="3">
        <f t="shared" si="24"/>
        <v>39.200000000000003</v>
      </c>
      <c r="L231" s="3">
        <f t="shared" si="24"/>
        <v>39.200000000000003</v>
      </c>
      <c r="M231" s="3">
        <f t="shared" si="24"/>
        <v>27.3</v>
      </c>
    </row>
    <row r="232" spans="1:13" x14ac:dyDescent="0.25">
      <c r="A232" s="26"/>
      <c r="C232" s="3" t="str">
        <f>CONCATENATE("                  } &gt; ")</f>
        <v xml:space="preserve">                  } &gt; </v>
      </c>
      <c r="J232" s="3" t="str">
        <f t="shared" si="24"/>
        <v>Homo%</v>
      </c>
      <c r="K232" s="3">
        <f t="shared" si="24"/>
        <v>5.2</v>
      </c>
      <c r="L232" s="3">
        <f t="shared" si="24"/>
        <v>17.899999999999999</v>
      </c>
      <c r="M232" s="3">
        <f t="shared" si="24"/>
        <v>9.5</v>
      </c>
    </row>
    <row r="233" spans="1:13" x14ac:dyDescent="0.25">
      <c r="A233" s="14"/>
      <c r="J233" s="3" t="str">
        <f t="shared" si="24"/>
        <v>Wildtype%</v>
      </c>
      <c r="K233" s="3">
        <f t="shared" si="24"/>
        <v>55.6</v>
      </c>
      <c r="L233" s="3">
        <f t="shared" si="24"/>
        <v>42.9</v>
      </c>
      <c r="M233" s="3">
        <f t="shared" si="24"/>
        <v>63.2</v>
      </c>
    </row>
    <row r="234" spans="1:13" x14ac:dyDescent="0.25">
      <c r="A234" s="14"/>
      <c r="C234" s="3" t="s">
        <v>26</v>
      </c>
    </row>
    <row r="235" spans="1:13" x14ac:dyDescent="0.25">
      <c r="A235" s="14"/>
    </row>
    <row r="236" spans="1:13" x14ac:dyDescent="0.25">
      <c r="A236" s="14"/>
      <c r="C236" s="3" t="str">
        <f>CONCATENATE("    ",B227)</f>
        <v xml:space="preserve">    People with this variant have copies of the [G1192A (Asp398Asn)](https://www.ncbi.nlm.nih.gov/clinvar/variation/17497/), and [A78573551G](https://www.ncbi.nlm.nih.gov/projects/SNP/snp_ref.cgi?rs=6495306) variants. This substitution of a single nucleotide is known as a missense mutation.</v>
      </c>
    </row>
    <row r="237" spans="1:13" x14ac:dyDescent="0.25">
      <c r="A237" s="14"/>
    </row>
    <row r="238" spans="1:13" x14ac:dyDescent="0.25">
      <c r="A238" s="26"/>
      <c r="C238" s="3" t="s">
        <v>29</v>
      </c>
    </row>
    <row r="239" spans="1:13" x14ac:dyDescent="0.25">
      <c r="A239" s="26"/>
    </row>
    <row r="240" spans="1:13" x14ac:dyDescent="0.25">
      <c r="A240" s="26"/>
      <c r="C240" s="3" t="str">
        <f>CONCATENATE(B228)</f>
        <v xml:space="preserve">    There is currently no data on the interaction between these variants.  However, some information exists on the individual variants.
    # What is the effect of G1192A (G;A)?
    This variant controls [cognitive function, working memory, and gray matter volume in the brain](https://www.ncbi.nlm.nih.gov/pubmed/24819610). Males with this variant have faster [information processing](https://www.ncbi.nlm.nih.gov/pubmed/25674902), including [much better behavioral performance, more efficient brain activity, and a larger brain volume.](https://www.ncbi.nlm.nih.gov/pubmed/24819610) Females with this variant exhibit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
    # What is the effect of A78573551G?
    This variant acts in the part of the [brain](https://www.ncbi.nlm.nih.gov/pubmed/26220977) that controls motor function, problem solving, language, judgement, impulse control, sexual behavior, and memory formation and processing. This may cause ME/CFS related cognition issues. This variant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v>
      </c>
    </row>
    <row r="241" spans="1:13" x14ac:dyDescent="0.25">
      <c r="A241" s="26"/>
    </row>
    <row r="242" spans="1:13" x14ac:dyDescent="0.25">
      <c r="A242" s="26"/>
      <c r="C242" s="3" t="s">
        <v>30</v>
      </c>
    </row>
    <row r="243" spans="1:13" x14ac:dyDescent="0.25">
      <c r="A243" s="26"/>
    </row>
    <row r="244" spans="1:13" x14ac:dyDescent="0.25">
      <c r="A244" s="26"/>
      <c r="C244" s="3" t="str">
        <f>CONCATENATE( "    &lt;piechart percentage=",B229," /&gt;")</f>
        <v xml:space="preserve">    &lt;piechart percentage= /&gt;</v>
      </c>
    </row>
    <row r="245" spans="1:13" x14ac:dyDescent="0.25">
      <c r="A245" s="26"/>
      <c r="C245" s="3" t="str">
        <f>"  &lt;/Analysis&gt;"</f>
        <v xml:space="preserve">  &lt;/Analysis&gt;</v>
      </c>
      <c r="K245" s="3" t="str">
        <f t="shared" ref="K245:M255" si="25">K223</f>
        <v>rs16969968</v>
      </c>
      <c r="L245" s="3" t="str">
        <f t="shared" si="25"/>
        <v>rs3913434</v>
      </c>
      <c r="M245" s="3" t="str">
        <f t="shared" si="25"/>
        <v>rs270838</v>
      </c>
    </row>
    <row r="246" spans="1:13" s="21" customFormat="1" x14ac:dyDescent="0.25">
      <c r="A246" s="28" t="s">
        <v>70</v>
      </c>
      <c r="B246" s="20" t="str">
        <f>CONCATENATE(B48," and ",B136)</f>
        <v>G1192A (G;A) and A78581651T (A;T)</v>
      </c>
      <c r="C246" s="21" t="str">
        <f>CONCATENATE("&lt;# ",B246," #&gt;")</f>
        <v>&lt;# G1192A (G;A) and A78581651T (A;T) #&gt;</v>
      </c>
      <c r="K246" s="21" t="str">
        <f t="shared" si="25"/>
        <v>G1192A</v>
      </c>
      <c r="L246" s="21" t="str">
        <f t="shared" si="25"/>
        <v>A78573551G</v>
      </c>
      <c r="M246" s="21" t="str">
        <f t="shared" si="25"/>
        <v>A78581651T</v>
      </c>
    </row>
    <row r="247" spans="1:13" x14ac:dyDescent="0.25">
      <c r="A247" s="14" t="s">
        <v>21</v>
      </c>
      <c r="B247" s="15" t="str">
        <f>K140</f>
        <v>NC_000015.9:g.[78882925G&gt;A];[78882925=]</v>
      </c>
      <c r="K247" s="3" t="str">
        <f t="shared" si="25"/>
        <v>NC_000015.9:g.</v>
      </c>
      <c r="L247" s="3" t="str">
        <f t="shared" si="25"/>
        <v>NC_000015.9:g.</v>
      </c>
      <c r="M247" s="3" t="str">
        <f t="shared" si="25"/>
        <v>NC_000015.9:g.</v>
      </c>
    </row>
    <row r="248" spans="1:13" x14ac:dyDescent="0.25">
      <c r="A248" s="14" t="s">
        <v>72</v>
      </c>
      <c r="C248" s="3" t="str">
        <f>CONCATENATE("  &lt;Analysis name=",CHAR(34),B246,CHAR(34))</f>
        <v xml:space="preserve">  &lt;Analysis name="G1192A (G;A) and A78581651T (A;T)"</v>
      </c>
      <c r="J248" s="3" t="str">
        <f t="shared" ref="J248:J255" si="26">J226</f>
        <v>Variant</v>
      </c>
      <c r="K248" s="3" t="str">
        <f t="shared" si="25"/>
        <v>[78882925G&gt;A]</v>
      </c>
      <c r="L248" s="3" t="str">
        <f t="shared" si="25"/>
        <v>[78865893G&gt;A]</v>
      </c>
      <c r="M248" s="3" t="str">
        <f t="shared" si="25"/>
        <v>[78873993A&gt;T]</v>
      </c>
    </row>
    <row r="249" spans="1:13" x14ac:dyDescent="0.25">
      <c r="A249" s="26" t="s">
        <v>75</v>
      </c>
      <c r="B249" s="15" t="str">
        <f>CONCATENATE("People with this variant have copies of the ",B22," and ",B40," variants. This substitution of a single nucleotide is known as a missense mutation.")</f>
        <v>People with this variant have copies of the [G1192A (Asp398Asn)](https://www.ncbi.nlm.nih.gov/clinvar/variation/17497/) and [A78581651T](https://www.ncbi.nlm.nih.gov/projects/SNP/snp_ref.cgi?rs=7180002) variants. This substitution of a single nucleotide is known as a missense mutation.</v>
      </c>
      <c r="C249" s="3" t="str">
        <f>CONCATENATE("            case={  variantCall ",CHAR(40),CHAR(34),K250,CHAR(34),CHAR(41))</f>
        <v xml:space="preserve">            case={  variantCall ("NC_000015.9:g.[78882925G&gt;A];[78882925=]")</v>
      </c>
      <c r="J249" s="3" t="str">
        <f t="shared" si="26"/>
        <v>Wildtype</v>
      </c>
      <c r="K249" s="3" t="str">
        <f t="shared" si="25"/>
        <v>[78882925=]</v>
      </c>
      <c r="L249" s="3" t="str">
        <f t="shared" si="25"/>
        <v>[78865893=]</v>
      </c>
      <c r="M249" s="3" t="str">
        <f t="shared" si="25"/>
        <v>[78873993=]</v>
      </c>
    </row>
    <row r="250" spans="1:13" x14ac:dyDescent="0.25">
      <c r="A250" s="26" t="s">
        <v>28</v>
      </c>
      <c r="B250" s="15" t="s">
        <v>204</v>
      </c>
      <c r="C250" s="3" t="s">
        <v>71</v>
      </c>
      <c r="J250" s="3" t="str">
        <f t="shared" si="26"/>
        <v>Het</v>
      </c>
      <c r="K250" s="3" t="str">
        <f t="shared" si="25"/>
        <v>NC_000015.9:g.[78882925G&gt;A];[78882925=]</v>
      </c>
      <c r="L250" s="3" t="str">
        <f t="shared" si="25"/>
        <v>NC_000015.9:g.[78865893G&gt;A];[78865893=]</v>
      </c>
      <c r="M250" s="3" t="str">
        <f t="shared" si="25"/>
        <v>NC_000015.9:g.[78873993A&gt;T];[78873993=]</v>
      </c>
    </row>
    <row r="251" spans="1:13" x14ac:dyDescent="0.25">
      <c r="A251" s="26" t="s">
        <v>73</v>
      </c>
      <c r="C251" s="3" t="str">
        <f>CONCATENATE("                    variantCall ",CHAR(40),CHAR(34),L252,CHAR(34),CHAR(41))</f>
        <v xml:space="preserve">                    variantCall ("NC_000015.9:g.[78865893=];[78865893=]")</v>
      </c>
      <c r="J251" s="3" t="str">
        <f t="shared" si="26"/>
        <v>Homo</v>
      </c>
      <c r="K251" s="3" t="str">
        <f t="shared" si="25"/>
        <v>NC_000015.9:g.[78882925G&gt;A];[78882925G&gt;A]</v>
      </c>
      <c r="L251" s="3" t="str">
        <f t="shared" si="25"/>
        <v>NC_000015.9:g.[78865893G&gt;A];[78865893G&gt;A]</v>
      </c>
      <c r="M251" s="3" t="str">
        <f t="shared" si="25"/>
        <v>NC_000015.9:g.[78873993A&gt;T];[78873993A&gt;T]</v>
      </c>
    </row>
    <row r="252" spans="1:13" x14ac:dyDescent="0.25">
      <c r="A252" s="26"/>
      <c r="C252" s="3" t="s">
        <v>71</v>
      </c>
      <c r="J252" s="3" t="str">
        <f t="shared" si="26"/>
        <v>Wildtype</v>
      </c>
      <c r="K252" s="3" t="str">
        <f t="shared" si="25"/>
        <v>NC_000015.9:g.[78882925=];[78882925=]</v>
      </c>
      <c r="L252" s="3" t="str">
        <f t="shared" si="25"/>
        <v>NC_000015.9:g.[78865893=];[78865893=]</v>
      </c>
      <c r="M252" s="3" t="str">
        <f t="shared" si="25"/>
        <v>NC_000015.9:g.[78873993=];[78873993=]</v>
      </c>
    </row>
    <row r="253" spans="1:13" x14ac:dyDescent="0.25">
      <c r="A253" s="26"/>
      <c r="C253" s="3" t="str">
        <f>CONCATENATE("                    ",CHAR(40),"variantCall ",CHAR(40),CHAR(34),M250,CHAR(34),CHAR(41)," or variantCall ",CHAR(40),CHAR(34),M251,CHAR(34),CHAR(41),CHAR(41))</f>
        <v xml:space="preserve">                    (variantCall ("NC_000015.9:g.[78873993A&gt;T];[78873993=]") or variantCall ("NC_000015.9:g.[78873993A&gt;T];[78873993A&gt;T]"))</v>
      </c>
      <c r="J253" s="3" t="str">
        <f t="shared" si="26"/>
        <v>Het%</v>
      </c>
      <c r="K253" s="3">
        <f t="shared" si="25"/>
        <v>39.200000000000003</v>
      </c>
      <c r="L253" s="3">
        <f t="shared" si="25"/>
        <v>39.200000000000003</v>
      </c>
      <c r="M253" s="3">
        <f t="shared" si="25"/>
        <v>27.3</v>
      </c>
    </row>
    <row r="254" spans="1:13" x14ac:dyDescent="0.25">
      <c r="A254" s="26"/>
      <c r="C254" s="3" t="str">
        <f>CONCATENATE("                  } &gt; ")</f>
        <v xml:space="preserve">                  } &gt; </v>
      </c>
      <c r="J254" s="3" t="str">
        <f t="shared" si="26"/>
        <v>Homo%</v>
      </c>
      <c r="K254" s="3">
        <f t="shared" si="25"/>
        <v>5.2</v>
      </c>
      <c r="L254" s="3">
        <f t="shared" si="25"/>
        <v>17.899999999999999</v>
      </c>
      <c r="M254" s="3">
        <f t="shared" si="25"/>
        <v>9.5</v>
      </c>
    </row>
    <row r="255" spans="1:13" x14ac:dyDescent="0.25">
      <c r="A255" s="14"/>
      <c r="J255" s="3" t="str">
        <f t="shared" si="26"/>
        <v>Wildtype%</v>
      </c>
      <c r="K255" s="3">
        <f t="shared" si="25"/>
        <v>55.6</v>
      </c>
      <c r="L255" s="3">
        <f t="shared" si="25"/>
        <v>42.9</v>
      </c>
      <c r="M255" s="3">
        <f t="shared" si="25"/>
        <v>63.2</v>
      </c>
    </row>
    <row r="256" spans="1:13" x14ac:dyDescent="0.25">
      <c r="A256" s="14"/>
      <c r="C256" s="3" t="s">
        <v>26</v>
      </c>
    </row>
    <row r="257" spans="1:13" x14ac:dyDescent="0.25">
      <c r="A257" s="14"/>
    </row>
    <row r="258" spans="1:13" x14ac:dyDescent="0.25">
      <c r="A258" s="14"/>
      <c r="C258" s="3" t="str">
        <f>CONCATENATE("    ",B249)</f>
        <v xml:space="preserve">    People with this variant have copies of the [G1192A (Asp398Asn)](https://www.ncbi.nlm.nih.gov/clinvar/variation/17497/) and [A78581651T](https://www.ncbi.nlm.nih.gov/projects/SNP/snp_ref.cgi?rs=7180002) variants. This substitution of a single nucleotide is known as a missense mutation.</v>
      </c>
    </row>
    <row r="259" spans="1:13" x14ac:dyDescent="0.25">
      <c r="A259" s="14"/>
    </row>
    <row r="260" spans="1:13" x14ac:dyDescent="0.25">
      <c r="A260" s="26"/>
      <c r="C260" s="3" t="s">
        <v>29</v>
      </c>
    </row>
    <row r="261" spans="1:13" x14ac:dyDescent="0.25">
      <c r="A261" s="26"/>
    </row>
    <row r="262" spans="1:13" x14ac:dyDescent="0.25">
      <c r="A262" s="26"/>
      <c r="C262" s="3" t="str">
        <f>CONCATENATE(B250)</f>
        <v xml:space="preserve">    There is currently no data on the interaction between these variants.  However, some information exists on the individual variants.
    # What is the effect of G1192A (G;A)?
    This variant controls [cognitive function, working memory, and gray matter volume in the brain](https://www.ncbi.nlm.nih.gov/pubmed/24819610). Males with this variant have faster [information processing](https://www.ncbi.nlm.nih.gov/pubmed/25674902), including [much better behavioral performance, more efficient brain activity, and a larger brain volume.](https://www.ncbi.nlm.nih.gov/pubmed/24819610) Females with this variant exhibit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
    # What is the effect of A78581651T?
    This variant acts in the part of the [brain](https://www.ncbi.nlm.nih.gov/pubmed/26220977) that controls motor function, problem solving, language, judgement, impulse control, sexual behavior, and memory formation and processing. This variant also is associated with increased risk of [lung cancer](https://www.ncbi.nlm.nih.gov/pubmed/25233467) and an [increased number of cigarettes smoked per day](https://www.ncbi.nlm.nih.gov/pubmed/26981579).
    Your variant is [2X](https://www.ncbi.nlm.nih.gov/pubmed/27099524) more common in [ME/CFS patients](https://www.ncbi.nlm.nih.gov/pubmed/27099524). It causes the CHRNA5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Consult your physician on [medications](http://www.uniprot.org/uniprot/P30532#pathology_and_biotech) that act on variants in CHRNA5, including [Ethanol](https://www.drugbank.ca/drugs/DB00898), [Galantamine](https://www.drugbank.ca/drugs/DB00674), and [nicotine](https://www.drugbank.ca/drugs/DB00184).</v>
      </c>
    </row>
    <row r="263" spans="1:13" x14ac:dyDescent="0.25">
      <c r="A263" s="26"/>
    </row>
    <row r="264" spans="1:13" x14ac:dyDescent="0.25">
      <c r="A264" s="26"/>
      <c r="C264" s="3" t="s">
        <v>30</v>
      </c>
    </row>
    <row r="265" spans="1:13" x14ac:dyDescent="0.25">
      <c r="A265" s="26"/>
    </row>
    <row r="266" spans="1:13" x14ac:dyDescent="0.25">
      <c r="A266" s="26"/>
      <c r="C266" s="3" t="str">
        <f>CONCATENATE( "    &lt;piechart percentage=",B251," /&gt;")</f>
        <v xml:space="preserve">    &lt;piechart percentage= /&gt;</v>
      </c>
    </row>
    <row r="267" spans="1:13" x14ac:dyDescent="0.25">
      <c r="A267" s="26"/>
      <c r="C267" s="3" t="str">
        <f>"  &lt;/Analysis&gt;"</f>
        <v xml:space="preserve">  &lt;/Analysis&gt;</v>
      </c>
      <c r="K267" s="3" t="str">
        <f t="shared" ref="K267:M269" si="27">K245</f>
        <v>rs16969968</v>
      </c>
      <c r="L267" s="3" t="str">
        <f t="shared" si="27"/>
        <v>rs3913434</v>
      </c>
      <c r="M267" s="3" t="str">
        <f t="shared" si="27"/>
        <v>rs270838</v>
      </c>
    </row>
    <row r="268" spans="1:13" s="21" customFormat="1" x14ac:dyDescent="0.25">
      <c r="A268" s="28" t="s">
        <v>70</v>
      </c>
      <c r="B268" s="20" t="str">
        <f>CONCATENATE(B70," and ",B92)</f>
        <v>G1192A (A;A) and A78573551G (A;G)</v>
      </c>
      <c r="C268" s="21" t="str">
        <f>CONCATENATE("&lt;# ",B268," #&gt;")</f>
        <v>&lt;# G1192A (A;A) and A78573551G (A;G) #&gt;</v>
      </c>
      <c r="K268" s="21" t="str">
        <f t="shared" si="27"/>
        <v>G1192A</v>
      </c>
      <c r="L268" s="21" t="str">
        <f t="shared" si="27"/>
        <v>A78573551G</v>
      </c>
      <c r="M268" s="21" t="str">
        <f t="shared" si="27"/>
        <v>A78581651T</v>
      </c>
    </row>
    <row r="269" spans="1:13" x14ac:dyDescent="0.25">
      <c r="A269" s="14" t="s">
        <v>21</v>
      </c>
      <c r="B269" s="15" t="str">
        <f>K184</f>
        <v>NC_000015.9:g.[78882925G&gt;A];[78882925=]</v>
      </c>
      <c r="K269" s="3" t="str">
        <f t="shared" si="27"/>
        <v>NC_000015.9:g.</v>
      </c>
      <c r="L269" s="3" t="str">
        <f t="shared" si="27"/>
        <v>NC_000015.9:g.</v>
      </c>
      <c r="M269" s="3" t="str">
        <f t="shared" si="27"/>
        <v>NC_000015.9:g.</v>
      </c>
    </row>
    <row r="270" spans="1:13" x14ac:dyDescent="0.25">
      <c r="A270" s="14" t="s">
        <v>72</v>
      </c>
      <c r="C270" s="3" t="str">
        <f>CONCATENATE("  &lt;Analysis name=",CHAR(34),B268,CHAR(34))</f>
        <v xml:space="preserve">  &lt;Analysis name="G1192A (A;A) and A78573551G (A;G)"</v>
      </c>
      <c r="J270" s="3" t="str">
        <f t="shared" ref="J270:M277" si="28">J248</f>
        <v>Variant</v>
      </c>
      <c r="K270" s="3" t="str">
        <f t="shared" si="28"/>
        <v>[78882925G&gt;A]</v>
      </c>
      <c r="L270" s="3" t="str">
        <f t="shared" si="28"/>
        <v>[78865893G&gt;A]</v>
      </c>
      <c r="M270" s="3" t="str">
        <f t="shared" si="28"/>
        <v>[78873993A&gt;T]</v>
      </c>
    </row>
    <row r="271" spans="1:13" x14ac:dyDescent="0.25">
      <c r="A271" s="26" t="s">
        <v>75</v>
      </c>
      <c r="B271" s="15" t="str">
        <f>CONCATENATE("People with this variant have copies of the ",B22," variant and one copy of the ",B31," variant. This substitution of a single nucleotide is known as a missense mutation.")</f>
        <v>People with this variant have copies of the [G1192A (Asp398Asn)](https://www.ncbi.nlm.nih.gov/clinvar/variation/17497/) variant and one copy of the [A78573551G](https://www.ncbi.nlm.nih.gov/projects/SNP/snp_ref.cgi?rs=6495306) variant. This substitution of a single nucleotide is known as a missense mutation.</v>
      </c>
      <c r="C271" s="3" t="str">
        <f>CONCATENATE("            case={  variantCall ",CHAR(40),CHAR(34),K272,CHAR(34),CHAR(41))</f>
        <v xml:space="preserve">            case={  variantCall ("NC_000015.9:g.[78882925G&gt;A];[78882925=]")</v>
      </c>
      <c r="J271" s="3" t="str">
        <f t="shared" si="28"/>
        <v>Wildtype</v>
      </c>
      <c r="K271" s="3" t="str">
        <f t="shared" si="28"/>
        <v>[78882925=]</v>
      </c>
      <c r="L271" s="3" t="str">
        <f t="shared" si="28"/>
        <v>[78865893=]</v>
      </c>
      <c r="M271" s="3" t="str">
        <f t="shared" si="28"/>
        <v>[78873993=]</v>
      </c>
    </row>
    <row r="272" spans="1:13" x14ac:dyDescent="0.25">
      <c r="A272" s="26" t="s">
        <v>28</v>
      </c>
      <c r="B272" s="15" t="s">
        <v>203</v>
      </c>
      <c r="C272" s="3" t="s">
        <v>71</v>
      </c>
      <c r="J272" s="3" t="str">
        <f t="shared" si="28"/>
        <v>Het</v>
      </c>
      <c r="K272" s="3" t="str">
        <f t="shared" si="28"/>
        <v>NC_000015.9:g.[78882925G&gt;A];[78882925=]</v>
      </c>
      <c r="L272" s="3" t="str">
        <f t="shared" si="28"/>
        <v>NC_000015.9:g.[78865893G&gt;A];[78865893=]</v>
      </c>
      <c r="M272" s="3" t="str">
        <f t="shared" si="28"/>
        <v>NC_000015.9:g.[78873993A&gt;T];[78873993=]</v>
      </c>
    </row>
    <row r="273" spans="1:13" x14ac:dyDescent="0.25">
      <c r="A273" s="26" t="s">
        <v>73</v>
      </c>
      <c r="C273" s="3" t="str">
        <f>CONCATENATE("                    ",CHAR(40),"variantCall ",CHAR(40),CHAR(34),L272,CHAR(34),CHAR(41)," or variantCall ",CHAR(40),CHAR(34),L273,CHAR(34),CHAR(41),CHAR(41))</f>
        <v xml:space="preserve">                    (variantCall ("NC_000015.9:g.[78865893G&gt;A];[78865893=]") or variantCall ("NC_000015.9:g.[78865893G&gt;A];[78865893G&gt;A]"))</v>
      </c>
      <c r="J273" s="3" t="str">
        <f t="shared" si="28"/>
        <v>Homo</v>
      </c>
      <c r="K273" s="3" t="str">
        <f t="shared" si="28"/>
        <v>NC_000015.9:g.[78882925G&gt;A];[78882925G&gt;A]</v>
      </c>
      <c r="L273" s="3" t="str">
        <f t="shared" si="28"/>
        <v>NC_000015.9:g.[78865893G&gt;A];[78865893G&gt;A]</v>
      </c>
      <c r="M273" s="3" t="str">
        <f t="shared" si="28"/>
        <v>NC_000015.9:g.[78873993A&gt;T];[78873993A&gt;T]</v>
      </c>
    </row>
    <row r="274" spans="1:13" x14ac:dyDescent="0.25">
      <c r="A274" s="26"/>
      <c r="C274" s="3" t="s">
        <v>71</v>
      </c>
      <c r="J274" s="3" t="str">
        <f t="shared" si="28"/>
        <v>Wildtype</v>
      </c>
      <c r="K274" s="3" t="str">
        <f t="shared" si="28"/>
        <v>NC_000015.9:g.[78882925=];[78882925=]</v>
      </c>
      <c r="L274" s="3" t="str">
        <f t="shared" si="28"/>
        <v>NC_000015.9:g.[78865893=];[78865893=]</v>
      </c>
      <c r="M274" s="3" t="str">
        <f t="shared" si="28"/>
        <v>NC_000015.9:g.[78873993=];[78873993=]</v>
      </c>
    </row>
    <row r="275" spans="1:13" x14ac:dyDescent="0.25">
      <c r="A275" s="26"/>
      <c r="C275" s="3" t="str">
        <f>CONCATENATE("                    variantCall ",CHAR(40),CHAR(34),M274,CHAR(34),CHAR(41))</f>
        <v xml:space="preserve">                    variantCall ("NC_000015.9:g.[78873993=];[78873993=]")</v>
      </c>
      <c r="J275" s="3" t="str">
        <f t="shared" si="28"/>
        <v>Het%</v>
      </c>
      <c r="K275" s="3">
        <f t="shared" si="28"/>
        <v>39.200000000000003</v>
      </c>
      <c r="L275" s="3">
        <f t="shared" si="28"/>
        <v>39.200000000000003</v>
      </c>
      <c r="M275" s="3">
        <f t="shared" si="28"/>
        <v>27.3</v>
      </c>
    </row>
    <row r="276" spans="1:13" x14ac:dyDescent="0.25">
      <c r="A276" s="26"/>
      <c r="C276" s="3" t="str">
        <f>CONCATENATE("                  } &gt; ")</f>
        <v xml:space="preserve">                  } &gt; </v>
      </c>
      <c r="J276" s="3" t="str">
        <f t="shared" si="28"/>
        <v>Homo%</v>
      </c>
      <c r="K276" s="3">
        <f t="shared" si="28"/>
        <v>5.2</v>
      </c>
      <c r="L276" s="3">
        <f t="shared" si="28"/>
        <v>17.899999999999999</v>
      </c>
      <c r="M276" s="3">
        <f t="shared" si="28"/>
        <v>9.5</v>
      </c>
    </row>
    <row r="277" spans="1:13" x14ac:dyDescent="0.25">
      <c r="A277" s="14"/>
      <c r="J277" s="3" t="str">
        <f t="shared" si="28"/>
        <v>Wildtype%</v>
      </c>
      <c r="K277" s="3">
        <f t="shared" si="28"/>
        <v>55.6</v>
      </c>
      <c r="L277" s="3">
        <f t="shared" si="28"/>
        <v>42.9</v>
      </c>
      <c r="M277" s="3">
        <f t="shared" si="28"/>
        <v>63.2</v>
      </c>
    </row>
    <row r="278" spans="1:13" x14ac:dyDescent="0.25">
      <c r="A278" s="14"/>
      <c r="C278" s="3" t="s">
        <v>26</v>
      </c>
    </row>
    <row r="279" spans="1:13" x14ac:dyDescent="0.25">
      <c r="A279" s="14"/>
    </row>
    <row r="280" spans="1:13" x14ac:dyDescent="0.25">
      <c r="A280" s="14"/>
      <c r="C280" s="3" t="str">
        <f>CONCATENATE("    ",B271)</f>
        <v xml:space="preserve">    People with this variant have copies of the [G1192A (Asp398Asn)](https://www.ncbi.nlm.nih.gov/clinvar/variation/17497/) variant and one copy of the [A78573551G](https://www.ncbi.nlm.nih.gov/projects/SNP/snp_ref.cgi?rs=6495306) variant. This substitution of a single nucleotide is known as a missense mutation.</v>
      </c>
    </row>
    <row r="281" spans="1:13" x14ac:dyDescent="0.25">
      <c r="A281" s="14"/>
    </row>
    <row r="282" spans="1:13" x14ac:dyDescent="0.25">
      <c r="A282" s="26"/>
      <c r="C282" s="3" t="s">
        <v>29</v>
      </c>
    </row>
    <row r="283" spans="1:13" x14ac:dyDescent="0.25">
      <c r="A283" s="26"/>
    </row>
    <row r="284" spans="1:13" x14ac:dyDescent="0.25">
      <c r="A284" s="26"/>
      <c r="C284" s="3" t="str">
        <f>CONCATENATE(B272)</f>
        <v xml:space="preserve">    There is currently no data on the interaction between these variants.  However, some information exists on the individual variants.
    # What is the effect of G1192A (A;A)?
    This variant controls [cognitive function, working memory, and gray matter volume in the brain](https://www.ncbi.nlm.nih.gov/pubmed/24819610). Males with this variant have much faster [information processing](https://www.ncbi.nlm.nih.gov/pubmed/25674902), including [much better behavioral performance, more efficient brain activity, and a larger brain volume.](https://www.ncbi.nlm.nih.gov/pubmed/24819610) Females with this variant exhibit much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an elevated risk and earlier onset of [lung cancer](https://www.ncbi.nlm.nih.gov/pubmed/27543155), [COPD](https://www.ncbi.nlm.nih.gov/pubmed/26771213) and [newborn lung and breathing problems](https://www.ncbi.nlm.nih.gov/pubmed/24838476) in the children of smoking mothers.
    # What is the effect of A78573551G?
    This variant acts in the part of the [brain](https://www.ncbi.nlm.nih.gov/pubmed/26220977) that controls motor function, problem solving, language, judgement, impulse control, sexual behavior, and memory formation and processing. This may cause ME/CFS related cognition issues. This variant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v>
      </c>
    </row>
    <row r="285" spans="1:13" x14ac:dyDescent="0.25">
      <c r="A285" s="26"/>
    </row>
    <row r="286" spans="1:13" x14ac:dyDescent="0.25">
      <c r="A286" s="26"/>
      <c r="C286" s="3" t="s">
        <v>30</v>
      </c>
    </row>
    <row r="287" spans="1:13" x14ac:dyDescent="0.25">
      <c r="A287" s="26"/>
    </row>
    <row r="288" spans="1:13" x14ac:dyDescent="0.25">
      <c r="A288" s="26"/>
      <c r="C288" s="3" t="str">
        <f>CONCATENATE( "    &lt;piechart percentage=",B273," /&gt;")</f>
        <v xml:space="preserve">    &lt;piechart percentage= /&gt;</v>
      </c>
    </row>
    <row r="289" spans="1:13" x14ac:dyDescent="0.25">
      <c r="A289" s="26"/>
      <c r="C289" s="3" t="str">
        <f>"  &lt;/Analysis&gt;"</f>
        <v xml:space="preserve">  &lt;/Analysis&gt;</v>
      </c>
      <c r="K289" s="3" t="str">
        <f t="shared" ref="K289:M291" si="29">K267</f>
        <v>rs16969968</v>
      </c>
      <c r="L289" s="3" t="str">
        <f t="shared" si="29"/>
        <v>rs3913434</v>
      </c>
      <c r="M289" s="3" t="str">
        <f t="shared" si="29"/>
        <v>rs270838</v>
      </c>
    </row>
    <row r="290" spans="1:13" s="21" customFormat="1" x14ac:dyDescent="0.25">
      <c r="A290" s="28" t="s">
        <v>70</v>
      </c>
      <c r="B290" s="20" t="str">
        <f>CONCATENATE(B70," and ",B136)</f>
        <v>G1192A (A;A) and A78581651T (A;T)</v>
      </c>
      <c r="C290" s="21" t="str">
        <f>CONCATENATE("&lt;# ",B290," #&gt;")</f>
        <v>&lt;# G1192A (A;A) and A78581651T (A;T) #&gt;</v>
      </c>
      <c r="K290" s="21" t="str">
        <f t="shared" si="29"/>
        <v>G1192A</v>
      </c>
      <c r="L290" s="21" t="str">
        <f t="shared" si="29"/>
        <v>A78573551G</v>
      </c>
      <c r="M290" s="21" t="str">
        <f t="shared" si="29"/>
        <v>A78581651T</v>
      </c>
    </row>
    <row r="291" spans="1:13" x14ac:dyDescent="0.25">
      <c r="A291" s="14" t="s">
        <v>21</v>
      </c>
      <c r="B291" s="15" t="str">
        <f>K206</f>
        <v>NC_000015.9:g.[78882925G&gt;A];[78882925=]</v>
      </c>
      <c r="K291" s="3" t="str">
        <f t="shared" si="29"/>
        <v>NC_000015.9:g.</v>
      </c>
      <c r="L291" s="3" t="str">
        <f t="shared" si="29"/>
        <v>NC_000015.9:g.</v>
      </c>
      <c r="M291" s="3" t="str">
        <f t="shared" si="29"/>
        <v>NC_000015.9:g.</v>
      </c>
    </row>
    <row r="292" spans="1:13" x14ac:dyDescent="0.25">
      <c r="A292" s="14" t="s">
        <v>72</v>
      </c>
      <c r="C292" s="3" t="str">
        <f>CONCATENATE("  &lt;Analysis name=",CHAR(34),B290,CHAR(34))</f>
        <v xml:space="preserve">  &lt;Analysis name="G1192A (A;A) and A78581651T (A;T)"</v>
      </c>
      <c r="J292" s="3" t="str">
        <f t="shared" ref="J292:M299" si="30">J270</f>
        <v>Variant</v>
      </c>
      <c r="K292" s="3" t="str">
        <f t="shared" si="30"/>
        <v>[78882925G&gt;A]</v>
      </c>
      <c r="L292" s="3" t="str">
        <f t="shared" si="30"/>
        <v>[78865893G&gt;A]</v>
      </c>
      <c r="M292" s="3" t="str">
        <f t="shared" si="30"/>
        <v>[78873993A&gt;T]</v>
      </c>
    </row>
    <row r="293" spans="1:13" x14ac:dyDescent="0.25">
      <c r="A293" s="26" t="s">
        <v>75</v>
      </c>
      <c r="B293" s="15" t="str">
        <f>CONCATENATE("People with this variant have copies of the ",B22," variant and one copy of the ",B40," variant. This substitution of a single nucleotide is known as a missense mutation.")</f>
        <v>People with this variant have copies of the [G1192A (Asp398Asn)](https://www.ncbi.nlm.nih.gov/clinvar/variation/17497/) variant and one copy of the [A78581651T](https://www.ncbi.nlm.nih.gov/projects/SNP/snp_ref.cgi?rs=7180002) variant. This substitution of a single nucleotide is known as a missense mutation.</v>
      </c>
      <c r="C293" s="3" t="str">
        <f>CONCATENATE("            case={  variantCall ",CHAR(40),CHAR(34),K294,CHAR(34),CHAR(41))</f>
        <v xml:space="preserve">            case={  variantCall ("NC_000015.9:g.[78882925G&gt;A];[78882925=]")</v>
      </c>
      <c r="J293" s="3" t="str">
        <f t="shared" si="30"/>
        <v>Wildtype</v>
      </c>
      <c r="K293" s="3" t="str">
        <f t="shared" si="30"/>
        <v>[78882925=]</v>
      </c>
      <c r="L293" s="3" t="str">
        <f t="shared" si="30"/>
        <v>[78865893=]</v>
      </c>
      <c r="M293" s="3" t="str">
        <f t="shared" si="30"/>
        <v>[78873993=]</v>
      </c>
    </row>
    <row r="294" spans="1:13" x14ac:dyDescent="0.25">
      <c r="A294" s="26" t="s">
        <v>28</v>
      </c>
      <c r="B294" s="15" t="s">
        <v>201</v>
      </c>
      <c r="C294" s="3" t="s">
        <v>71</v>
      </c>
      <c r="J294" s="3" t="str">
        <f t="shared" si="30"/>
        <v>Het</v>
      </c>
      <c r="K294" s="3" t="str">
        <f t="shared" si="30"/>
        <v>NC_000015.9:g.[78882925G&gt;A];[78882925=]</v>
      </c>
      <c r="L294" s="3" t="str">
        <f t="shared" si="30"/>
        <v>NC_000015.9:g.[78865893G&gt;A];[78865893=]</v>
      </c>
      <c r="M294" s="3" t="str">
        <f t="shared" si="30"/>
        <v>NC_000015.9:g.[78873993A&gt;T];[78873993=]</v>
      </c>
    </row>
    <row r="295" spans="1:13" x14ac:dyDescent="0.25">
      <c r="A295" s="26" t="s">
        <v>73</v>
      </c>
      <c r="C295" s="3" t="str">
        <f>CONCATENATE("                    variantCall ",CHAR(40),CHAR(34),L296,CHAR(34),CHAR(41))</f>
        <v xml:space="preserve">                    variantCall ("NC_000015.9:g.[78865893=];[78865893=]")</v>
      </c>
      <c r="J295" s="3" t="str">
        <f t="shared" si="30"/>
        <v>Homo</v>
      </c>
      <c r="K295" s="3" t="str">
        <f t="shared" si="30"/>
        <v>NC_000015.9:g.[78882925G&gt;A];[78882925G&gt;A]</v>
      </c>
      <c r="L295" s="3" t="str">
        <f t="shared" si="30"/>
        <v>NC_000015.9:g.[78865893G&gt;A];[78865893G&gt;A]</v>
      </c>
      <c r="M295" s="3" t="str">
        <f t="shared" si="30"/>
        <v>NC_000015.9:g.[78873993A&gt;T];[78873993A&gt;T]</v>
      </c>
    </row>
    <row r="296" spans="1:13" x14ac:dyDescent="0.25">
      <c r="A296" s="26"/>
      <c r="C296" s="3" t="s">
        <v>71</v>
      </c>
      <c r="J296" s="3" t="str">
        <f t="shared" si="30"/>
        <v>Wildtype</v>
      </c>
      <c r="K296" s="3" t="str">
        <f t="shared" si="30"/>
        <v>NC_000015.9:g.[78882925=];[78882925=]</v>
      </c>
      <c r="L296" s="3" t="str">
        <f t="shared" si="30"/>
        <v>NC_000015.9:g.[78865893=];[78865893=]</v>
      </c>
      <c r="M296" s="3" t="str">
        <f t="shared" si="30"/>
        <v>NC_000015.9:g.[78873993=];[78873993=]</v>
      </c>
    </row>
    <row r="297" spans="1:13" x14ac:dyDescent="0.25">
      <c r="A297" s="26"/>
      <c r="C297" s="3" t="str">
        <f>CONCATENATE("                    ",CHAR(40),"variantCall ",CHAR(40),CHAR(34),M294,CHAR(34),CHAR(41)," or variantCall ",CHAR(40),CHAR(34),M295,CHAR(34),CHAR(41),CHAR(41))</f>
        <v xml:space="preserve">                    (variantCall ("NC_000015.9:g.[78873993A&gt;T];[78873993=]") or variantCall ("NC_000015.9:g.[78873993A&gt;T];[78873993A&gt;T]"))</v>
      </c>
      <c r="J297" s="3" t="str">
        <f t="shared" si="30"/>
        <v>Het%</v>
      </c>
      <c r="K297" s="3">
        <f t="shared" si="30"/>
        <v>39.200000000000003</v>
      </c>
      <c r="L297" s="3">
        <f t="shared" si="30"/>
        <v>39.200000000000003</v>
      </c>
      <c r="M297" s="3">
        <f t="shared" si="30"/>
        <v>27.3</v>
      </c>
    </row>
    <row r="298" spans="1:13" x14ac:dyDescent="0.25">
      <c r="A298" s="26"/>
      <c r="C298" s="3" t="str">
        <f>CONCATENATE("                  } &gt; ")</f>
        <v xml:space="preserve">                  } &gt; </v>
      </c>
      <c r="J298" s="3" t="str">
        <f t="shared" si="30"/>
        <v>Homo%</v>
      </c>
      <c r="K298" s="3">
        <f t="shared" si="30"/>
        <v>5.2</v>
      </c>
      <c r="L298" s="3">
        <f t="shared" si="30"/>
        <v>17.899999999999999</v>
      </c>
      <c r="M298" s="3">
        <f t="shared" si="30"/>
        <v>9.5</v>
      </c>
    </row>
    <row r="299" spans="1:13" x14ac:dyDescent="0.25">
      <c r="A299" s="14"/>
      <c r="J299" s="3" t="str">
        <f t="shared" si="30"/>
        <v>Wildtype%</v>
      </c>
      <c r="K299" s="3">
        <f t="shared" si="30"/>
        <v>55.6</v>
      </c>
      <c r="L299" s="3">
        <f t="shared" si="30"/>
        <v>42.9</v>
      </c>
      <c r="M299" s="3">
        <f t="shared" si="30"/>
        <v>63.2</v>
      </c>
    </row>
    <row r="300" spans="1:13" x14ac:dyDescent="0.25">
      <c r="A300" s="14"/>
      <c r="C300" s="3" t="s">
        <v>26</v>
      </c>
    </row>
    <row r="301" spans="1:13" x14ac:dyDescent="0.25">
      <c r="A301" s="14"/>
    </row>
    <row r="302" spans="1:13" x14ac:dyDescent="0.25">
      <c r="A302" s="14"/>
      <c r="C302" s="3" t="str">
        <f>CONCATENATE("    ",B293)</f>
        <v xml:space="preserve">    People with this variant have copies of the [G1192A (Asp398Asn)](https://www.ncbi.nlm.nih.gov/clinvar/variation/17497/) variant and one copy of the [A78581651T](https://www.ncbi.nlm.nih.gov/projects/SNP/snp_ref.cgi?rs=7180002) variant. This substitution of a single nucleotide is known as a missense mutation.</v>
      </c>
    </row>
    <row r="303" spans="1:13" x14ac:dyDescent="0.25">
      <c r="A303" s="14"/>
    </row>
    <row r="304" spans="1:13" x14ac:dyDescent="0.25">
      <c r="A304" s="26"/>
      <c r="C304" s="3" t="s">
        <v>29</v>
      </c>
    </row>
    <row r="305" spans="1:13" x14ac:dyDescent="0.25">
      <c r="A305" s="26"/>
    </row>
    <row r="306" spans="1:13" x14ac:dyDescent="0.25">
      <c r="A306" s="26"/>
      <c r="C306" s="3" t="str">
        <f>CONCATENATE(B294)</f>
        <v xml:space="preserve">    There is currently no data on the interaction between these variants.  However, some information exists on the individual variants.
    # What is the effect of G1192A (A;A)?
    This variant controls [cognitive function, working memory, and gray matter volume in the brain](https://www.ncbi.nlm.nih.gov/pubmed/24819610). Males with this variant have much faster [information processing](https://www.ncbi.nlm.nih.gov/pubmed/25674902), including [much better behavioral performance, more efficient brain activity, and a larger brain volume.](https://www.ncbi.nlm.nih.gov/pubmed/24819610) Females with this variant exhibit much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an elevated risk and earlier onset of [lung cancer](https://www.ncbi.nlm.nih.gov/pubmed/27543155), [COPD](https://www.ncbi.nlm.nih.gov/pubmed/26771213) and [newborn lung and breathing problems](https://www.ncbi.nlm.nih.gov/pubmed/24838476) in the children of smoking mothers.
    # What is the effect of A78581651T?
    This variant acts in the part of the [brain](https://www.ncbi.nlm.nih.gov/pubmed/26220977) that controls motor function, problem solving, language, judgement, impulse control, sexual behavior, and memory formation and processing. This variant also is associated with increased risk of [lung cancer](https://www.ncbi.nlm.nih.gov/pubmed/25233467) and an [increased number of cigarettes smoked per day](https://www.ncbi.nlm.nih.gov/pubmed/26981579).
    Your variant is [2X](https://www.ncbi.nlm.nih.gov/pubmed/27099524) more common in [ME/CFS patients](https://www.ncbi.nlm.nih.gov/pubmed/27099524). It causes the CHRNA5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Consult your physician on [medications](http://www.uniprot.org/uniprot/P30532#pathology_and_biotech) that act on variants in CHRNA5, including [Ethanol](https://www.drugbank.ca/drugs/DB00898), [Galantamine](https://www.drugbank.ca/drugs/DB00674), and [nicotine](https://www.drugbank.ca/drugs/DB00184).</v>
      </c>
    </row>
    <row r="307" spans="1:13" x14ac:dyDescent="0.25">
      <c r="A307" s="26"/>
    </row>
    <row r="308" spans="1:13" x14ac:dyDescent="0.25">
      <c r="A308" s="26"/>
      <c r="C308" s="3" t="s">
        <v>30</v>
      </c>
    </row>
    <row r="309" spans="1:13" x14ac:dyDescent="0.25">
      <c r="A309" s="26"/>
    </row>
    <row r="310" spans="1:13" x14ac:dyDescent="0.25">
      <c r="A310" s="26"/>
      <c r="C310" s="3" t="str">
        <f>CONCATENATE( "    &lt;piechart percentage=",B295," /&gt;")</f>
        <v xml:space="preserve">    &lt;piechart percentage= /&gt;</v>
      </c>
    </row>
    <row r="311" spans="1:13" x14ac:dyDescent="0.25">
      <c r="A311" s="26"/>
      <c r="C311" s="3" t="str">
        <f>"  &lt;/Analysis&gt;"</f>
        <v xml:space="preserve">  &lt;/Analysis&gt;</v>
      </c>
      <c r="K311" s="3" t="str">
        <f t="shared" ref="K311:M313" si="31">K289</f>
        <v>rs16969968</v>
      </c>
      <c r="L311" s="3" t="str">
        <f t="shared" si="31"/>
        <v>rs3913434</v>
      </c>
      <c r="M311" s="3" t="str">
        <f t="shared" si="31"/>
        <v>rs270838</v>
      </c>
    </row>
    <row r="312" spans="1:13" s="21" customFormat="1" x14ac:dyDescent="0.25">
      <c r="A312" s="28" t="s">
        <v>70</v>
      </c>
      <c r="B312" s="20" t="str">
        <f>CONCATENATE(B92," and ",B136)</f>
        <v>A78573551G (A;G) and A78581651T (A;T)</v>
      </c>
      <c r="C312" s="21" t="str">
        <f>CONCATENATE("&lt;# ",B312," #&gt;")</f>
        <v>&lt;# A78573551G (A;G) and A78581651T (A;T) #&gt;</v>
      </c>
      <c r="K312" s="21" t="str">
        <f t="shared" si="31"/>
        <v>G1192A</v>
      </c>
      <c r="L312" s="21" t="str">
        <f t="shared" si="31"/>
        <v>A78573551G</v>
      </c>
      <c r="M312" s="21" t="str">
        <f t="shared" si="31"/>
        <v>A78581651T</v>
      </c>
    </row>
    <row r="313" spans="1:13" x14ac:dyDescent="0.25">
      <c r="A313" s="14" t="s">
        <v>21</v>
      </c>
      <c r="B313" s="15" t="str">
        <f>K228</f>
        <v>NC_000015.9:g.[78882925G&gt;A];[78882925=]</v>
      </c>
      <c r="K313" s="3" t="str">
        <f t="shared" si="31"/>
        <v>NC_000015.9:g.</v>
      </c>
      <c r="L313" s="3" t="str">
        <f t="shared" si="31"/>
        <v>NC_000015.9:g.</v>
      </c>
      <c r="M313" s="3" t="str">
        <f t="shared" si="31"/>
        <v>NC_000015.9:g.</v>
      </c>
    </row>
    <row r="314" spans="1:13" x14ac:dyDescent="0.25">
      <c r="A314" s="14" t="s">
        <v>72</v>
      </c>
      <c r="C314" s="3" t="str">
        <f>CONCATENATE("  &lt;Analysis name=",CHAR(34),B312,CHAR(34))</f>
        <v xml:space="preserve">  &lt;Analysis name="A78573551G (A;G) and A78581651T (A;T)"</v>
      </c>
      <c r="J314" s="3" t="str">
        <f t="shared" ref="J314:M321" si="32">J292</f>
        <v>Variant</v>
      </c>
      <c r="K314" s="3" t="str">
        <f t="shared" si="32"/>
        <v>[78882925G&gt;A]</v>
      </c>
      <c r="L314" s="3" t="str">
        <f t="shared" si="32"/>
        <v>[78865893G&gt;A]</v>
      </c>
      <c r="M314" s="3" t="str">
        <f t="shared" si="32"/>
        <v>[78873993A&gt;T]</v>
      </c>
    </row>
    <row r="315" spans="1:13" x14ac:dyDescent="0.25">
      <c r="A315" s="26" t="s">
        <v>75</v>
      </c>
      <c r="B315" s="15" t="str">
        <f>CONCATENATE("People with this variant have copies of the ",B31," and ",B40," variants. This substitution of a single nucleotide is known as a missense mutation.")</f>
        <v>People with this variant have copies of the [A78573551G](https://www.ncbi.nlm.nih.gov/projects/SNP/snp_ref.cgi?rs=6495306) and [A78581651T](https://www.ncbi.nlm.nih.gov/projects/SNP/snp_ref.cgi?rs=7180002) variants. This substitution of a single nucleotide is known as a missense mutation.</v>
      </c>
      <c r="C315" s="3" t="str">
        <f>CONCATENATE("            case={  variantCall ",CHAR(40),CHAR(34),K318,CHAR(34),CHAR(41))</f>
        <v xml:space="preserve">            case={  variantCall ("NC_000015.9:g.[78882925=];[78882925=]")</v>
      </c>
      <c r="J315" s="3" t="str">
        <f t="shared" si="32"/>
        <v>Wildtype</v>
      </c>
      <c r="K315" s="3" t="str">
        <f t="shared" si="32"/>
        <v>[78882925=]</v>
      </c>
      <c r="L315" s="3" t="str">
        <f t="shared" si="32"/>
        <v>[78865893=]</v>
      </c>
      <c r="M315" s="3" t="str">
        <f t="shared" si="32"/>
        <v>[78873993=]</v>
      </c>
    </row>
    <row r="316" spans="1:13" x14ac:dyDescent="0.25">
      <c r="A316" s="26" t="s">
        <v>28</v>
      </c>
      <c r="B316" s="15" t="s">
        <v>202</v>
      </c>
      <c r="C316" s="3" t="s">
        <v>71</v>
      </c>
      <c r="J316" s="3" t="str">
        <f t="shared" si="32"/>
        <v>Het</v>
      </c>
      <c r="K316" s="3" t="str">
        <f t="shared" si="32"/>
        <v>NC_000015.9:g.[78882925G&gt;A];[78882925=]</v>
      </c>
      <c r="L316" s="3" t="str">
        <f t="shared" si="32"/>
        <v>NC_000015.9:g.[78865893G&gt;A];[78865893=]</v>
      </c>
      <c r="M316" s="3" t="str">
        <f t="shared" si="32"/>
        <v>NC_000015.9:g.[78873993A&gt;T];[78873993=]</v>
      </c>
    </row>
    <row r="317" spans="1:13" x14ac:dyDescent="0.25">
      <c r="A317" s="26" t="s">
        <v>73</v>
      </c>
      <c r="C317" s="3" t="str">
        <f>CONCATENATE("                    ",CHAR(40),"variantCall ",CHAR(40),CHAR(34),L316,CHAR(34),CHAR(41)," or variantCall ",CHAR(40),CHAR(34),L317,CHAR(34),CHAR(41),CHAR(41))</f>
        <v xml:space="preserve">                    (variantCall ("NC_000015.9:g.[78865893G&gt;A];[78865893=]") or variantCall ("NC_000015.9:g.[78865893G&gt;A];[78865893G&gt;A]"))</v>
      </c>
      <c r="J317" s="3" t="str">
        <f t="shared" si="32"/>
        <v>Homo</v>
      </c>
      <c r="K317" s="3" t="str">
        <f t="shared" si="32"/>
        <v>NC_000015.9:g.[78882925G&gt;A];[78882925G&gt;A]</v>
      </c>
      <c r="L317" s="3" t="str">
        <f t="shared" si="32"/>
        <v>NC_000015.9:g.[78865893G&gt;A];[78865893G&gt;A]</v>
      </c>
      <c r="M317" s="3" t="str">
        <f t="shared" si="32"/>
        <v>NC_000015.9:g.[78873993A&gt;T];[78873993A&gt;T]</v>
      </c>
    </row>
    <row r="318" spans="1:13" x14ac:dyDescent="0.25">
      <c r="A318" s="26"/>
      <c r="C318" s="3" t="s">
        <v>71</v>
      </c>
      <c r="J318" s="3" t="str">
        <f t="shared" si="32"/>
        <v>Wildtype</v>
      </c>
      <c r="K318" s="3" t="str">
        <f t="shared" si="32"/>
        <v>NC_000015.9:g.[78882925=];[78882925=]</v>
      </c>
      <c r="L318" s="3" t="str">
        <f t="shared" si="32"/>
        <v>NC_000015.9:g.[78865893=];[78865893=]</v>
      </c>
      <c r="M318" s="3" t="str">
        <f t="shared" si="32"/>
        <v>NC_000015.9:g.[78873993=];[78873993=]</v>
      </c>
    </row>
    <row r="319" spans="1:13" x14ac:dyDescent="0.25">
      <c r="A319" s="26"/>
      <c r="C319" s="3" t="str">
        <f>CONCATENATE("                    ",CHAR(40),"variantCall ",CHAR(40),CHAR(34),M316,CHAR(34),CHAR(41)," or variantCall ",CHAR(40),CHAR(34),M317,CHAR(34),CHAR(41),CHAR(41))</f>
        <v xml:space="preserve">                    (variantCall ("NC_000015.9:g.[78873993A&gt;T];[78873993=]") or variantCall ("NC_000015.9:g.[78873993A&gt;T];[78873993A&gt;T]"))</v>
      </c>
      <c r="J319" s="3" t="str">
        <f t="shared" si="32"/>
        <v>Het%</v>
      </c>
      <c r="K319" s="3">
        <f t="shared" si="32"/>
        <v>39.200000000000003</v>
      </c>
      <c r="L319" s="3">
        <f t="shared" si="32"/>
        <v>39.200000000000003</v>
      </c>
      <c r="M319" s="3">
        <f t="shared" si="32"/>
        <v>27.3</v>
      </c>
    </row>
    <row r="320" spans="1:13" x14ac:dyDescent="0.25">
      <c r="A320" s="26"/>
      <c r="C320" s="3" t="str">
        <f>CONCATENATE("                  } &gt; ")</f>
        <v xml:space="preserve">                  } &gt; </v>
      </c>
      <c r="J320" s="3" t="str">
        <f t="shared" si="32"/>
        <v>Homo%</v>
      </c>
      <c r="K320" s="3">
        <f t="shared" si="32"/>
        <v>5.2</v>
      </c>
      <c r="L320" s="3">
        <f t="shared" si="32"/>
        <v>17.899999999999999</v>
      </c>
      <c r="M320" s="3">
        <f t="shared" si="32"/>
        <v>9.5</v>
      </c>
    </row>
    <row r="321" spans="1:13" x14ac:dyDescent="0.25">
      <c r="A321" s="14"/>
      <c r="J321" s="3" t="str">
        <f t="shared" si="32"/>
        <v>Wildtype%</v>
      </c>
      <c r="K321" s="3">
        <f t="shared" si="32"/>
        <v>55.6</v>
      </c>
      <c r="L321" s="3">
        <f t="shared" si="32"/>
        <v>42.9</v>
      </c>
      <c r="M321" s="3">
        <f t="shared" si="32"/>
        <v>63.2</v>
      </c>
    </row>
    <row r="322" spans="1:13" x14ac:dyDescent="0.25">
      <c r="A322" s="14"/>
      <c r="C322" s="3" t="s">
        <v>26</v>
      </c>
    </row>
    <row r="323" spans="1:13" x14ac:dyDescent="0.25">
      <c r="A323" s="14"/>
    </row>
    <row r="324" spans="1:13" x14ac:dyDescent="0.25">
      <c r="A324" s="14"/>
      <c r="C324" s="3" t="str">
        <f>CONCATENATE("    ",B315)</f>
        <v xml:space="preserve">    People with this variant have copies of the [A78573551G](https://www.ncbi.nlm.nih.gov/projects/SNP/snp_ref.cgi?rs=6495306) and [A78581651T](https://www.ncbi.nlm.nih.gov/projects/SNP/snp_ref.cgi?rs=7180002) variants. This substitution of a single nucleotide is known as a missense mutation.</v>
      </c>
    </row>
    <row r="325" spans="1:13" x14ac:dyDescent="0.25">
      <c r="A325" s="14"/>
    </row>
    <row r="326" spans="1:13" x14ac:dyDescent="0.25">
      <c r="A326" s="26"/>
      <c r="C326" s="3" t="s">
        <v>29</v>
      </c>
    </row>
    <row r="327" spans="1:13" x14ac:dyDescent="0.25">
      <c r="A327" s="26"/>
    </row>
    <row r="328" spans="1:13" x14ac:dyDescent="0.25">
      <c r="A328" s="26"/>
      <c r="C328" s="3" t="str">
        <f>CONCATENATE(B316)</f>
        <v xml:space="preserve">    There is currently no data on the interaction between these variants.  However, some information exists on the individual variants.
    # What is the effect of A78573551G?
    This variant acts in the part of the [brain](https://www.ncbi.nlm.nih.gov/pubmed/26220977) that controls motor function, problem solving, language, judgement, impulse control, sexual behavior, and memory formation and processing. This may cause ME/CFS related cognition issues. This variant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is the effect of A78581651T?
    This variant acts in the part of the [brain](https://www.ncbi.nlm.nih.gov/pubmed/26220977) that controls motor function, problem solving, language, judgement, impulse control, sexual behavior, and memory formation and processing. This variant also is associated with increased risk of [lung cancer](https://www.ncbi.nlm.nih.gov/pubmed/25233467) and an [increased number of cigarettes smoked per day](https://www.ncbi.nlm.nih.gov/pubmed/26981579).
    Your variant is [2X](https://www.ncbi.nlm.nih.gov/pubmed/27099524) more common in [ME/CFS patients](https://www.ncbi.nlm.nih.gov/pubmed/27099524). It causes the CHRNA5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Consult your physician on [medications](http://www.uniprot.org/uniprot/P30532#pathology_and_biotech) that act on variants in CHRNA5, including [Ethanol](https://www.drugbank.ca/drugs/DB00898), [Galantamine](https://www.drugbank.ca/drugs/DB00674), and [nicotine](https://www.drugbank.ca/drugs/DB00184).</v>
      </c>
    </row>
    <row r="329" spans="1:13" x14ac:dyDescent="0.25">
      <c r="A329" s="26"/>
    </row>
    <row r="330" spans="1:13" x14ac:dyDescent="0.25">
      <c r="A330" s="26"/>
      <c r="C330" s="3" t="s">
        <v>30</v>
      </c>
    </row>
    <row r="331" spans="1:13" x14ac:dyDescent="0.25">
      <c r="A331" s="26"/>
    </row>
    <row r="332" spans="1:13" x14ac:dyDescent="0.25">
      <c r="A332" s="26"/>
      <c r="C332" s="3" t="str">
        <f>CONCATENATE( "    &lt;piechart percentage=",B317," /&gt;")</f>
        <v xml:space="preserve">    &lt;piechart percentage= /&gt;</v>
      </c>
    </row>
    <row r="333" spans="1:13" x14ac:dyDescent="0.25">
      <c r="A333" s="26"/>
      <c r="C333" s="3" t="str">
        <f>"  &lt;/Analysis&gt;"</f>
        <v xml:space="preserve">  &lt;/Analysis&gt;</v>
      </c>
      <c r="K333" s="3" t="str">
        <f t="shared" ref="K333:M335" si="33">K179</f>
        <v>rs16969968</v>
      </c>
      <c r="L333" s="3" t="str">
        <f t="shared" si="33"/>
        <v>rs3913434</v>
      </c>
      <c r="M333" s="3" t="str">
        <f t="shared" si="33"/>
        <v>rs270838</v>
      </c>
    </row>
    <row r="334" spans="1:13" s="21" customFormat="1" x14ac:dyDescent="0.25">
      <c r="A334" s="28" t="s">
        <v>70</v>
      </c>
      <c r="B334" s="20" t="s">
        <v>85</v>
      </c>
      <c r="C334" s="21" t="str">
        <f>CONCATENATE("&lt;# ",B334," #&gt;")</f>
        <v>&lt;# Wild type #&gt;</v>
      </c>
      <c r="K334" s="21" t="str">
        <f t="shared" si="33"/>
        <v>G1192A</v>
      </c>
      <c r="L334" s="21" t="str">
        <f t="shared" si="33"/>
        <v>A78573551G</v>
      </c>
      <c r="M334" s="21" t="str">
        <f t="shared" si="33"/>
        <v>A78581651T</v>
      </c>
    </row>
    <row r="335" spans="1:13" x14ac:dyDescent="0.25">
      <c r="A335" s="14" t="s">
        <v>21</v>
      </c>
      <c r="B335" s="15" t="str">
        <f>K54</f>
        <v>NC_000015.9:g.[78882925=];[78882925=]</v>
      </c>
      <c r="K335" s="3" t="str">
        <f t="shared" si="33"/>
        <v>NC_000015.9:g.</v>
      </c>
      <c r="L335" s="3" t="str">
        <f t="shared" si="33"/>
        <v>NC_000015.9:g.</v>
      </c>
      <c r="M335" s="3" t="str">
        <f t="shared" si="33"/>
        <v>NC_000015.9:g.</v>
      </c>
    </row>
    <row r="336" spans="1:13" x14ac:dyDescent="0.25">
      <c r="A336" s="14" t="s">
        <v>72</v>
      </c>
      <c r="B336" s="15" t="str">
        <f>L54</f>
        <v>NC_000015.9:g.[78865893=];[78865893=]</v>
      </c>
      <c r="C336" s="3" t="str">
        <f>CONCATENATE("  &lt;Analysis name=",CHAR(34),B334,CHAR(34))</f>
        <v xml:space="preserve">  &lt;Analysis name="Wild type"</v>
      </c>
      <c r="J336" s="3" t="str">
        <f t="shared" ref="J336:M343" si="34">J182</f>
        <v>Variant</v>
      </c>
      <c r="K336" s="3" t="str">
        <f t="shared" si="34"/>
        <v>[78882925G&gt;A]</v>
      </c>
      <c r="L336" s="3" t="str">
        <f t="shared" si="34"/>
        <v>[78865893G&gt;A]</v>
      </c>
      <c r="M336" s="3" t="str">
        <f t="shared" si="34"/>
        <v>[78873993A&gt;T]</v>
      </c>
    </row>
    <row r="337" spans="1:13" x14ac:dyDescent="0.25">
      <c r="A337" s="26" t="s">
        <v>75</v>
      </c>
      <c r="B337" s="15" t="str">
        <f>CONCATENATE("Your ",B12," gene has no variants. A normal gene is referred to as a ",CHAR(34),"wild-type",CHAR(34)," gene.")</f>
        <v>Your CHRNA5 gene has no variants. A normal gene is referred to as a "wild-type" gene.</v>
      </c>
      <c r="C337" s="3" t="str">
        <f>CONCATENATE("            case={  variantCall ",CHAR(40),CHAR(34),B335,CHAR(34),CHAR(41))</f>
        <v xml:space="preserve">            case={  variantCall ("NC_000015.9:g.[78882925=];[78882925=]")</v>
      </c>
      <c r="J337" s="3" t="str">
        <f t="shared" si="34"/>
        <v>Wildtype</v>
      </c>
      <c r="K337" s="3" t="str">
        <f t="shared" si="34"/>
        <v>[78882925=]</v>
      </c>
      <c r="L337" s="3" t="str">
        <f t="shared" si="34"/>
        <v>[78865893=]</v>
      </c>
      <c r="M337" s="3" t="str">
        <f t="shared" si="34"/>
        <v>[78873993=]</v>
      </c>
    </row>
    <row r="338" spans="1:13" x14ac:dyDescent="0.25">
      <c r="A338" s="26" t="s">
        <v>28</v>
      </c>
      <c r="C338" s="3" t="s">
        <v>71</v>
      </c>
      <c r="J338" s="3" t="str">
        <f t="shared" si="34"/>
        <v>Het</v>
      </c>
      <c r="K338" s="3" t="str">
        <f t="shared" si="34"/>
        <v>NC_000015.9:g.[78882925G&gt;A];[78882925=]</v>
      </c>
      <c r="L338" s="3" t="str">
        <f t="shared" si="34"/>
        <v>NC_000015.9:g.[78865893G&gt;A];[78865893=]</v>
      </c>
      <c r="M338" s="3" t="str">
        <f t="shared" si="34"/>
        <v>NC_000015.9:g.[78873993A&gt;T];[78873993=]</v>
      </c>
    </row>
    <row r="339" spans="1:13" x14ac:dyDescent="0.25">
      <c r="A339" s="26" t="s">
        <v>73</v>
      </c>
      <c r="C339" s="3" t="str">
        <f>CONCATENATE("                    ","variantCall ",CHAR(40),CHAR(34),L340,CHAR(34),CHAR(41))</f>
        <v xml:space="preserve">                    variantCall ("NC_000015.9:g.[78865893=];[78865893=]")</v>
      </c>
      <c r="J339" s="3" t="str">
        <f t="shared" si="34"/>
        <v>Homo</v>
      </c>
      <c r="K339" s="3" t="str">
        <f t="shared" si="34"/>
        <v>NC_000015.9:g.[78882925G&gt;A];[78882925G&gt;A]</v>
      </c>
      <c r="L339" s="3" t="str">
        <f t="shared" si="34"/>
        <v>NC_000015.9:g.[78865893G&gt;A];[78865893G&gt;A]</v>
      </c>
      <c r="M339" s="3" t="str">
        <f t="shared" si="34"/>
        <v>NC_000015.9:g.[78873993A&gt;T];[78873993A&gt;T]</v>
      </c>
    </row>
    <row r="340" spans="1:13" x14ac:dyDescent="0.25">
      <c r="A340" s="26"/>
      <c r="C340" s="3" t="s">
        <v>71</v>
      </c>
      <c r="J340" s="3" t="str">
        <f t="shared" si="34"/>
        <v>Wildtype</v>
      </c>
      <c r="K340" s="3" t="str">
        <f t="shared" si="34"/>
        <v>NC_000015.9:g.[78882925=];[78882925=]</v>
      </c>
      <c r="L340" s="3" t="str">
        <f t="shared" si="34"/>
        <v>NC_000015.9:g.[78865893=];[78865893=]</v>
      </c>
      <c r="M340" s="3" t="str">
        <f t="shared" si="34"/>
        <v>NC_000015.9:g.[78873993=];[78873993=]</v>
      </c>
    </row>
    <row r="341" spans="1:13" x14ac:dyDescent="0.25">
      <c r="A341" s="26"/>
      <c r="C341" s="3" t="str">
        <f>CONCATENATE("                    ","variantCall ",CHAR(40),CHAR(34),M340,CHAR(34),CHAR(41))</f>
        <v xml:space="preserve">                    variantCall ("NC_000015.9:g.[78873993=];[78873993=]")</v>
      </c>
      <c r="J341" s="3" t="str">
        <f t="shared" si="34"/>
        <v>Het%</v>
      </c>
      <c r="K341" s="3">
        <f t="shared" si="34"/>
        <v>39.200000000000003</v>
      </c>
      <c r="L341" s="3">
        <f t="shared" si="34"/>
        <v>39.200000000000003</v>
      </c>
      <c r="M341" s="3">
        <f t="shared" si="34"/>
        <v>27.3</v>
      </c>
    </row>
    <row r="342" spans="1:13" x14ac:dyDescent="0.25">
      <c r="A342" s="26"/>
      <c r="C342" s="3" t="str">
        <f>CONCATENATE("                  } &gt; ")</f>
        <v xml:space="preserve">                  } &gt; </v>
      </c>
      <c r="J342" s="3" t="str">
        <f t="shared" si="34"/>
        <v>Homo%</v>
      </c>
      <c r="K342" s="3">
        <f t="shared" si="34"/>
        <v>5.2</v>
      </c>
      <c r="L342" s="3">
        <f t="shared" si="34"/>
        <v>17.899999999999999</v>
      </c>
      <c r="M342" s="3">
        <f t="shared" si="34"/>
        <v>9.5</v>
      </c>
    </row>
    <row r="343" spans="1:13" x14ac:dyDescent="0.25">
      <c r="A343" s="14"/>
      <c r="J343" s="3" t="str">
        <f t="shared" si="34"/>
        <v>Wildtype%</v>
      </c>
      <c r="K343" s="3">
        <f t="shared" si="34"/>
        <v>55.6</v>
      </c>
      <c r="L343" s="3">
        <f t="shared" si="34"/>
        <v>42.9</v>
      </c>
      <c r="M343" s="3">
        <f t="shared" si="34"/>
        <v>63.2</v>
      </c>
    </row>
    <row r="344" spans="1:13" x14ac:dyDescent="0.25">
      <c r="A344" s="14"/>
      <c r="C344" s="3" t="s">
        <v>26</v>
      </c>
    </row>
    <row r="345" spans="1:13" x14ac:dyDescent="0.25">
      <c r="A345" s="14"/>
    </row>
    <row r="346" spans="1:13" x14ac:dyDescent="0.25">
      <c r="A346" s="26"/>
      <c r="C346" s="3" t="str">
        <f>CONCATENATE("    ",B337)</f>
        <v xml:space="preserve">    Your CHRNA5 gene has no variants. A normal gene is referred to as a "wild-type" gene.</v>
      </c>
    </row>
    <row r="347" spans="1:13" x14ac:dyDescent="0.25">
      <c r="A347" s="26"/>
    </row>
    <row r="348" spans="1:13" x14ac:dyDescent="0.25">
      <c r="A348" s="26"/>
      <c r="C348" s="3" t="s">
        <v>30</v>
      </c>
    </row>
    <row r="349" spans="1:13" x14ac:dyDescent="0.25">
      <c r="A349" s="26"/>
    </row>
    <row r="350" spans="1:13" x14ac:dyDescent="0.25">
      <c r="A350" s="26"/>
      <c r="C350" s="3" t="str">
        <f>CONCATENATE( "    &lt;piechart percentage=",B339," /&gt;")</f>
        <v xml:space="preserve">    &lt;piechart percentage= /&gt;</v>
      </c>
    </row>
    <row r="351" spans="1:13" x14ac:dyDescent="0.25">
      <c r="A351" s="26"/>
      <c r="C351" s="3" t="str">
        <f>"  &lt;/Analysis&gt;"</f>
        <v xml:space="preserve">  &lt;/Analysis&gt;</v>
      </c>
    </row>
    <row r="352" spans="1:13" s="21" customFormat="1" x14ac:dyDescent="0.25">
      <c r="A352" s="28" t="s">
        <v>70</v>
      </c>
      <c r="B352" s="20" t="s">
        <v>86</v>
      </c>
      <c r="C352" s="21" t="str">
        <f>CONCATENATE("&lt;# ",B352," #&gt;")</f>
        <v>&lt;# Unknown #&gt;</v>
      </c>
    </row>
    <row r="353" spans="1:3" x14ac:dyDescent="0.25">
      <c r="A353" s="14" t="s">
        <v>21</v>
      </c>
      <c r="B353" s="15" t="str">
        <f>K72</f>
        <v>[78882925G&gt;A]</v>
      </c>
    </row>
    <row r="354" spans="1:3" x14ac:dyDescent="0.25">
      <c r="A354" s="14" t="s">
        <v>72</v>
      </c>
      <c r="C354" s="3" t="str">
        <f>CONCATENATE("  &lt;Analysis name=",CHAR(34),B352,CHAR(34), " case=true&gt;")</f>
        <v xml:space="preserve">  &lt;Analysis name="Unknown" case=true&gt;</v>
      </c>
    </row>
    <row r="355" spans="1:3" x14ac:dyDescent="0.25">
      <c r="A355" s="26" t="s">
        <v>75</v>
      </c>
      <c r="B355" s="15" t="s">
        <v>31</v>
      </c>
    </row>
    <row r="356" spans="1:3" x14ac:dyDescent="0.25">
      <c r="A356" s="26" t="s">
        <v>73</v>
      </c>
      <c r="B356" s="15">
        <v>0</v>
      </c>
      <c r="C356" s="3" t="s">
        <v>26</v>
      </c>
    </row>
    <row r="357" spans="1:3" x14ac:dyDescent="0.25">
      <c r="A357" s="26"/>
    </row>
    <row r="358" spans="1:3" x14ac:dyDescent="0.25">
      <c r="A358" s="14"/>
      <c r="C358" s="3" t="str">
        <f>CONCATENATE("    ",B355)</f>
        <v xml:space="preserve">    The effect is unknown.</v>
      </c>
    </row>
    <row r="359" spans="1:3" x14ac:dyDescent="0.25">
      <c r="A359" s="14"/>
    </row>
    <row r="360" spans="1:3" x14ac:dyDescent="0.25">
      <c r="A360" s="14"/>
      <c r="C360" s="3" t="s">
        <v>30</v>
      </c>
    </row>
    <row r="361" spans="1:3" x14ac:dyDescent="0.25">
      <c r="A361" s="26"/>
    </row>
    <row r="362" spans="1:3" x14ac:dyDescent="0.25">
      <c r="A362" s="26"/>
      <c r="C362" s="3" t="str">
        <f>CONCATENATE( "    &lt;piechart percentage=",B356," /&gt;")</f>
        <v xml:space="preserve">    &lt;piechart percentage=0 /&gt;</v>
      </c>
    </row>
    <row r="363" spans="1:3" x14ac:dyDescent="0.25">
      <c r="A363" s="26"/>
      <c r="C363" s="3" t="str">
        <f>"  &lt;/Analysis&gt;"</f>
        <v xml:space="preserve">  &lt;/Analysis&gt;</v>
      </c>
    </row>
    <row r="364" spans="1:3" x14ac:dyDescent="0.25">
      <c r="A364" s="14"/>
      <c r="C364" s="31" t="s">
        <v>78</v>
      </c>
    </row>
    <row r="365" spans="1:3" s="21" customFormat="1" x14ac:dyDescent="0.25">
      <c r="A365" s="19"/>
      <c r="B365" s="20"/>
      <c r="C365" s="35"/>
    </row>
    <row r="366" spans="1:3" x14ac:dyDescent="0.25">
      <c r="A366" s="14" t="s">
        <v>79</v>
      </c>
      <c r="B366" s="40" t="s">
        <v>172</v>
      </c>
      <c r="C366" s="10" t="str">
        <f>CONCATENATE("&lt;# ",A366," ",B366," #&gt;")</f>
        <v>&lt;# Tissues brain D001921  respiratory system and lung D012137  bone marrow and immune system D007107 #&gt;</v>
      </c>
    </row>
    <row r="367" spans="1:3" x14ac:dyDescent="0.25">
      <c r="A367" s="14"/>
    </row>
    <row r="368" spans="1:3" x14ac:dyDescent="0.25">
      <c r="A368" s="14"/>
      <c r="B368" s="40" t="s">
        <v>174</v>
      </c>
      <c r="C368" s="31" t="str">
        <f>CONCATENATE("&lt;TopicBar ",B368," /&gt;")</f>
        <v>&lt;TopicBar mesh_D001921 mesh_D012137 mesh_D007107 /&gt;</v>
      </c>
    </row>
    <row r="369" spans="1:3" x14ac:dyDescent="0.25">
      <c r="A369" s="14"/>
    </row>
    <row r="370" spans="1:3" x14ac:dyDescent="0.25">
      <c r="A370" s="14" t="s">
        <v>32</v>
      </c>
      <c r="B370" s="40" t="s">
        <v>171</v>
      </c>
      <c r="C370" s="10" t="str">
        <f>CONCATENATE("&lt;# ",A370," ",B370," #&gt;")</f>
        <v>&lt;# Symptoms anxiety; pain; inflammation; #&gt;</v>
      </c>
    </row>
    <row r="371" spans="1:3" x14ac:dyDescent="0.25">
      <c r="A371" s="14"/>
    </row>
    <row r="372" spans="1:3" x14ac:dyDescent="0.25">
      <c r="A372" s="14"/>
      <c r="B372" s="40" t="s">
        <v>175</v>
      </c>
      <c r="C372" s="31" t="str">
        <f>CONCATENATE("&lt;TopicBar ",B372," /&gt;")</f>
        <v>&lt;TopicBar mesh_D001007 mesh_D010146  mesh_D007249 /&gt;</v>
      </c>
    </row>
    <row r="373" spans="1:3" x14ac:dyDescent="0.25">
      <c r="A373" s="14"/>
      <c r="C373" s="31"/>
    </row>
    <row r="374" spans="1:3" x14ac:dyDescent="0.25">
      <c r="A374" s="14" t="s">
        <v>48</v>
      </c>
      <c r="B374" s="40" t="s">
        <v>173</v>
      </c>
      <c r="C374" s="10" t="str">
        <f>CONCATENATE("&lt;# ",A374," ",B374," #&gt;")</f>
        <v>&lt;# Diseases cancer; COPD; anxiety; ME/CFS; nicotine dependency; autoimmune disorder; Disease susceptibility - increased susceptibility to viral, bacterial, and parasitic infections; mood disorder #&gt;</v>
      </c>
    </row>
    <row r="375" spans="1:3" x14ac:dyDescent="0.25">
      <c r="A375" s="14"/>
    </row>
    <row r="376" spans="1:3" x14ac:dyDescent="0.25">
      <c r="A376" s="14"/>
      <c r="B376" s="40" t="s">
        <v>176</v>
      </c>
      <c r="C376" s="31" t="str">
        <f>CONCATENATE("&lt;TopicBar ",B376," /&gt;")</f>
        <v>&lt;TopicBar mesh_D009369 mesh_D029424 mesh_D001008 mesh_D015673 mesh_D014029 mesh_D001327 mesh_D004198 mesh_D019964 /&gt;</v>
      </c>
    </row>
    <row r="377" spans="1:3" x14ac:dyDescent="0.25">
      <c r="A377" s="14"/>
    </row>
    <row r="378" spans="1:3" s="21" customFormat="1" x14ac:dyDescent="0.25">
      <c r="A378" s="28"/>
      <c r="B378" s="20"/>
    </row>
    <row r="379" spans="1:3" x14ac:dyDescent="0.25">
      <c r="B379" s="30"/>
    </row>
    <row r="381" spans="1:3" x14ac:dyDescent="0.25">
      <c r="B381" s="30"/>
    </row>
    <row r="383" spans="1:3" x14ac:dyDescent="0.25">
      <c r="B383" s="30"/>
    </row>
    <row r="385" spans="2:2" x14ac:dyDescent="0.25">
      <c r="B385" s="30"/>
    </row>
    <row r="387" spans="2:2" x14ac:dyDescent="0.25">
      <c r="B387" s="3"/>
    </row>
    <row r="389" spans="2:2" x14ac:dyDescent="0.25">
      <c r="B389" s="3"/>
    </row>
    <row r="1061" spans="3:3" x14ac:dyDescent="0.25">
      <c r="C1061" s="3" t="str">
        <f>CONCATENATE("    This variant is a change at a specific point in the ",B1052," gene from ",B1061," to ",B1062," resulting in incorrect ",B1055,"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7" spans="3:3" x14ac:dyDescent="0.25">
      <c r="C1067" s="3" t="str">
        <f>CONCATENATE("    This variant is a change at a specific point in the ",B1052," gene from ",B1067," to ",B1068," resulting in incorrect ",B1055,"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7" spans="3:3" x14ac:dyDescent="0.25">
      <c r="C1197" s="3" t="str">
        <f>CONCATENATE("    This variant is a change at a specific point in the ",B1188," gene from ",B1197," to ",B1198," resulting in incorrect ",B1191,"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03" spans="3:3" x14ac:dyDescent="0.25">
      <c r="C1203" s="3" t="str">
        <f>CONCATENATE("    This variant is a change at a specific point in the ",B1188," gene from ",B1203," to ",B1204," resulting in incorrect ",B1191,"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5" spans="3:3" x14ac:dyDescent="0.25">
      <c r="C1605" s="3" t="str">
        <f>CONCATENATE("    This variant is a change at a specific point in the ",B1596," gene from ",B1605," to ",B1606," resulting in incorrect ",B1599,"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11" spans="3:3" x14ac:dyDescent="0.25">
      <c r="C1611" s="3" t="str">
        <f>CONCATENATE("    This variant is a change at a specific point in the ",B1596," gene from ",B1611," to ",B1612," resulting in incorrect ",B1599,"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1" spans="3:3" x14ac:dyDescent="0.25">
      <c r="C1741" s="3" t="str">
        <f>CONCATENATE("    This variant is a change at a specific point in the ",B1732," gene from ",B1741," to ",B1742," resulting in incorrect ",B1735,"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7" spans="3:3" x14ac:dyDescent="0.25">
      <c r="C1747" s="3" t="str">
        <f>CONCATENATE("    This variant is a change at a specific point in the ",B1732," gene from ",B1747," to ",B1748," resulting in incorrect ",B1735,"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7" spans="3:3" x14ac:dyDescent="0.25">
      <c r="C1877" s="3" t="str">
        <f>CONCATENATE("    This variant is a change at a specific point in the ",B1868," gene from ",B1877," to ",B1878," resulting in incorrect ",B1871,"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83" spans="3:3" x14ac:dyDescent="0.25">
      <c r="C1883" s="3" t="str">
        <f>CONCATENATE("    This variant is a change at a specific point in the ",B1868," gene from ",B1883," to ",B1884," resulting in incorrect ",B1871,"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3" spans="3:3" x14ac:dyDescent="0.25">
      <c r="C2013" s="3" t="str">
        <f>CONCATENATE("    This variant is a change at a specific point in the ",B2004," gene from ",B2013," to ",B2014," resulting in incorrect ",B2007,"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9" spans="3:3" x14ac:dyDescent="0.25">
      <c r="C2019" s="3" t="str">
        <f>CONCATENATE("    This variant is a change at a specific point in the ",B2004," gene from ",B2019," to ",B2020," resulting in incorrect ",B2007,"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9" spans="3:3" x14ac:dyDescent="0.25">
      <c r="C2149" s="3" t="str">
        <f>CONCATENATE("    This variant is a change at a specific point in the ",B2140," gene from ",B2149," to ",B2150," resulting in incorrect ",B2143,"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5" spans="3:3" x14ac:dyDescent="0.25">
      <c r="C2155" s="3" t="str">
        <f>CONCATENATE("    This variant is a change at a specific point in the ",B2140," gene from ",B2155," to ",B2156," resulting in incorrect ",B2143,"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5" spans="3:3" x14ac:dyDescent="0.25">
      <c r="C2285" s="3" t="str">
        <f>CONCATENATE("    This variant is a change at a specific point in the ",B2276," gene from ",B2285," to ",B2286," resulting in incorrect ",B2279,"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91" spans="3:3" x14ac:dyDescent="0.25">
      <c r="C2291" s="3" t="str">
        <f>CONCATENATE("    This variant is a change at a specific point in the ",B2276," gene from ",B2291," to ",B2292," resulting in incorrect ",B2279,"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1" spans="3:3" x14ac:dyDescent="0.25">
      <c r="C2421" s="3" t="str">
        <f>CONCATENATE("    This variant is a change at a specific point in the ",B2412," gene from ",B2421," to ",B2422," resulting in incorrect ",B2415,"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7" spans="3:3" x14ac:dyDescent="0.25">
      <c r="C2427" s="3" t="str">
        <f>CONCATENATE("    This variant is a change at a specific point in the ",B2412," gene from ",B2427," to ",B2428," resulting in incorrect ",B2415,"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7" spans="3:3" x14ac:dyDescent="0.25">
      <c r="C2557" s="3" t="str">
        <f>CONCATENATE("    This variant is a change at a specific point in the ",B2548," gene from ",B2557," to ",B2558," resulting in incorrect ",B2551,"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63" spans="3:3" x14ac:dyDescent="0.25">
      <c r="C2563" s="3" t="str">
        <f>CONCATENATE("    This variant is a change at a specific point in the ",B2548," gene from ",B2563," to ",B2564," resulting in incorrect ",B2551,"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3 variants</vt:lpstr>
      <vt:lpstr>COMT</vt:lpstr>
      <vt:lpstr>GRIK3</vt:lpstr>
      <vt:lpstr>CHRNE</vt:lpstr>
      <vt:lpstr>CLYBL</vt:lpstr>
      <vt:lpstr>MTHFR</vt:lpstr>
      <vt:lpstr>CHRNA3</vt:lpstr>
      <vt:lpstr>CRHR1</vt:lpstr>
      <vt:lpstr>CHRNA5</vt:lpstr>
      <vt:lpstr>CHRNB4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2018-08-23T00:10:44Z</dcterms:created>
  <dcterms:modified xsi:type="dcterms:W3CDTF">2018-09-29T05:46:48Z</dcterms:modified>
</cp:coreProperties>
</file>