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It's a mini\Downloads\"/>
    </mc:Choice>
  </mc:AlternateContent>
  <xr:revisionPtr revIDLastSave="0" documentId="13_ncr:1_{1416A312-B6AC-413A-BD18-338386F1CB94}" xr6:coauthVersionLast="38" xr6:coauthVersionMax="38" xr10:uidLastSave="{00000000-0000-0000-0000-000000000000}"/>
  <bookViews>
    <workbookView xWindow="0" yWindow="0" windowWidth="20490" windowHeight="7545" activeTab="2" xr2:uid="{37CBBA56-91A8-400C-8519-D84B1C9C5B0B}"/>
  </bookViews>
  <sheets>
    <sheet name="3 variants" sheetId="2" r:id="rId1"/>
    <sheet name="COMT" sheetId="10" r:id="rId2"/>
    <sheet name="CHRNA2" sheetId="13" r:id="rId3"/>
    <sheet name="GRIK3" sheetId="4" r:id="rId4"/>
    <sheet name="CHRNE" sheetId="9" r:id="rId5"/>
    <sheet name="CLYBL" sheetId="5" r:id="rId6"/>
    <sheet name="GRIK2" sheetId="12" r:id="rId7"/>
    <sheet name="MTHFR" sheetId="3" r:id="rId8"/>
    <sheet name="CHRNA3" sheetId="6" r:id="rId9"/>
    <sheet name="CRHR1" sheetId="11" r:id="rId10"/>
    <sheet name="CHRNA5" sheetId="7" r:id="rId11"/>
    <sheet name="CHRNB4" sheetId="8" r:id="rId1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1" i="13" l="1"/>
  <c r="C178" i="13"/>
  <c r="C404" i="13"/>
  <c r="C403" i="13"/>
  <c r="C401" i="13"/>
  <c r="C399" i="13"/>
  <c r="C397" i="13"/>
  <c r="C395" i="13"/>
  <c r="C394" i="13"/>
  <c r="B172" i="13"/>
  <c r="C179" i="13"/>
  <c r="C176" i="13"/>
  <c r="C174" i="13"/>
  <c r="C172" i="13"/>
  <c r="C170" i="13"/>
  <c r="C169" i="13"/>
  <c r="C149" i="13"/>
  <c r="C124" i="13"/>
  <c r="C154" i="13"/>
  <c r="C153" i="13"/>
  <c r="C147" i="13"/>
  <c r="C145" i="13"/>
  <c r="C120" i="13"/>
  <c r="C122" i="13"/>
  <c r="C129" i="13"/>
  <c r="C128" i="13"/>
  <c r="C126" i="13"/>
  <c r="B147" i="13"/>
  <c r="B122" i="13"/>
  <c r="B96" i="13"/>
  <c r="K92" i="13"/>
  <c r="L92" i="13"/>
  <c r="M92" i="13"/>
  <c r="N92" i="13"/>
  <c r="O92" i="13"/>
  <c r="K93" i="13"/>
  <c r="L93" i="13"/>
  <c r="M93" i="13"/>
  <c r="N93" i="13"/>
  <c r="O93" i="13"/>
  <c r="K94" i="13"/>
  <c r="L94" i="13"/>
  <c r="M94" i="13"/>
  <c r="N94" i="13"/>
  <c r="O94" i="13"/>
  <c r="K95" i="13"/>
  <c r="L95" i="13"/>
  <c r="M95" i="13"/>
  <c r="N95" i="13"/>
  <c r="O95" i="13"/>
  <c r="K96" i="13"/>
  <c r="L96" i="13"/>
  <c r="M96" i="13"/>
  <c r="N96" i="13"/>
  <c r="O96" i="13"/>
  <c r="K97" i="13"/>
  <c r="L97" i="13"/>
  <c r="M97" i="13"/>
  <c r="N97" i="13"/>
  <c r="O97" i="13"/>
  <c r="K98" i="13"/>
  <c r="L98" i="13"/>
  <c r="M98" i="13"/>
  <c r="N98" i="13"/>
  <c r="O98" i="13"/>
  <c r="K99" i="13"/>
  <c r="L99" i="13"/>
  <c r="M99" i="13"/>
  <c r="N99" i="13"/>
  <c r="O99" i="13"/>
  <c r="K100" i="13"/>
  <c r="L100" i="13"/>
  <c r="M100" i="13"/>
  <c r="N100" i="13"/>
  <c r="O100" i="13"/>
  <c r="L91" i="13"/>
  <c r="M91" i="13"/>
  <c r="N91" i="13"/>
  <c r="O91" i="13"/>
  <c r="O117" i="13" s="1"/>
  <c r="O142" i="13" s="1"/>
  <c r="O167" i="13" s="1"/>
  <c r="O192" i="13" s="1"/>
  <c r="O216" i="13" s="1"/>
  <c r="O238" i="13" s="1"/>
  <c r="O260" i="13" s="1"/>
  <c r="O282" i="13" s="1"/>
  <c r="O304" i="13" s="1"/>
  <c r="O326" i="13" s="1"/>
  <c r="O348" i="13" s="1"/>
  <c r="O370" i="13" s="1"/>
  <c r="O392" i="13" s="1"/>
  <c r="K91" i="13"/>
  <c r="C71" i="13"/>
  <c r="C96" i="13"/>
  <c r="C94" i="13"/>
  <c r="C103" i="13"/>
  <c r="C102" i="13"/>
  <c r="C100" i="13"/>
  <c r="C98" i="13"/>
  <c r="C182" i="13"/>
  <c r="R182" i="13"/>
  <c r="N118" i="13"/>
  <c r="N143" i="13" s="1"/>
  <c r="N168" i="13" s="1"/>
  <c r="N193" i="13" s="1"/>
  <c r="N217" i="13" s="1"/>
  <c r="N239" i="13" s="1"/>
  <c r="N261" i="13" s="1"/>
  <c r="N283" i="13" s="1"/>
  <c r="N305" i="13" s="1"/>
  <c r="N327" i="13" s="1"/>
  <c r="N349" i="13" s="1"/>
  <c r="N371" i="13" s="1"/>
  <c r="N393" i="13" s="1"/>
  <c r="O118" i="13"/>
  <c r="O143" i="13" s="1"/>
  <c r="O168" i="13" s="1"/>
  <c r="O193" i="13" s="1"/>
  <c r="O217" i="13" s="1"/>
  <c r="O239" i="13" s="1"/>
  <c r="O261" i="13" s="1"/>
  <c r="O283" i="13" s="1"/>
  <c r="O305" i="13" s="1"/>
  <c r="O327" i="13" s="1"/>
  <c r="O349" i="13" s="1"/>
  <c r="O371" i="13" s="1"/>
  <c r="O393" i="13" s="1"/>
  <c r="N119" i="13"/>
  <c r="N144" i="13" s="1"/>
  <c r="N169" i="13" s="1"/>
  <c r="N194" i="13" s="1"/>
  <c r="N218" i="13" s="1"/>
  <c r="N240" i="13" s="1"/>
  <c r="N262" i="13" s="1"/>
  <c r="N284" i="13" s="1"/>
  <c r="N306" i="13" s="1"/>
  <c r="N328" i="13" s="1"/>
  <c r="N350" i="13" s="1"/>
  <c r="N372" i="13" s="1"/>
  <c r="N394" i="13" s="1"/>
  <c r="O119" i="13"/>
  <c r="O144" i="13" s="1"/>
  <c r="O169" i="13" s="1"/>
  <c r="O194" i="13" s="1"/>
  <c r="O218" i="13" s="1"/>
  <c r="O240" i="13" s="1"/>
  <c r="O262" i="13" s="1"/>
  <c r="O284" i="13" s="1"/>
  <c r="O306" i="13" s="1"/>
  <c r="O328" i="13" s="1"/>
  <c r="O350" i="13" s="1"/>
  <c r="O372" i="13" s="1"/>
  <c r="O394" i="13" s="1"/>
  <c r="N120" i="13"/>
  <c r="N145" i="13" s="1"/>
  <c r="N170" i="13" s="1"/>
  <c r="N195" i="13" s="1"/>
  <c r="N219" i="13" s="1"/>
  <c r="N241" i="13" s="1"/>
  <c r="N263" i="13" s="1"/>
  <c r="N285" i="13" s="1"/>
  <c r="N307" i="13" s="1"/>
  <c r="N329" i="13" s="1"/>
  <c r="N351" i="13" s="1"/>
  <c r="N373" i="13" s="1"/>
  <c r="N395" i="13" s="1"/>
  <c r="O120" i="13"/>
  <c r="O145" i="13" s="1"/>
  <c r="O170" i="13" s="1"/>
  <c r="O195" i="13" s="1"/>
  <c r="O219" i="13" s="1"/>
  <c r="O241" i="13" s="1"/>
  <c r="O263" i="13" s="1"/>
  <c r="O285" i="13" s="1"/>
  <c r="O307" i="13" s="1"/>
  <c r="O329" i="13" s="1"/>
  <c r="O351" i="13" s="1"/>
  <c r="O373" i="13" s="1"/>
  <c r="O395" i="13" s="1"/>
  <c r="N121" i="13"/>
  <c r="N146" i="13" s="1"/>
  <c r="N171" i="13" s="1"/>
  <c r="N196" i="13" s="1"/>
  <c r="N220" i="13" s="1"/>
  <c r="N242" i="13" s="1"/>
  <c r="N264" i="13" s="1"/>
  <c r="N286" i="13" s="1"/>
  <c r="N308" i="13" s="1"/>
  <c r="N330" i="13" s="1"/>
  <c r="N352" i="13" s="1"/>
  <c r="N374" i="13" s="1"/>
  <c r="N396" i="13" s="1"/>
  <c r="O121" i="13"/>
  <c r="O146" i="13" s="1"/>
  <c r="O171" i="13" s="1"/>
  <c r="O196" i="13" s="1"/>
  <c r="O220" i="13" s="1"/>
  <c r="O242" i="13" s="1"/>
  <c r="O264" i="13" s="1"/>
  <c r="O286" i="13" s="1"/>
  <c r="O308" i="13" s="1"/>
  <c r="O330" i="13" s="1"/>
  <c r="O352" i="13" s="1"/>
  <c r="O374" i="13" s="1"/>
  <c r="O396" i="13" s="1"/>
  <c r="N122" i="13"/>
  <c r="N147" i="13" s="1"/>
  <c r="N172" i="13" s="1"/>
  <c r="N197" i="13" s="1"/>
  <c r="N221" i="13" s="1"/>
  <c r="N243" i="13" s="1"/>
  <c r="N265" i="13" s="1"/>
  <c r="N287" i="13" s="1"/>
  <c r="N309" i="13" s="1"/>
  <c r="N331" i="13" s="1"/>
  <c r="N353" i="13" s="1"/>
  <c r="N375" i="13" s="1"/>
  <c r="N397" i="13" s="1"/>
  <c r="O122" i="13"/>
  <c r="O147" i="13" s="1"/>
  <c r="O172" i="13" s="1"/>
  <c r="O197" i="13" s="1"/>
  <c r="O221" i="13" s="1"/>
  <c r="O243" i="13" s="1"/>
  <c r="O265" i="13" s="1"/>
  <c r="O287" i="13" s="1"/>
  <c r="O309" i="13" s="1"/>
  <c r="O331" i="13" s="1"/>
  <c r="O353" i="13" s="1"/>
  <c r="O375" i="13" s="1"/>
  <c r="O397" i="13" s="1"/>
  <c r="N123" i="13"/>
  <c r="N148" i="13" s="1"/>
  <c r="N173" i="13" s="1"/>
  <c r="N198" i="13" s="1"/>
  <c r="N222" i="13" s="1"/>
  <c r="N244" i="13" s="1"/>
  <c r="N266" i="13" s="1"/>
  <c r="N288" i="13" s="1"/>
  <c r="N310" i="13" s="1"/>
  <c r="N332" i="13" s="1"/>
  <c r="N354" i="13" s="1"/>
  <c r="N376" i="13" s="1"/>
  <c r="N398" i="13" s="1"/>
  <c r="O123" i="13"/>
  <c r="O148" i="13" s="1"/>
  <c r="O173" i="13" s="1"/>
  <c r="O198" i="13" s="1"/>
  <c r="O222" i="13" s="1"/>
  <c r="O244" i="13" s="1"/>
  <c r="O266" i="13" s="1"/>
  <c r="O288" i="13" s="1"/>
  <c r="O310" i="13" s="1"/>
  <c r="O332" i="13" s="1"/>
  <c r="O354" i="13" s="1"/>
  <c r="O376" i="13" s="1"/>
  <c r="O398" i="13" s="1"/>
  <c r="N124" i="13"/>
  <c r="N149" i="13" s="1"/>
  <c r="N174" i="13" s="1"/>
  <c r="N199" i="13" s="1"/>
  <c r="N223" i="13" s="1"/>
  <c r="N245" i="13" s="1"/>
  <c r="N267" i="13" s="1"/>
  <c r="N289" i="13" s="1"/>
  <c r="N311" i="13" s="1"/>
  <c r="N333" i="13" s="1"/>
  <c r="N355" i="13" s="1"/>
  <c r="N377" i="13" s="1"/>
  <c r="N399" i="13" s="1"/>
  <c r="O124" i="13"/>
  <c r="O149" i="13" s="1"/>
  <c r="O174" i="13" s="1"/>
  <c r="O199" i="13" s="1"/>
  <c r="O223" i="13" s="1"/>
  <c r="O245" i="13" s="1"/>
  <c r="O267" i="13" s="1"/>
  <c r="O289" i="13" s="1"/>
  <c r="O311" i="13" s="1"/>
  <c r="O333" i="13" s="1"/>
  <c r="O355" i="13" s="1"/>
  <c r="O377" i="13" s="1"/>
  <c r="O399" i="13" s="1"/>
  <c r="N125" i="13"/>
  <c r="N150" i="13" s="1"/>
  <c r="N175" i="13" s="1"/>
  <c r="N200" i="13" s="1"/>
  <c r="N224" i="13" s="1"/>
  <c r="N246" i="13" s="1"/>
  <c r="N268" i="13" s="1"/>
  <c r="N290" i="13" s="1"/>
  <c r="N312" i="13" s="1"/>
  <c r="N334" i="13" s="1"/>
  <c r="N356" i="13" s="1"/>
  <c r="N378" i="13" s="1"/>
  <c r="N400" i="13" s="1"/>
  <c r="O125" i="13"/>
  <c r="O150" i="13" s="1"/>
  <c r="O175" i="13" s="1"/>
  <c r="O200" i="13" s="1"/>
  <c r="O224" i="13" s="1"/>
  <c r="O246" i="13" s="1"/>
  <c r="O268" i="13" s="1"/>
  <c r="O290" i="13" s="1"/>
  <c r="O312" i="13" s="1"/>
  <c r="O334" i="13" s="1"/>
  <c r="O356" i="13" s="1"/>
  <c r="O378" i="13" s="1"/>
  <c r="O400" i="13" s="1"/>
  <c r="N126" i="13"/>
  <c r="N151" i="13" s="1"/>
  <c r="N176" i="13" s="1"/>
  <c r="N201" i="13" s="1"/>
  <c r="N225" i="13" s="1"/>
  <c r="N247" i="13" s="1"/>
  <c r="N269" i="13" s="1"/>
  <c r="N291" i="13" s="1"/>
  <c r="N313" i="13" s="1"/>
  <c r="N335" i="13" s="1"/>
  <c r="N357" i="13" s="1"/>
  <c r="N379" i="13" s="1"/>
  <c r="N401" i="13" s="1"/>
  <c r="O126" i="13"/>
  <c r="O151" i="13" s="1"/>
  <c r="O176" i="13" s="1"/>
  <c r="O201" i="13" s="1"/>
  <c r="O225" i="13" s="1"/>
  <c r="O247" i="13" s="1"/>
  <c r="O269" i="13" s="1"/>
  <c r="O291" i="13" s="1"/>
  <c r="O313" i="13" s="1"/>
  <c r="O335" i="13" s="1"/>
  <c r="O357" i="13" s="1"/>
  <c r="O379" i="13" s="1"/>
  <c r="O401" i="13" s="1"/>
  <c r="N117" i="13"/>
  <c r="N142" i="13" s="1"/>
  <c r="N167" i="13" s="1"/>
  <c r="N192" i="13" s="1"/>
  <c r="N216" i="13" s="1"/>
  <c r="N238" i="13" s="1"/>
  <c r="N260" i="13" s="1"/>
  <c r="N282" i="13" s="1"/>
  <c r="N304" i="13" s="1"/>
  <c r="N326" i="13" s="1"/>
  <c r="N348" i="13" s="1"/>
  <c r="N370" i="13" s="1"/>
  <c r="N392" i="13" s="1"/>
  <c r="B142" i="13"/>
  <c r="B167" i="13"/>
  <c r="B170" i="13"/>
  <c r="B145" i="13"/>
  <c r="B120" i="13"/>
  <c r="C58" i="13"/>
  <c r="C49" i="13"/>
  <c r="C60" i="13"/>
  <c r="C56" i="13"/>
  <c r="C54" i="13"/>
  <c r="C51" i="13"/>
  <c r="C47" i="13"/>
  <c r="C45" i="13"/>
  <c r="B117" i="13"/>
  <c r="B94" i="13"/>
  <c r="B91" i="13"/>
  <c r="B69" i="13"/>
  <c r="C132" i="13"/>
  <c r="C81" i="13"/>
  <c r="B71" i="13"/>
  <c r="C89" i="13" s="1"/>
  <c r="C78" i="13"/>
  <c r="K66" i="13"/>
  <c r="N73" i="13"/>
  <c r="O73" i="13"/>
  <c r="N74" i="13"/>
  <c r="O74" i="13"/>
  <c r="N75" i="13"/>
  <c r="O75" i="13"/>
  <c r="B66" i="13"/>
  <c r="C68" i="13" s="1"/>
  <c r="C390" i="13"/>
  <c r="C346" i="13"/>
  <c r="C324" i="13"/>
  <c r="C302" i="13"/>
  <c r="C280" i="13"/>
  <c r="C258" i="13"/>
  <c r="C12" i="13"/>
  <c r="B39" i="13"/>
  <c r="C40" i="13" s="1"/>
  <c r="B30" i="13"/>
  <c r="B20" i="13"/>
  <c r="C22" i="13" s="1"/>
  <c r="C2622" i="13"/>
  <c r="C2616" i="13"/>
  <c r="C2486" i="13"/>
  <c r="C2480" i="13"/>
  <c r="C2350" i="13"/>
  <c r="C2344" i="13"/>
  <c r="C2214" i="13"/>
  <c r="C2208" i="13"/>
  <c r="C2078" i="13"/>
  <c r="C2072" i="13"/>
  <c r="C1942" i="13"/>
  <c r="C1936" i="13"/>
  <c r="C1806" i="13"/>
  <c r="C1800" i="13"/>
  <c r="C1670" i="13"/>
  <c r="C1664" i="13"/>
  <c r="C1262" i="13"/>
  <c r="C1256" i="13"/>
  <c r="C1126" i="13"/>
  <c r="C1120" i="13"/>
  <c r="R435" i="13"/>
  <c r="C435" i="13"/>
  <c r="R433" i="13"/>
  <c r="C433" i="13"/>
  <c r="R431" i="13"/>
  <c r="C431" i="13"/>
  <c r="R429" i="13"/>
  <c r="C429" i="13"/>
  <c r="R427" i="13"/>
  <c r="C427" i="13"/>
  <c r="R425" i="13"/>
  <c r="C425" i="13"/>
  <c r="R422" i="13"/>
  <c r="C422" i="13"/>
  <c r="R420" i="13"/>
  <c r="C420" i="13"/>
  <c r="R416" i="13"/>
  <c r="C416" i="13"/>
  <c r="R414" i="13"/>
  <c r="C414" i="13"/>
  <c r="R413" i="13"/>
  <c r="C413" i="13"/>
  <c r="R412" i="13"/>
  <c r="R400" i="13"/>
  <c r="Q395" i="13"/>
  <c r="R408" i="13" s="1"/>
  <c r="B395" i="13"/>
  <c r="C408" i="13" s="1"/>
  <c r="R394" i="13"/>
  <c r="R392" i="13"/>
  <c r="C392" i="13"/>
  <c r="C391" i="13"/>
  <c r="C386" i="13"/>
  <c r="C378" i="13"/>
  <c r="B373" i="13"/>
  <c r="C382" i="13" s="1"/>
  <c r="C369" i="13"/>
  <c r="C368" i="13"/>
  <c r="C364" i="13"/>
  <c r="C356" i="13"/>
  <c r="B351" i="13"/>
  <c r="C360" i="13" s="1"/>
  <c r="R347" i="13"/>
  <c r="C347" i="13"/>
  <c r="R346" i="13"/>
  <c r="R342" i="13"/>
  <c r="C342" i="13"/>
  <c r="R334" i="13"/>
  <c r="C334" i="13"/>
  <c r="Q329" i="13"/>
  <c r="R338" i="13" s="1"/>
  <c r="B329" i="13"/>
  <c r="C338" i="13" s="1"/>
  <c r="C325" i="13"/>
  <c r="C320" i="13"/>
  <c r="C312" i="13"/>
  <c r="B307" i="13"/>
  <c r="C316" i="13" s="1"/>
  <c r="R303" i="13"/>
  <c r="C303" i="13"/>
  <c r="R302" i="13"/>
  <c r="R298" i="13"/>
  <c r="C298" i="13"/>
  <c r="R290" i="13"/>
  <c r="C290" i="13"/>
  <c r="Q285" i="13"/>
  <c r="R294" i="13" s="1"/>
  <c r="B285" i="13"/>
  <c r="C294" i="13" s="1"/>
  <c r="C281" i="13"/>
  <c r="C276" i="13"/>
  <c r="C268" i="13"/>
  <c r="B263" i="13"/>
  <c r="C272" i="13" s="1"/>
  <c r="C259" i="13"/>
  <c r="C254" i="13"/>
  <c r="C246" i="13"/>
  <c r="B241" i="13"/>
  <c r="C250" i="13" s="1"/>
  <c r="R191" i="13"/>
  <c r="C191" i="13"/>
  <c r="R186" i="13"/>
  <c r="C186" i="13"/>
  <c r="R175" i="13"/>
  <c r="Q167" i="13"/>
  <c r="R167" i="13" s="1"/>
  <c r="R166" i="13"/>
  <c r="C166" i="13"/>
  <c r="R161" i="13"/>
  <c r="C161" i="13"/>
  <c r="R150" i="13"/>
  <c r="Q147" i="13"/>
  <c r="R165" i="13" s="1"/>
  <c r="C165" i="13"/>
  <c r="Q145" i="13"/>
  <c r="R157" i="13" s="1"/>
  <c r="C157" i="13"/>
  <c r="Q142" i="13"/>
  <c r="R142" i="13" s="1"/>
  <c r="R141" i="13"/>
  <c r="C141" i="13"/>
  <c r="R136" i="13"/>
  <c r="C136" i="13"/>
  <c r="AB126" i="13"/>
  <c r="AB151" i="13" s="1"/>
  <c r="AA126" i="13"/>
  <c r="AA151" i="13" s="1"/>
  <c r="Z126" i="13"/>
  <c r="Z151" i="13" s="1"/>
  <c r="Z176" i="13" s="1"/>
  <c r="Z225" i="13" s="1"/>
  <c r="Y126" i="13"/>
  <c r="Y151" i="13" s="1"/>
  <c r="M126" i="13"/>
  <c r="M151" i="13" s="1"/>
  <c r="L126" i="13"/>
  <c r="L151" i="13" s="1"/>
  <c r="K126" i="13"/>
  <c r="K151" i="13" s="1"/>
  <c r="K176" i="13" s="1"/>
  <c r="K225" i="13" s="1"/>
  <c r="J126" i="13"/>
  <c r="J151" i="13" s="1"/>
  <c r="AB125" i="13"/>
  <c r="AB150" i="13" s="1"/>
  <c r="AA125" i="13"/>
  <c r="AA150" i="13" s="1"/>
  <c r="Z125" i="13"/>
  <c r="Z150" i="13" s="1"/>
  <c r="Z175" i="13" s="1"/>
  <c r="Z224" i="13" s="1"/>
  <c r="Y125" i="13"/>
  <c r="Y150" i="13" s="1"/>
  <c r="R125" i="13"/>
  <c r="M125" i="13"/>
  <c r="M150" i="13" s="1"/>
  <c r="M175" i="13" s="1"/>
  <c r="M224" i="13" s="1"/>
  <c r="L125" i="13"/>
  <c r="L150" i="13" s="1"/>
  <c r="L200" i="13" s="1"/>
  <c r="L246" i="13" s="1"/>
  <c r="K125" i="13"/>
  <c r="K150" i="13" s="1"/>
  <c r="K175" i="13" s="1"/>
  <c r="K224" i="13" s="1"/>
  <c r="J125" i="13"/>
  <c r="J150" i="13" s="1"/>
  <c r="AB124" i="13"/>
  <c r="AB149" i="13" s="1"/>
  <c r="AA124" i="13"/>
  <c r="Q172" i="13" s="1"/>
  <c r="R190" i="13" s="1"/>
  <c r="Z124" i="13"/>
  <c r="Z149" i="13" s="1"/>
  <c r="Z199" i="13" s="1"/>
  <c r="Z245" i="13" s="1"/>
  <c r="Y124" i="13"/>
  <c r="Y149" i="13" s="1"/>
  <c r="Y174" i="13" s="1"/>
  <c r="Y223" i="13" s="1"/>
  <c r="M124" i="13"/>
  <c r="M149" i="13" s="1"/>
  <c r="L124" i="13"/>
  <c r="L149" i="13" s="1"/>
  <c r="L174" i="13" s="1"/>
  <c r="L223" i="13" s="1"/>
  <c r="K124" i="13"/>
  <c r="K149" i="13" s="1"/>
  <c r="J124" i="13"/>
  <c r="J149" i="13" s="1"/>
  <c r="Y123" i="13"/>
  <c r="Y148" i="13" s="1"/>
  <c r="J123" i="13"/>
  <c r="J148" i="13" s="1"/>
  <c r="Y122" i="13"/>
  <c r="Y147" i="13" s="1"/>
  <c r="Q122" i="13"/>
  <c r="R140" i="13" s="1"/>
  <c r="J122" i="13"/>
  <c r="J147" i="13" s="1"/>
  <c r="C140" i="13"/>
  <c r="Y121" i="13"/>
  <c r="Y146" i="13" s="1"/>
  <c r="J121" i="13"/>
  <c r="J146" i="13" s="1"/>
  <c r="Y120" i="13"/>
  <c r="Y145" i="13" s="1"/>
  <c r="Q120" i="13"/>
  <c r="R132" i="13" s="1"/>
  <c r="J120" i="13"/>
  <c r="J145" i="13" s="1"/>
  <c r="Y119" i="13"/>
  <c r="Y144" i="13" s="1"/>
  <c r="J119" i="13"/>
  <c r="J144" i="13" s="1"/>
  <c r="J194" i="13" s="1"/>
  <c r="J240" i="13" s="1"/>
  <c r="Q117" i="13"/>
  <c r="C117" i="13"/>
  <c r="AB116" i="13"/>
  <c r="AB141" i="13" s="1"/>
  <c r="AB166" i="13" s="1"/>
  <c r="AA116" i="13"/>
  <c r="AA141" i="13" s="1"/>
  <c r="AA166" i="13" s="1"/>
  <c r="Z116" i="13"/>
  <c r="Z141" i="13" s="1"/>
  <c r="Z166" i="13" s="1"/>
  <c r="R116" i="13"/>
  <c r="M116" i="13"/>
  <c r="M141" i="13" s="1"/>
  <c r="M166" i="13" s="1"/>
  <c r="L116" i="13"/>
  <c r="L141" i="13" s="1"/>
  <c r="L166" i="13" s="1"/>
  <c r="L191" i="13" s="1"/>
  <c r="L237" i="13" s="1"/>
  <c r="K116" i="13"/>
  <c r="K141" i="13" s="1"/>
  <c r="K166" i="13" s="1"/>
  <c r="C116" i="13"/>
  <c r="R111" i="13"/>
  <c r="C111" i="13"/>
  <c r="R99" i="13"/>
  <c r="Q96" i="13"/>
  <c r="R115" i="13" s="1"/>
  <c r="C115" i="13"/>
  <c r="AB94" i="13"/>
  <c r="AB120" i="13" s="1"/>
  <c r="AB145" i="13" s="1"/>
  <c r="AA94" i="13"/>
  <c r="AA120" i="13" s="1"/>
  <c r="AA145" i="13" s="1"/>
  <c r="Z94" i="13"/>
  <c r="Z120" i="13" s="1"/>
  <c r="Z145" i="13" s="1"/>
  <c r="Q94" i="13"/>
  <c r="R107" i="13" s="1"/>
  <c r="M120" i="13"/>
  <c r="M145" i="13" s="1"/>
  <c r="M195" i="13" s="1"/>
  <c r="M241" i="13" s="1"/>
  <c r="L120" i="13"/>
  <c r="L145" i="13" s="1"/>
  <c r="K120" i="13"/>
  <c r="K145" i="13" s="1"/>
  <c r="C107" i="13"/>
  <c r="AB93" i="13"/>
  <c r="AB119" i="13" s="1"/>
  <c r="AB144" i="13" s="1"/>
  <c r="AA93" i="13"/>
  <c r="AA119" i="13" s="1"/>
  <c r="AA144" i="13" s="1"/>
  <c r="Z93" i="13"/>
  <c r="Z119" i="13" s="1"/>
  <c r="M119" i="13"/>
  <c r="M144" i="13" s="1"/>
  <c r="M169" i="13" s="1"/>
  <c r="M218" i="13" s="1"/>
  <c r="L119" i="13"/>
  <c r="L144" i="13" s="1"/>
  <c r="K119" i="13"/>
  <c r="AB92" i="13"/>
  <c r="AB97" i="13" s="1"/>
  <c r="AB123" i="13" s="1"/>
  <c r="AB148" i="13" s="1"/>
  <c r="AA92" i="13"/>
  <c r="Z92" i="13"/>
  <c r="Z118" i="13" s="1"/>
  <c r="Z143" i="13" s="1"/>
  <c r="L118" i="13"/>
  <c r="L143" i="13" s="1"/>
  <c r="AB91" i="13"/>
  <c r="AB117" i="13" s="1"/>
  <c r="AB142" i="13" s="1"/>
  <c r="AA91" i="13"/>
  <c r="AA117" i="13" s="1"/>
  <c r="AA142" i="13" s="1"/>
  <c r="Z91" i="13"/>
  <c r="Z117" i="13" s="1"/>
  <c r="Z142" i="13" s="1"/>
  <c r="Q91" i="13"/>
  <c r="M117" i="13"/>
  <c r="M142" i="13" s="1"/>
  <c r="L117" i="13"/>
  <c r="L142" i="13" s="1"/>
  <c r="K117" i="13"/>
  <c r="K142" i="13" s="1"/>
  <c r="C91" i="13"/>
  <c r="AB90" i="13"/>
  <c r="AA90" i="13"/>
  <c r="Z90" i="13"/>
  <c r="R90" i="13"/>
  <c r="M90" i="13"/>
  <c r="L90" i="13"/>
  <c r="K90" i="13"/>
  <c r="J90" i="13"/>
  <c r="C90" i="13"/>
  <c r="R85" i="13"/>
  <c r="C85" i="13"/>
  <c r="R74" i="13"/>
  <c r="R73" i="13"/>
  <c r="Q71" i="13"/>
  <c r="Q170" i="13" s="1"/>
  <c r="AA69" i="13"/>
  <c r="O69" i="13" s="1"/>
  <c r="Z69" i="13"/>
  <c r="N69" i="13" s="1"/>
  <c r="Q69" i="13"/>
  <c r="R81" i="13" s="1"/>
  <c r="M69" i="13"/>
  <c r="L69" i="13"/>
  <c r="K69" i="13"/>
  <c r="AA68" i="13"/>
  <c r="O68" i="13" s="1"/>
  <c r="Z68" i="13"/>
  <c r="N68" i="13" s="1"/>
  <c r="M68" i="13"/>
  <c r="L68" i="13"/>
  <c r="K68" i="13"/>
  <c r="AA67" i="13"/>
  <c r="Z67" i="13"/>
  <c r="N67" i="13" s="1"/>
  <c r="M67" i="13"/>
  <c r="L67" i="13"/>
  <c r="K67" i="13"/>
  <c r="AA66" i="13"/>
  <c r="O66" i="13" s="1"/>
  <c r="Z66" i="13"/>
  <c r="N66" i="13" s="1"/>
  <c r="Q66" i="13"/>
  <c r="R68" i="13" s="1"/>
  <c r="M66" i="13"/>
  <c r="L66" i="13"/>
  <c r="C42" i="13"/>
  <c r="C38" i="13"/>
  <c r="C36" i="13"/>
  <c r="R33" i="13"/>
  <c r="C33" i="13"/>
  <c r="R31" i="13"/>
  <c r="C31" i="13"/>
  <c r="R29" i="13"/>
  <c r="C29" i="13"/>
  <c r="R27" i="13"/>
  <c r="C27" i="13"/>
  <c r="R24" i="13"/>
  <c r="C24" i="13"/>
  <c r="R22" i="13"/>
  <c r="R20" i="13"/>
  <c r="C20" i="13"/>
  <c r="R18" i="13"/>
  <c r="C18" i="13"/>
  <c r="C16" i="13"/>
  <c r="C14" i="13"/>
  <c r="C8" i="13"/>
  <c r="C6" i="13"/>
  <c r="C4" i="13"/>
  <c r="C2" i="13"/>
  <c r="AA72" i="13" l="1"/>
  <c r="O72" i="13" s="1"/>
  <c r="O67" i="13"/>
  <c r="L215" i="13"/>
  <c r="L391" i="13" s="1"/>
  <c r="L71" i="13"/>
  <c r="K71" i="13"/>
  <c r="C69" i="13" s="1"/>
  <c r="R169" i="13"/>
  <c r="Z71" i="13"/>
  <c r="Z72" i="13"/>
  <c r="N72" i="13" s="1"/>
  <c r="Z70" i="13"/>
  <c r="M72" i="13"/>
  <c r="M71" i="13"/>
  <c r="K72" i="13"/>
  <c r="R144" i="13"/>
  <c r="B370" i="13"/>
  <c r="C372" i="13" s="1"/>
  <c r="B260" i="13"/>
  <c r="C260" i="13" s="1"/>
  <c r="C142" i="13"/>
  <c r="C167" i="13"/>
  <c r="C66" i="13"/>
  <c r="L192" i="13"/>
  <c r="L238" i="13" s="1"/>
  <c r="L167" i="13"/>
  <c r="L216" i="13" s="1"/>
  <c r="L194" i="13"/>
  <c r="L240" i="13" s="1"/>
  <c r="L169" i="13"/>
  <c r="L218" i="13" s="1"/>
  <c r="K170" i="13"/>
  <c r="K219" i="13" s="1"/>
  <c r="K195" i="13"/>
  <c r="K241" i="13" s="1"/>
  <c r="AB195" i="13"/>
  <c r="AB241" i="13" s="1"/>
  <c r="AB170" i="13"/>
  <c r="AB219" i="13" s="1"/>
  <c r="AB199" i="13"/>
  <c r="AB245" i="13" s="1"/>
  <c r="AB174" i="13"/>
  <c r="AB223" i="13" s="1"/>
  <c r="J200" i="13"/>
  <c r="J246" i="13" s="1"/>
  <c r="J175" i="13"/>
  <c r="J224" i="13" s="1"/>
  <c r="AB200" i="13"/>
  <c r="AB246" i="13" s="1"/>
  <c r="AB175" i="13"/>
  <c r="AB224" i="13" s="1"/>
  <c r="M201" i="13"/>
  <c r="M247" i="13" s="1"/>
  <c r="M176" i="13"/>
  <c r="M225" i="13" s="1"/>
  <c r="AB201" i="13"/>
  <c r="AB247" i="13" s="1"/>
  <c r="AB176" i="13"/>
  <c r="AB225" i="13" s="1"/>
  <c r="R69" i="13"/>
  <c r="Z192" i="13"/>
  <c r="Z238" i="13" s="1"/>
  <c r="Z167" i="13"/>
  <c r="Z216" i="13" s="1"/>
  <c r="AB192" i="13"/>
  <c r="AB238" i="13" s="1"/>
  <c r="AB167" i="13"/>
  <c r="AB216" i="13" s="1"/>
  <c r="Z193" i="13"/>
  <c r="Z239" i="13" s="1"/>
  <c r="Z168" i="13"/>
  <c r="Z217" i="13" s="1"/>
  <c r="AB173" i="13"/>
  <c r="AB222" i="13" s="1"/>
  <c r="AB198" i="13"/>
  <c r="AB244" i="13" s="1"/>
  <c r="Q415" i="13"/>
  <c r="Z144" i="13"/>
  <c r="AB194" i="13"/>
  <c r="AB240" i="13" s="1"/>
  <c r="AB169" i="13"/>
  <c r="AB218" i="13" s="1"/>
  <c r="Z195" i="13"/>
  <c r="Z241" i="13" s="1"/>
  <c r="Z170" i="13"/>
  <c r="Z219" i="13" s="1"/>
  <c r="K215" i="13"/>
  <c r="K191" i="13"/>
  <c r="K237" i="13" s="1"/>
  <c r="M215" i="13"/>
  <c r="M191" i="13"/>
  <c r="M237" i="13" s="1"/>
  <c r="Z215" i="13"/>
  <c r="Z191" i="13"/>
  <c r="Z237" i="13" s="1"/>
  <c r="AB215" i="13"/>
  <c r="AB191" i="13"/>
  <c r="AB237" i="13" s="1"/>
  <c r="J199" i="13"/>
  <c r="J245" i="13" s="1"/>
  <c r="J174" i="13"/>
  <c r="J223" i="13" s="1"/>
  <c r="M395" i="13"/>
  <c r="M263" i="13"/>
  <c r="M285" i="13" s="1"/>
  <c r="M307" i="13" s="1"/>
  <c r="M329" i="13" s="1"/>
  <c r="M351" i="13" s="1"/>
  <c r="M373" i="13" s="1"/>
  <c r="R93" i="13"/>
  <c r="Q282" i="13"/>
  <c r="L70" i="13"/>
  <c r="AA71" i="13"/>
  <c r="L72" i="13"/>
  <c r="M123" i="13"/>
  <c r="M148" i="13" s="1"/>
  <c r="M121" i="13"/>
  <c r="M146" i="13" s="1"/>
  <c r="L195" i="13"/>
  <c r="L241" i="13" s="1"/>
  <c r="L170" i="13"/>
  <c r="L219" i="13" s="1"/>
  <c r="AA195" i="13"/>
  <c r="AA241" i="13" s="1"/>
  <c r="AA170" i="13"/>
  <c r="AA219" i="13" s="1"/>
  <c r="L121" i="13"/>
  <c r="L146" i="13" s="1"/>
  <c r="AB95" i="13"/>
  <c r="AB121" i="13" s="1"/>
  <c r="AB146" i="13" s="1"/>
  <c r="AB96" i="13"/>
  <c r="Z97" i="13"/>
  <c r="Q326" i="13"/>
  <c r="R117" i="13"/>
  <c r="M118" i="13"/>
  <c r="M143" i="13" s="1"/>
  <c r="AB118" i="13"/>
  <c r="AB143" i="13" s="1"/>
  <c r="Y194" i="13"/>
  <c r="Y240" i="13" s="1"/>
  <c r="Y169" i="13"/>
  <c r="Y218" i="13" s="1"/>
  <c r="Y195" i="13"/>
  <c r="Y241" i="13" s="1"/>
  <c r="Y170" i="13"/>
  <c r="Y219" i="13" s="1"/>
  <c r="Y196" i="13"/>
  <c r="Y242" i="13" s="1"/>
  <c r="Y171" i="13"/>
  <c r="Y220" i="13" s="1"/>
  <c r="Y197" i="13"/>
  <c r="Y243" i="13" s="1"/>
  <c r="Y172" i="13"/>
  <c r="Y221" i="13" s="1"/>
  <c r="Y198" i="13"/>
  <c r="Y244" i="13" s="1"/>
  <c r="Y173" i="13"/>
  <c r="Y222" i="13" s="1"/>
  <c r="K199" i="13"/>
  <c r="K245" i="13" s="1"/>
  <c r="K174" i="13"/>
  <c r="K223" i="13" s="1"/>
  <c r="M199" i="13"/>
  <c r="M174" i="13"/>
  <c r="M223" i="13" s="1"/>
  <c r="Y200" i="13"/>
  <c r="Y246" i="13" s="1"/>
  <c r="Y175" i="13"/>
  <c r="Y224" i="13" s="1"/>
  <c r="AA200" i="13"/>
  <c r="AA246" i="13" s="1"/>
  <c r="AA175" i="13"/>
  <c r="AA224" i="13" s="1"/>
  <c r="J201" i="13"/>
  <c r="J247" i="13" s="1"/>
  <c r="J176" i="13"/>
  <c r="J225" i="13" s="1"/>
  <c r="L201" i="13"/>
  <c r="L247" i="13" s="1"/>
  <c r="L176" i="13"/>
  <c r="L225" i="13" s="1"/>
  <c r="Y201" i="13"/>
  <c r="Y247" i="13" s="1"/>
  <c r="Y176" i="13"/>
  <c r="Y225" i="13" s="1"/>
  <c r="AA201" i="13"/>
  <c r="AA247" i="13" s="1"/>
  <c r="AA176" i="13"/>
  <c r="AA225" i="13" s="1"/>
  <c r="J394" i="13"/>
  <c r="J262" i="13"/>
  <c r="J284" i="13" s="1"/>
  <c r="J306" i="13" s="1"/>
  <c r="J328" i="13" s="1"/>
  <c r="J350" i="13" s="1"/>
  <c r="J372" i="13" s="1"/>
  <c r="Z399" i="13"/>
  <c r="Z267" i="13"/>
  <c r="Z289" i="13" s="1"/>
  <c r="Z311" i="13" s="1"/>
  <c r="Z333" i="13" s="1"/>
  <c r="Z355" i="13" s="1"/>
  <c r="Z377" i="13" s="1"/>
  <c r="L400" i="13"/>
  <c r="L268" i="13"/>
  <c r="L290" i="13" s="1"/>
  <c r="L312" i="13" s="1"/>
  <c r="L334" i="13" s="1"/>
  <c r="L356" i="13" s="1"/>
  <c r="L378" i="13" s="1"/>
  <c r="J169" i="13"/>
  <c r="J218" i="13" s="1"/>
  <c r="M170" i="13"/>
  <c r="M219" i="13" s="1"/>
  <c r="L199" i="13"/>
  <c r="L245" i="13" s="1"/>
  <c r="K200" i="13"/>
  <c r="K246" i="13" s="1"/>
  <c r="Z200" i="13"/>
  <c r="Z246" i="13" s="1"/>
  <c r="K201" i="13"/>
  <c r="K247" i="13" s="1"/>
  <c r="Z201" i="13"/>
  <c r="Z247" i="13" s="1"/>
  <c r="L259" i="13"/>
  <c r="L281" i="13" s="1"/>
  <c r="L303" i="13" s="1"/>
  <c r="L325" i="13" s="1"/>
  <c r="L347" i="13" s="1"/>
  <c r="L369" i="13" s="1"/>
  <c r="R66" i="13"/>
  <c r="K70" i="13"/>
  <c r="M70" i="13"/>
  <c r="AA70" i="13"/>
  <c r="O70" i="13" s="1"/>
  <c r="C77" i="13" s="1"/>
  <c r="R89" i="13"/>
  <c r="B304" i="13"/>
  <c r="B282" i="13"/>
  <c r="B238" i="13"/>
  <c r="C93" i="13"/>
  <c r="K192" i="13"/>
  <c r="K238" i="13" s="1"/>
  <c r="K167" i="13"/>
  <c r="K216" i="13" s="1"/>
  <c r="M192" i="13"/>
  <c r="M238" i="13" s="1"/>
  <c r="M167" i="13"/>
  <c r="M216" i="13" s="1"/>
  <c r="R91" i="13"/>
  <c r="AA192" i="13"/>
  <c r="AA238" i="13" s="1"/>
  <c r="AA167" i="13"/>
  <c r="AA216" i="13" s="1"/>
  <c r="L193" i="13"/>
  <c r="L239" i="13" s="1"/>
  <c r="L168" i="13"/>
  <c r="L217" i="13" s="1"/>
  <c r="AA118" i="13"/>
  <c r="AA143" i="13" s="1"/>
  <c r="AA97" i="13"/>
  <c r="AA96" i="13"/>
  <c r="AA95" i="13"/>
  <c r="AA121" i="13" s="1"/>
  <c r="AA146" i="13" s="1"/>
  <c r="B415" i="13"/>
  <c r="K144" i="13"/>
  <c r="AA194" i="13"/>
  <c r="AA240" i="13" s="1"/>
  <c r="AA169" i="13"/>
  <c r="AA218" i="13" s="1"/>
  <c r="Z95" i="13"/>
  <c r="Z121" i="13" s="1"/>
  <c r="Z146" i="13" s="1"/>
  <c r="Z96" i="13"/>
  <c r="Z122" i="13" s="1"/>
  <c r="Z147" i="13" s="1"/>
  <c r="AA215" i="13"/>
  <c r="AA191" i="13"/>
  <c r="AA237" i="13" s="1"/>
  <c r="K118" i="13"/>
  <c r="K143" i="13" s="1"/>
  <c r="R119" i="13"/>
  <c r="J195" i="13"/>
  <c r="J241" i="13" s="1"/>
  <c r="J170" i="13"/>
  <c r="J219" i="13" s="1"/>
  <c r="J196" i="13"/>
  <c r="J242" i="13" s="1"/>
  <c r="J171" i="13"/>
  <c r="J220" i="13" s="1"/>
  <c r="J197" i="13"/>
  <c r="J243" i="13" s="1"/>
  <c r="J172" i="13"/>
  <c r="J221" i="13" s="1"/>
  <c r="J198" i="13"/>
  <c r="J244" i="13" s="1"/>
  <c r="J173" i="13"/>
  <c r="J222" i="13" s="1"/>
  <c r="Z174" i="13"/>
  <c r="Z223" i="13" s="1"/>
  <c r="L175" i="13"/>
  <c r="M194" i="13"/>
  <c r="M240" i="13" s="1"/>
  <c r="Y199" i="13"/>
  <c r="Y245" i="13" s="1"/>
  <c r="M200" i="13"/>
  <c r="M246" i="13" s="1"/>
  <c r="B348" i="13"/>
  <c r="B326" i="13"/>
  <c r="C119" i="13"/>
  <c r="C144" i="13"/>
  <c r="AA149" i="13"/>
  <c r="B52" i="12"/>
  <c r="B30" i="12"/>
  <c r="C2297" i="12"/>
  <c r="C2291" i="12"/>
  <c r="C2161" i="12"/>
  <c r="C2155" i="12"/>
  <c r="C2025" i="12"/>
  <c r="C2019" i="12"/>
  <c r="C1889" i="12"/>
  <c r="C1883" i="12"/>
  <c r="C1753" i="12"/>
  <c r="C1747" i="12"/>
  <c r="C1617" i="12"/>
  <c r="C1611" i="12"/>
  <c r="C1481" i="12"/>
  <c r="C1475" i="12"/>
  <c r="C1345" i="12"/>
  <c r="C1339" i="12"/>
  <c r="C937" i="12"/>
  <c r="C931" i="12"/>
  <c r="C801" i="12"/>
  <c r="C795" i="12"/>
  <c r="C110" i="12"/>
  <c r="C108" i="12"/>
  <c r="C106" i="12"/>
  <c r="C104" i="12"/>
  <c r="C102" i="12"/>
  <c r="C100" i="12"/>
  <c r="C97" i="12"/>
  <c r="C96" i="12"/>
  <c r="C92" i="12"/>
  <c r="C88" i="12"/>
  <c r="C86" i="12"/>
  <c r="C84" i="12"/>
  <c r="C83" i="12"/>
  <c r="K80" i="12"/>
  <c r="J80" i="12"/>
  <c r="K79" i="12"/>
  <c r="J79" i="12"/>
  <c r="K78" i="12"/>
  <c r="J78" i="12"/>
  <c r="J77" i="12"/>
  <c r="J76" i="12"/>
  <c r="J75" i="12"/>
  <c r="C75" i="12"/>
  <c r="J74" i="12"/>
  <c r="B74" i="12"/>
  <c r="C79" i="12" s="1"/>
  <c r="J73" i="12"/>
  <c r="C73" i="12"/>
  <c r="C71" i="12"/>
  <c r="C69" i="12"/>
  <c r="C64" i="12"/>
  <c r="M61" i="12"/>
  <c r="L61" i="12"/>
  <c r="K61" i="12"/>
  <c r="J61" i="12"/>
  <c r="M60" i="12"/>
  <c r="L60" i="12"/>
  <c r="K60" i="12"/>
  <c r="J60" i="12"/>
  <c r="M59" i="12"/>
  <c r="L59" i="12"/>
  <c r="K59" i="12"/>
  <c r="J59" i="12"/>
  <c r="M58" i="12"/>
  <c r="L58" i="12"/>
  <c r="J58" i="12"/>
  <c r="M57" i="12"/>
  <c r="L57" i="12"/>
  <c r="J57" i="12"/>
  <c r="B57" i="12"/>
  <c r="C68" i="12" s="1"/>
  <c r="M56" i="12"/>
  <c r="L56" i="12"/>
  <c r="J56" i="12"/>
  <c r="C56" i="12"/>
  <c r="M55" i="12"/>
  <c r="L55" i="12"/>
  <c r="K55" i="12"/>
  <c r="J55" i="12"/>
  <c r="B55" i="12"/>
  <c r="C60" i="12" s="1"/>
  <c r="M54" i="12"/>
  <c r="L54" i="12"/>
  <c r="J54" i="12"/>
  <c r="M53" i="12"/>
  <c r="L53" i="12"/>
  <c r="M52" i="12"/>
  <c r="L52" i="12"/>
  <c r="C54" i="12"/>
  <c r="M51" i="12"/>
  <c r="L51" i="12"/>
  <c r="K51" i="12"/>
  <c r="K70" i="12" s="1"/>
  <c r="C51" i="12"/>
  <c r="C46" i="12"/>
  <c r="C38" i="12"/>
  <c r="K36" i="12"/>
  <c r="K77" i="12" s="1"/>
  <c r="C35" i="12"/>
  <c r="B35" i="12"/>
  <c r="C50" i="12" s="1"/>
  <c r="K33" i="12"/>
  <c r="K74" i="12" s="1"/>
  <c r="B33" i="12"/>
  <c r="C42" i="12" s="1"/>
  <c r="K32" i="12"/>
  <c r="K73" i="12" s="1"/>
  <c r="K31" i="12"/>
  <c r="K72" i="12" s="1"/>
  <c r="K30" i="12"/>
  <c r="K52" i="12" s="1"/>
  <c r="C32" i="12"/>
  <c r="C24" i="12"/>
  <c r="C22" i="12"/>
  <c r="C20" i="12"/>
  <c r="C18" i="12"/>
  <c r="C16" i="12"/>
  <c r="C14" i="12"/>
  <c r="C12" i="12"/>
  <c r="C8" i="12"/>
  <c r="C6" i="12"/>
  <c r="C4" i="12"/>
  <c r="C2" i="12"/>
  <c r="C203" i="11"/>
  <c r="C201" i="11"/>
  <c r="B98" i="11"/>
  <c r="B78" i="11"/>
  <c r="B58" i="11"/>
  <c r="B38" i="11"/>
  <c r="C30" i="11"/>
  <c r="C370" i="13" l="1"/>
  <c r="C73" i="13"/>
  <c r="R71" i="13"/>
  <c r="O71" i="13"/>
  <c r="Q67" i="13"/>
  <c r="N70" i="13"/>
  <c r="C75" i="13" s="1"/>
  <c r="Q92" i="13"/>
  <c r="R94" i="13" s="1"/>
  <c r="N71" i="13"/>
  <c r="C262" i="13"/>
  <c r="C326" i="13"/>
  <c r="C328" i="13"/>
  <c r="M400" i="13"/>
  <c r="M268" i="13"/>
  <c r="M290" i="13" s="1"/>
  <c r="M312" i="13" s="1"/>
  <c r="M334" i="13" s="1"/>
  <c r="M356" i="13" s="1"/>
  <c r="M378" i="13" s="1"/>
  <c r="J397" i="13"/>
  <c r="J265" i="13"/>
  <c r="J287" i="13" s="1"/>
  <c r="J309" i="13" s="1"/>
  <c r="J331" i="13" s="1"/>
  <c r="J353" i="13" s="1"/>
  <c r="J375" i="13" s="1"/>
  <c r="J395" i="13"/>
  <c r="J263" i="13"/>
  <c r="J285" i="13" s="1"/>
  <c r="J307" i="13" s="1"/>
  <c r="J329" i="13" s="1"/>
  <c r="J351" i="13" s="1"/>
  <c r="J373" i="13" s="1"/>
  <c r="AA391" i="13"/>
  <c r="AA259" i="13"/>
  <c r="AA281" i="13" s="1"/>
  <c r="AA303" i="13" s="1"/>
  <c r="AA325" i="13" s="1"/>
  <c r="AA347" i="13" s="1"/>
  <c r="AA369" i="13" s="1"/>
  <c r="Q283" i="13"/>
  <c r="Z196" i="13"/>
  <c r="Z242" i="13" s="1"/>
  <c r="Z171" i="13"/>
  <c r="Z220" i="13" s="1"/>
  <c r="AA122" i="13"/>
  <c r="R96" i="13"/>
  <c r="L393" i="13"/>
  <c r="L261" i="13"/>
  <c r="L283" i="13" s="1"/>
  <c r="L305" i="13" s="1"/>
  <c r="L327" i="13" s="1"/>
  <c r="L349" i="13" s="1"/>
  <c r="L371" i="13" s="1"/>
  <c r="AB196" i="13"/>
  <c r="AB242" i="13" s="1"/>
  <c r="AB171" i="13"/>
  <c r="AB220" i="13" s="1"/>
  <c r="M196" i="13"/>
  <c r="M171" i="13"/>
  <c r="M220" i="13" s="1"/>
  <c r="B118" i="13"/>
  <c r="K122" i="13"/>
  <c r="K147" i="13" s="1"/>
  <c r="J399" i="13"/>
  <c r="J267" i="13"/>
  <c r="J289" i="13" s="1"/>
  <c r="J311" i="13" s="1"/>
  <c r="J333" i="13" s="1"/>
  <c r="J355" i="13" s="1"/>
  <c r="J377" i="13" s="1"/>
  <c r="AB391" i="13"/>
  <c r="AB259" i="13"/>
  <c r="AB281" i="13" s="1"/>
  <c r="AB303" i="13" s="1"/>
  <c r="AB325" i="13" s="1"/>
  <c r="AB347" i="13" s="1"/>
  <c r="AB369" i="13" s="1"/>
  <c r="Z391" i="13"/>
  <c r="Z259" i="13"/>
  <c r="Z281" i="13" s="1"/>
  <c r="Z303" i="13" s="1"/>
  <c r="Z325" i="13" s="1"/>
  <c r="Z347" i="13" s="1"/>
  <c r="Z369" i="13" s="1"/>
  <c r="M391" i="13"/>
  <c r="M259" i="13"/>
  <c r="M281" i="13" s="1"/>
  <c r="M303" i="13" s="1"/>
  <c r="M325" i="13" s="1"/>
  <c r="M347" i="13" s="1"/>
  <c r="M369" i="13" s="1"/>
  <c r="K391" i="13"/>
  <c r="K259" i="13"/>
  <c r="K281" i="13" s="1"/>
  <c r="K303" i="13" s="1"/>
  <c r="K325" i="13" s="1"/>
  <c r="K347" i="13" s="1"/>
  <c r="K369" i="13" s="1"/>
  <c r="Z395" i="13"/>
  <c r="Z263" i="13"/>
  <c r="Z285" i="13" s="1"/>
  <c r="Z307" i="13" s="1"/>
  <c r="Z329" i="13" s="1"/>
  <c r="Z351" i="13" s="1"/>
  <c r="Z373" i="13" s="1"/>
  <c r="AB394" i="13"/>
  <c r="AB262" i="13"/>
  <c r="AB284" i="13" s="1"/>
  <c r="AB306" i="13" s="1"/>
  <c r="AB328" i="13" s="1"/>
  <c r="AB350" i="13" s="1"/>
  <c r="AB372" i="13" s="1"/>
  <c r="Z393" i="13"/>
  <c r="Z261" i="13"/>
  <c r="Z283" i="13" s="1"/>
  <c r="Z305" i="13" s="1"/>
  <c r="Z327" i="13" s="1"/>
  <c r="Z349" i="13" s="1"/>
  <c r="Z371" i="13" s="1"/>
  <c r="AB392" i="13"/>
  <c r="AB260" i="13"/>
  <c r="AB282" i="13" s="1"/>
  <c r="AB304" i="13" s="1"/>
  <c r="AB326" i="13" s="1"/>
  <c r="AB348" i="13" s="1"/>
  <c r="AB370" i="13" s="1"/>
  <c r="Z392" i="13"/>
  <c r="Z260" i="13"/>
  <c r="Z282" i="13" s="1"/>
  <c r="Z304" i="13" s="1"/>
  <c r="Z326" i="13" s="1"/>
  <c r="Z348" i="13" s="1"/>
  <c r="Z370" i="13" s="1"/>
  <c r="AB401" i="13"/>
  <c r="AB269" i="13"/>
  <c r="AB291" i="13" s="1"/>
  <c r="AB313" i="13" s="1"/>
  <c r="AB335" i="13" s="1"/>
  <c r="AB357" i="13" s="1"/>
  <c r="AB379" i="13" s="1"/>
  <c r="M401" i="13"/>
  <c r="M269" i="13"/>
  <c r="M291" i="13" s="1"/>
  <c r="M313" i="13" s="1"/>
  <c r="M335" i="13" s="1"/>
  <c r="M357" i="13" s="1"/>
  <c r="M379" i="13" s="1"/>
  <c r="AB400" i="13"/>
  <c r="AB268" i="13"/>
  <c r="AB290" i="13" s="1"/>
  <c r="AB312" i="13" s="1"/>
  <c r="AB334" i="13" s="1"/>
  <c r="AB356" i="13" s="1"/>
  <c r="AB378" i="13" s="1"/>
  <c r="J400" i="13"/>
  <c r="J268" i="13"/>
  <c r="J290" i="13" s="1"/>
  <c r="J312" i="13" s="1"/>
  <c r="J334" i="13" s="1"/>
  <c r="J356" i="13" s="1"/>
  <c r="J378" i="13" s="1"/>
  <c r="AB399" i="13"/>
  <c r="AB267" i="13"/>
  <c r="AB289" i="13" s="1"/>
  <c r="AB311" i="13" s="1"/>
  <c r="AB333" i="13" s="1"/>
  <c r="AB355" i="13" s="1"/>
  <c r="AB377" i="13" s="1"/>
  <c r="AB395" i="13"/>
  <c r="AB263" i="13"/>
  <c r="AB285" i="13" s="1"/>
  <c r="AB307" i="13" s="1"/>
  <c r="AB329" i="13" s="1"/>
  <c r="AB351" i="13" s="1"/>
  <c r="AB373" i="13" s="1"/>
  <c r="L394" i="13"/>
  <c r="L262" i="13"/>
  <c r="L284" i="13" s="1"/>
  <c r="L306" i="13" s="1"/>
  <c r="L328" i="13" s="1"/>
  <c r="L350" i="13" s="1"/>
  <c r="L372" i="13" s="1"/>
  <c r="L392" i="13"/>
  <c r="L260" i="13"/>
  <c r="L282" i="13" s="1"/>
  <c r="L304" i="13" s="1"/>
  <c r="L326" i="13" s="1"/>
  <c r="L348" i="13" s="1"/>
  <c r="L370" i="13" s="1"/>
  <c r="M394" i="13"/>
  <c r="M262" i="13"/>
  <c r="M284" i="13" s="1"/>
  <c r="M306" i="13" s="1"/>
  <c r="M328" i="13" s="1"/>
  <c r="M350" i="13" s="1"/>
  <c r="M372" i="13" s="1"/>
  <c r="J398" i="13"/>
  <c r="J266" i="13"/>
  <c r="J288" i="13" s="1"/>
  <c r="J310" i="13" s="1"/>
  <c r="J332" i="13" s="1"/>
  <c r="J354" i="13" s="1"/>
  <c r="J376" i="13" s="1"/>
  <c r="J396" i="13"/>
  <c r="J264" i="13"/>
  <c r="J286" i="13" s="1"/>
  <c r="J308" i="13" s="1"/>
  <c r="J330" i="13" s="1"/>
  <c r="J352" i="13" s="1"/>
  <c r="J374" i="13" s="1"/>
  <c r="K193" i="13"/>
  <c r="K239" i="13" s="1"/>
  <c r="K168" i="13"/>
  <c r="K217" i="13" s="1"/>
  <c r="Z197" i="13"/>
  <c r="Z243" i="13" s="1"/>
  <c r="Z172" i="13"/>
  <c r="Z221" i="13" s="1"/>
  <c r="AA394" i="13"/>
  <c r="AA262" i="13"/>
  <c r="AA284" i="13" s="1"/>
  <c r="AA306" i="13" s="1"/>
  <c r="AA328" i="13" s="1"/>
  <c r="AA350" i="13" s="1"/>
  <c r="AA372" i="13" s="1"/>
  <c r="AA168" i="13"/>
  <c r="AA217" i="13" s="1"/>
  <c r="AA193" i="13"/>
  <c r="AA239" i="13" s="1"/>
  <c r="AA392" i="13"/>
  <c r="AA260" i="13"/>
  <c r="AA282" i="13" s="1"/>
  <c r="AA304" i="13" s="1"/>
  <c r="AA326" i="13" s="1"/>
  <c r="AA348" i="13" s="1"/>
  <c r="AA370" i="13" s="1"/>
  <c r="C284" i="13"/>
  <c r="C282" i="13"/>
  <c r="K401" i="13"/>
  <c r="K269" i="13"/>
  <c r="K291" i="13" s="1"/>
  <c r="K313" i="13" s="1"/>
  <c r="K335" i="13" s="1"/>
  <c r="K357" i="13" s="1"/>
  <c r="K379" i="13" s="1"/>
  <c r="K400" i="13"/>
  <c r="K268" i="13"/>
  <c r="K290" i="13" s="1"/>
  <c r="K312" i="13" s="1"/>
  <c r="K334" i="13" s="1"/>
  <c r="K356" i="13" s="1"/>
  <c r="K378" i="13" s="1"/>
  <c r="AB193" i="13"/>
  <c r="AB239" i="13" s="1"/>
  <c r="AB168" i="13"/>
  <c r="AB217" i="13" s="1"/>
  <c r="Q393" i="13"/>
  <c r="R395" i="13" s="1"/>
  <c r="Z123" i="13"/>
  <c r="Z148" i="13" s="1"/>
  <c r="M173" i="13"/>
  <c r="M222" i="13" s="1"/>
  <c r="M198" i="13"/>
  <c r="M244" i="13" s="1"/>
  <c r="AA174" i="13"/>
  <c r="AA223" i="13" s="1"/>
  <c r="AA199" i="13"/>
  <c r="AA245" i="13" s="1"/>
  <c r="C350" i="13"/>
  <c r="C348" i="13"/>
  <c r="Y399" i="13"/>
  <c r="Y267" i="13"/>
  <c r="Y289" i="13" s="1"/>
  <c r="Y311" i="13" s="1"/>
  <c r="Y333" i="13" s="1"/>
  <c r="Y355" i="13" s="1"/>
  <c r="Y377" i="13" s="1"/>
  <c r="L224" i="13"/>
  <c r="C190" i="13"/>
  <c r="B394" i="13"/>
  <c r="L123" i="13"/>
  <c r="L148" i="13" s="1"/>
  <c r="L122" i="13"/>
  <c r="K169" i="13"/>
  <c r="K218" i="13" s="1"/>
  <c r="K194" i="13"/>
  <c r="K240" i="13" s="1"/>
  <c r="AA196" i="13"/>
  <c r="AA242" i="13" s="1"/>
  <c r="AA171" i="13"/>
  <c r="Q143" i="13"/>
  <c r="R145" i="13"/>
  <c r="Q394" i="13"/>
  <c r="AA123" i="13"/>
  <c r="AA148" i="13" s="1"/>
  <c r="M392" i="13"/>
  <c r="M260" i="13"/>
  <c r="M282" i="13" s="1"/>
  <c r="M304" i="13" s="1"/>
  <c r="M326" i="13" s="1"/>
  <c r="M348" i="13" s="1"/>
  <c r="M370" i="13" s="1"/>
  <c r="K392" i="13"/>
  <c r="K260" i="13"/>
  <c r="K282" i="13" s="1"/>
  <c r="K304" i="13" s="1"/>
  <c r="K326" i="13" s="1"/>
  <c r="K348" i="13" s="1"/>
  <c r="K370" i="13" s="1"/>
  <c r="C240" i="13"/>
  <c r="C238" i="13"/>
  <c r="C306" i="13"/>
  <c r="C304" i="13"/>
  <c r="B67" i="13"/>
  <c r="Z401" i="13"/>
  <c r="Z269" i="13"/>
  <c r="Z291" i="13" s="1"/>
  <c r="Z313" i="13" s="1"/>
  <c r="Z335" i="13" s="1"/>
  <c r="Z357" i="13" s="1"/>
  <c r="Z379" i="13" s="1"/>
  <c r="Z400" i="13"/>
  <c r="Z268" i="13"/>
  <c r="Z290" i="13" s="1"/>
  <c r="Z312" i="13" s="1"/>
  <c r="Z334" i="13" s="1"/>
  <c r="Z356" i="13" s="1"/>
  <c r="Z378" i="13" s="1"/>
  <c r="L399" i="13"/>
  <c r="L267" i="13"/>
  <c r="L289" i="13" s="1"/>
  <c r="L311" i="13" s="1"/>
  <c r="L333" i="13" s="1"/>
  <c r="L355" i="13" s="1"/>
  <c r="L377" i="13" s="1"/>
  <c r="AA401" i="13"/>
  <c r="AA269" i="13"/>
  <c r="AA291" i="13" s="1"/>
  <c r="AA313" i="13" s="1"/>
  <c r="AA335" i="13" s="1"/>
  <c r="AA357" i="13" s="1"/>
  <c r="AA379" i="13" s="1"/>
  <c r="Y401" i="13"/>
  <c r="Y269" i="13"/>
  <c r="Y291" i="13" s="1"/>
  <c r="Y313" i="13" s="1"/>
  <c r="Y335" i="13" s="1"/>
  <c r="Y357" i="13" s="1"/>
  <c r="Y379" i="13" s="1"/>
  <c r="L401" i="13"/>
  <c r="L269" i="13"/>
  <c r="L291" i="13" s="1"/>
  <c r="L313" i="13" s="1"/>
  <c r="L335" i="13" s="1"/>
  <c r="L357" i="13" s="1"/>
  <c r="L379" i="13" s="1"/>
  <c r="J401" i="13"/>
  <c r="J269" i="13"/>
  <c r="J291" i="13" s="1"/>
  <c r="J313" i="13" s="1"/>
  <c r="J335" i="13" s="1"/>
  <c r="J357" i="13" s="1"/>
  <c r="J379" i="13" s="1"/>
  <c r="AA400" i="13"/>
  <c r="AA268" i="13"/>
  <c r="AA290" i="13" s="1"/>
  <c r="AA312" i="13" s="1"/>
  <c r="AA334" i="13" s="1"/>
  <c r="AA356" i="13" s="1"/>
  <c r="AA378" i="13" s="1"/>
  <c r="Y400" i="13"/>
  <c r="Y268" i="13"/>
  <c r="Y290" i="13" s="1"/>
  <c r="Y312" i="13" s="1"/>
  <c r="Y334" i="13" s="1"/>
  <c r="Y356" i="13" s="1"/>
  <c r="Y378" i="13" s="1"/>
  <c r="M245" i="13"/>
  <c r="K399" i="13"/>
  <c r="K267" i="13"/>
  <c r="K289" i="13" s="1"/>
  <c r="K311" i="13" s="1"/>
  <c r="K333" i="13" s="1"/>
  <c r="K355" i="13" s="1"/>
  <c r="K377" i="13" s="1"/>
  <c r="Y398" i="13"/>
  <c r="Y266" i="13"/>
  <c r="Y288" i="13" s="1"/>
  <c r="Y310" i="13" s="1"/>
  <c r="Y332" i="13" s="1"/>
  <c r="Y354" i="13" s="1"/>
  <c r="Y376" i="13" s="1"/>
  <c r="Y397" i="13"/>
  <c r="Y265" i="13"/>
  <c r="Y287" i="13" s="1"/>
  <c r="Y309" i="13" s="1"/>
  <c r="Y331" i="13" s="1"/>
  <c r="Y353" i="13" s="1"/>
  <c r="Y375" i="13" s="1"/>
  <c r="Y396" i="13"/>
  <c r="Y264" i="13"/>
  <c r="Y286" i="13" s="1"/>
  <c r="Y308" i="13" s="1"/>
  <c r="Y330" i="13" s="1"/>
  <c r="Y352" i="13" s="1"/>
  <c r="Y374" i="13" s="1"/>
  <c r="Y395" i="13"/>
  <c r="Y263" i="13"/>
  <c r="Y285" i="13" s="1"/>
  <c r="Y307" i="13" s="1"/>
  <c r="Y329" i="13" s="1"/>
  <c r="Y351" i="13" s="1"/>
  <c r="Y373" i="13" s="1"/>
  <c r="Y394" i="13"/>
  <c r="Y262" i="13"/>
  <c r="Y284" i="13" s="1"/>
  <c r="Y306" i="13" s="1"/>
  <c r="Y328" i="13" s="1"/>
  <c r="Y350" i="13" s="1"/>
  <c r="Y372" i="13" s="1"/>
  <c r="M193" i="13"/>
  <c r="M239" i="13" s="1"/>
  <c r="M168" i="13"/>
  <c r="M217" i="13" s="1"/>
  <c r="R328" i="13"/>
  <c r="R326" i="13"/>
  <c r="AB122" i="13"/>
  <c r="R98" i="13"/>
  <c r="L196" i="13"/>
  <c r="L242" i="13" s="1"/>
  <c r="L171" i="13"/>
  <c r="B143" i="13"/>
  <c r="AA395" i="13"/>
  <c r="AA263" i="13"/>
  <c r="AA285" i="13" s="1"/>
  <c r="AA307" i="13" s="1"/>
  <c r="AA329" i="13" s="1"/>
  <c r="AA351" i="13" s="1"/>
  <c r="AA373" i="13" s="1"/>
  <c r="L395" i="13"/>
  <c r="L263" i="13"/>
  <c r="L285" i="13" s="1"/>
  <c r="L307" i="13" s="1"/>
  <c r="L329" i="13" s="1"/>
  <c r="L351" i="13" s="1"/>
  <c r="L373" i="13" s="1"/>
  <c r="M122" i="13"/>
  <c r="B239" i="13"/>
  <c r="B92" i="13"/>
  <c r="K121" i="13"/>
  <c r="B393" i="13"/>
  <c r="K123" i="13"/>
  <c r="K148" i="13" s="1"/>
  <c r="R282" i="13"/>
  <c r="R284" i="13"/>
  <c r="Z169" i="13"/>
  <c r="Z218" i="13" s="1"/>
  <c r="Z194" i="13"/>
  <c r="Z240" i="13" s="1"/>
  <c r="AB398" i="13"/>
  <c r="AB266" i="13"/>
  <c r="AB288" i="13" s="1"/>
  <c r="AB310" i="13" s="1"/>
  <c r="AB332" i="13" s="1"/>
  <c r="AB354" i="13" s="1"/>
  <c r="AB376" i="13" s="1"/>
  <c r="K395" i="13"/>
  <c r="K263" i="13"/>
  <c r="K285" i="13" s="1"/>
  <c r="K307" i="13" s="1"/>
  <c r="K329" i="13" s="1"/>
  <c r="K351" i="13" s="1"/>
  <c r="K373" i="13" s="1"/>
  <c r="K34" i="12"/>
  <c r="K54" i="12"/>
  <c r="B87" i="12" s="1"/>
  <c r="K58" i="12"/>
  <c r="K71" i="12"/>
  <c r="C52" i="12"/>
  <c r="B72" i="12"/>
  <c r="C74" i="12" s="1"/>
  <c r="C30" i="12"/>
  <c r="K35" i="12"/>
  <c r="K53" i="12"/>
  <c r="C412" i="13" l="1"/>
  <c r="Z394" i="13"/>
  <c r="Z262" i="13"/>
  <c r="Z284" i="13" s="1"/>
  <c r="Z306" i="13" s="1"/>
  <c r="Z328" i="13" s="1"/>
  <c r="Z350" i="13" s="1"/>
  <c r="Z372" i="13" s="1"/>
  <c r="K198" i="13"/>
  <c r="K173" i="13"/>
  <c r="M399" i="13"/>
  <c r="M267" i="13"/>
  <c r="M289" i="13" s="1"/>
  <c r="M311" i="13" s="1"/>
  <c r="M333" i="13" s="1"/>
  <c r="M355" i="13" s="1"/>
  <c r="M377" i="13" s="1"/>
  <c r="AA198" i="13"/>
  <c r="AA244" i="13" s="1"/>
  <c r="AA173" i="13"/>
  <c r="AA222" i="13" s="1"/>
  <c r="AA220" i="13"/>
  <c r="Q168" i="13"/>
  <c r="R170" i="13"/>
  <c r="K394" i="13"/>
  <c r="K262" i="13"/>
  <c r="K284" i="13" s="1"/>
  <c r="K306" i="13" s="1"/>
  <c r="K328" i="13" s="1"/>
  <c r="K350" i="13" s="1"/>
  <c r="K372" i="13" s="1"/>
  <c r="L198" i="13"/>
  <c r="L244" i="13" s="1"/>
  <c r="L173" i="13"/>
  <c r="B261" i="13"/>
  <c r="K146" i="13"/>
  <c r="L396" i="13"/>
  <c r="C243" i="13"/>
  <c r="L264" i="13"/>
  <c r="R124" i="13"/>
  <c r="AB147" i="13"/>
  <c r="M393" i="13"/>
  <c r="M261" i="13"/>
  <c r="M283" i="13" s="1"/>
  <c r="M305" i="13" s="1"/>
  <c r="M327" i="13" s="1"/>
  <c r="M349" i="13" s="1"/>
  <c r="M371" i="13" s="1"/>
  <c r="AA396" i="13"/>
  <c r="AA264" i="13"/>
  <c r="AA286" i="13" s="1"/>
  <c r="L147" i="13"/>
  <c r="AB393" i="13"/>
  <c r="AB261" i="13"/>
  <c r="AB283" i="13" s="1"/>
  <c r="AB305" i="13" s="1"/>
  <c r="AB327" i="13" s="1"/>
  <c r="AB349" i="13" s="1"/>
  <c r="AB371" i="13" s="1"/>
  <c r="Z397" i="13"/>
  <c r="Z265" i="13"/>
  <c r="Z287" i="13" s="1"/>
  <c r="Z309" i="13" s="1"/>
  <c r="Z331" i="13" s="1"/>
  <c r="Z353" i="13" s="1"/>
  <c r="Z375" i="13" s="1"/>
  <c r="K393" i="13"/>
  <c r="K261" i="13"/>
  <c r="K283" i="13" s="1"/>
  <c r="K305" i="13" s="1"/>
  <c r="K327" i="13" s="1"/>
  <c r="K349" i="13" s="1"/>
  <c r="K371" i="13" s="1"/>
  <c r="M242" i="13"/>
  <c r="AB396" i="13"/>
  <c r="AB264" i="13"/>
  <c r="AB286" i="13" s="1"/>
  <c r="AA147" i="13"/>
  <c r="Q118" i="13"/>
  <c r="R120" i="13" s="1"/>
  <c r="R122" i="13"/>
  <c r="Z396" i="13"/>
  <c r="Q327" i="13"/>
  <c r="Z264" i="13"/>
  <c r="Z286" i="13" s="1"/>
  <c r="M147" i="13"/>
  <c r="L220" i="13"/>
  <c r="AA399" i="13"/>
  <c r="AA267" i="13"/>
  <c r="AA289" i="13" s="1"/>
  <c r="AA311" i="13" s="1"/>
  <c r="AA333" i="13" s="1"/>
  <c r="AA355" i="13" s="1"/>
  <c r="AA377" i="13" s="1"/>
  <c r="M398" i="13"/>
  <c r="M266" i="13"/>
  <c r="M288" i="13" s="1"/>
  <c r="M310" i="13" s="1"/>
  <c r="M332" i="13" s="1"/>
  <c r="M354" i="13" s="1"/>
  <c r="M376" i="13" s="1"/>
  <c r="Z198" i="13"/>
  <c r="Z244" i="13" s="1"/>
  <c r="R149" i="13"/>
  <c r="Z173" i="13"/>
  <c r="AA393" i="13"/>
  <c r="AA261" i="13"/>
  <c r="AA283" i="13" s="1"/>
  <c r="AA305" i="13" s="1"/>
  <c r="AA327" i="13" s="1"/>
  <c r="AA349" i="13" s="1"/>
  <c r="AA371" i="13" s="1"/>
  <c r="K197" i="13"/>
  <c r="K243" i="13" s="1"/>
  <c r="K172" i="13"/>
  <c r="K221" i="13" s="1"/>
  <c r="B53" i="12"/>
  <c r="C55" i="12" s="1"/>
  <c r="K76" i="12"/>
  <c r="K57" i="12"/>
  <c r="K56" i="12"/>
  <c r="K75" i="12"/>
  <c r="C33" i="12"/>
  <c r="B31" i="12"/>
  <c r="Z222" i="13" l="1"/>
  <c r="R174" i="13"/>
  <c r="Z398" i="13"/>
  <c r="Z266" i="13"/>
  <c r="Z288" i="13" s="1"/>
  <c r="Z310" i="13" s="1"/>
  <c r="Z332" i="13" s="1"/>
  <c r="Z354" i="13" s="1"/>
  <c r="Z376" i="13" s="1"/>
  <c r="AA197" i="13"/>
  <c r="AA243" i="13" s="1"/>
  <c r="AA172" i="13"/>
  <c r="AA221" i="13" s="1"/>
  <c r="L197" i="13"/>
  <c r="L172" i="13"/>
  <c r="L221" i="13" s="1"/>
  <c r="B283" i="13"/>
  <c r="K196" i="13"/>
  <c r="K171" i="13"/>
  <c r="K220" i="13" s="1"/>
  <c r="L222" i="13"/>
  <c r="B168" i="13"/>
  <c r="AA398" i="13"/>
  <c r="AA266" i="13"/>
  <c r="AA288" i="13" s="1"/>
  <c r="AA310" i="13" s="1"/>
  <c r="AA332" i="13" s="1"/>
  <c r="AA354" i="13" s="1"/>
  <c r="AA376" i="13" s="1"/>
  <c r="K244" i="13"/>
  <c r="K397" i="13"/>
  <c r="K265" i="13"/>
  <c r="M197" i="13"/>
  <c r="M243" i="13" s="1"/>
  <c r="M172" i="13"/>
  <c r="Z308" i="13"/>
  <c r="Z330" i="13" s="1"/>
  <c r="R285" i="13"/>
  <c r="AB308" i="13"/>
  <c r="AB330" i="13" s="1"/>
  <c r="R289" i="13"/>
  <c r="M396" i="13"/>
  <c r="M264" i="13"/>
  <c r="C245" i="13"/>
  <c r="AA308" i="13"/>
  <c r="AA330" i="13" s="1"/>
  <c r="R287" i="13"/>
  <c r="AB172" i="13"/>
  <c r="AB197" i="13"/>
  <c r="AB243" i="13" s="1"/>
  <c r="R147" i="13"/>
  <c r="L286" i="13"/>
  <c r="C265" i="13"/>
  <c r="L398" i="13"/>
  <c r="L266" i="13"/>
  <c r="L288" i="13" s="1"/>
  <c r="L310" i="13" s="1"/>
  <c r="L332" i="13" s="1"/>
  <c r="L354" i="13" s="1"/>
  <c r="L376" i="13" s="1"/>
  <c r="K222" i="13"/>
  <c r="C2425" i="11"/>
  <c r="C2419" i="11"/>
  <c r="C2289" i="11"/>
  <c r="C2283" i="11"/>
  <c r="C2153" i="11"/>
  <c r="C2147" i="11"/>
  <c r="C2017" i="11"/>
  <c r="C2011" i="11"/>
  <c r="C1881" i="11"/>
  <c r="C1875" i="11"/>
  <c r="C1745" i="11"/>
  <c r="C1739" i="11"/>
  <c r="C1609" i="11"/>
  <c r="C1603" i="11"/>
  <c r="C1473" i="11"/>
  <c r="C1467" i="11"/>
  <c r="C1065" i="11"/>
  <c r="C1059" i="11"/>
  <c r="C929" i="11"/>
  <c r="C923" i="11"/>
  <c r="C238" i="11"/>
  <c r="C236" i="11"/>
  <c r="C234" i="11"/>
  <c r="C232" i="11"/>
  <c r="C230" i="11"/>
  <c r="C228" i="11"/>
  <c r="C225" i="11"/>
  <c r="C224" i="11"/>
  <c r="C220" i="11"/>
  <c r="C216" i="11"/>
  <c r="C214" i="11"/>
  <c r="C213" i="11"/>
  <c r="C212" i="11"/>
  <c r="C204" i="11"/>
  <c r="B201" i="11"/>
  <c r="C208" i="11" s="1"/>
  <c r="C200" i="11"/>
  <c r="C198" i="11"/>
  <c r="C197" i="11"/>
  <c r="C196" i="11"/>
  <c r="C192" i="11"/>
  <c r="C184" i="11"/>
  <c r="B181" i="11"/>
  <c r="C188" i="11" s="1"/>
  <c r="C177" i="11"/>
  <c r="C176" i="11"/>
  <c r="C172" i="11"/>
  <c r="C164" i="11"/>
  <c r="B161" i="11"/>
  <c r="C168" i="11" s="1"/>
  <c r="C157" i="11"/>
  <c r="C156" i="11"/>
  <c r="C152" i="11"/>
  <c r="C144" i="11"/>
  <c r="B141" i="11"/>
  <c r="C148" i="11" s="1"/>
  <c r="C137" i="11"/>
  <c r="C136" i="11"/>
  <c r="C132" i="11"/>
  <c r="C124" i="11"/>
  <c r="B121" i="11"/>
  <c r="C128" i="11" s="1"/>
  <c r="C117" i="11"/>
  <c r="C112" i="11"/>
  <c r="C108" i="11"/>
  <c r="C104" i="11"/>
  <c r="B103" i="11"/>
  <c r="C116" i="11" s="1"/>
  <c r="B101" i="11"/>
  <c r="J99" i="11"/>
  <c r="C97" i="11"/>
  <c r="C92" i="11"/>
  <c r="J86" i="11"/>
  <c r="J106" i="11" s="1"/>
  <c r="J126" i="11" s="1"/>
  <c r="C84" i="11"/>
  <c r="J81" i="11"/>
  <c r="J101" i="11" s="1"/>
  <c r="J121" i="11" s="1"/>
  <c r="B81" i="11"/>
  <c r="C88" i="11" s="1"/>
  <c r="C78" i="11"/>
  <c r="C77" i="11"/>
  <c r="C72" i="11"/>
  <c r="L67" i="11"/>
  <c r="L87" i="11" s="1"/>
  <c r="L107" i="11" s="1"/>
  <c r="L127" i="11" s="1"/>
  <c r="K67" i="11"/>
  <c r="K87" i="11" s="1"/>
  <c r="K107" i="11" s="1"/>
  <c r="K127" i="11" s="1"/>
  <c r="J67" i="11"/>
  <c r="J87" i="11" s="1"/>
  <c r="J107" i="11" s="1"/>
  <c r="J127" i="11" s="1"/>
  <c r="L66" i="11"/>
  <c r="L86" i="11" s="1"/>
  <c r="L106" i="11" s="1"/>
  <c r="L126" i="11" s="1"/>
  <c r="K66" i="11"/>
  <c r="K86" i="11" s="1"/>
  <c r="K106" i="11" s="1"/>
  <c r="K126" i="11" s="1"/>
  <c r="J66" i="11"/>
  <c r="L65" i="11"/>
  <c r="L85" i="11" s="1"/>
  <c r="K65" i="11"/>
  <c r="K85" i="11" s="1"/>
  <c r="K105" i="11" s="1"/>
  <c r="K125" i="11" s="1"/>
  <c r="J65" i="11"/>
  <c r="J85" i="11" s="1"/>
  <c r="J105" i="11" s="1"/>
  <c r="J125" i="11" s="1"/>
  <c r="J64" i="11"/>
  <c r="J84" i="11" s="1"/>
  <c r="J104" i="11" s="1"/>
  <c r="J124" i="11" s="1"/>
  <c r="C64" i="11"/>
  <c r="J63" i="11"/>
  <c r="J83" i="11" s="1"/>
  <c r="J103" i="11" s="1"/>
  <c r="J123" i="11" s="1"/>
  <c r="B63" i="11"/>
  <c r="C76" i="11" s="1"/>
  <c r="J62" i="11"/>
  <c r="J82" i="11" s="1"/>
  <c r="J102" i="11" s="1"/>
  <c r="J122" i="11" s="1"/>
  <c r="L61" i="11"/>
  <c r="L81" i="11" s="1"/>
  <c r="L101" i="11" s="1"/>
  <c r="L121" i="11" s="1"/>
  <c r="J61" i="11"/>
  <c r="B61" i="11"/>
  <c r="C68" i="11" s="1"/>
  <c r="J60" i="11"/>
  <c r="J80" i="11" s="1"/>
  <c r="J100" i="11" s="1"/>
  <c r="J120" i="11" s="1"/>
  <c r="C60" i="11"/>
  <c r="L58" i="11"/>
  <c r="L78" i="11" s="1"/>
  <c r="L98" i="11" s="1"/>
  <c r="L118" i="11" s="1"/>
  <c r="C58" i="11"/>
  <c r="L57" i="11"/>
  <c r="L77" i="11" s="1"/>
  <c r="L97" i="11" s="1"/>
  <c r="L117" i="11" s="1"/>
  <c r="K57" i="11"/>
  <c r="K77" i="11" s="1"/>
  <c r="K97" i="11" s="1"/>
  <c r="K117" i="11" s="1"/>
  <c r="C57" i="11"/>
  <c r="C52" i="11"/>
  <c r="C48" i="11"/>
  <c r="C44" i="11"/>
  <c r="B43" i="11"/>
  <c r="C56" i="11" s="1"/>
  <c r="L41" i="11"/>
  <c r="K41" i="11"/>
  <c r="K61" i="11" s="1"/>
  <c r="K81" i="11" s="1"/>
  <c r="K101" i="11" s="1"/>
  <c r="K121" i="11" s="1"/>
  <c r="B41" i="11"/>
  <c r="L40" i="11"/>
  <c r="L43" i="11" s="1"/>
  <c r="K40" i="11"/>
  <c r="K60" i="11" s="1"/>
  <c r="C40" i="11"/>
  <c r="L39" i="11"/>
  <c r="K39" i="11"/>
  <c r="L38" i="11"/>
  <c r="K38" i="11"/>
  <c r="K58" i="11" s="1"/>
  <c r="K78" i="11" s="1"/>
  <c r="K98" i="11" s="1"/>
  <c r="K118" i="11" s="1"/>
  <c r="C32" i="11"/>
  <c r="C28" i="11"/>
  <c r="C26" i="11"/>
  <c r="C24" i="11"/>
  <c r="C22" i="11"/>
  <c r="C20" i="11"/>
  <c r="C18" i="11"/>
  <c r="C16" i="11"/>
  <c r="C14" i="11"/>
  <c r="C12" i="11"/>
  <c r="C8" i="11"/>
  <c r="C6" i="11"/>
  <c r="C4" i="11"/>
  <c r="C2" i="11"/>
  <c r="Q95" i="10"/>
  <c r="Q92" i="10"/>
  <c r="Q51" i="10"/>
  <c r="Q48" i="10"/>
  <c r="R50" i="10" s="1"/>
  <c r="Q73" i="10"/>
  <c r="Q70" i="10"/>
  <c r="R72" i="10" s="1"/>
  <c r="R91" i="10"/>
  <c r="R90" i="10"/>
  <c r="R86" i="10"/>
  <c r="R78" i="10"/>
  <c r="R77" i="10"/>
  <c r="Q75" i="10"/>
  <c r="R82" i="10"/>
  <c r="R69" i="10"/>
  <c r="R64" i="10"/>
  <c r="R60" i="10"/>
  <c r="R56" i="10"/>
  <c r="R55" i="10"/>
  <c r="Q53" i="10"/>
  <c r="R68" i="10" s="1"/>
  <c r="R48" i="10"/>
  <c r="Z48" i="10"/>
  <c r="AA48" i="10"/>
  <c r="Z49" i="10"/>
  <c r="AA49" i="10"/>
  <c r="Q114" i="10"/>
  <c r="R116" i="10" s="1"/>
  <c r="B180" i="10"/>
  <c r="C180" i="10" s="1"/>
  <c r="AB201" i="10"/>
  <c r="AA201" i="10"/>
  <c r="Z201" i="10"/>
  <c r="C201" i="10"/>
  <c r="C196" i="10"/>
  <c r="C192" i="10"/>
  <c r="AB189" i="10"/>
  <c r="AA189" i="10"/>
  <c r="Z189" i="10"/>
  <c r="Y189" i="10"/>
  <c r="AB188" i="10"/>
  <c r="AA188" i="10"/>
  <c r="Z188" i="10"/>
  <c r="Y188" i="10"/>
  <c r="M188" i="10"/>
  <c r="C188" i="10"/>
  <c r="AB187" i="10"/>
  <c r="AA187" i="10"/>
  <c r="Z187" i="10"/>
  <c r="Y187" i="10"/>
  <c r="K187" i="10"/>
  <c r="AB186" i="10"/>
  <c r="Z186" i="10"/>
  <c r="Y186" i="10"/>
  <c r="AB185" i="10"/>
  <c r="Y185" i="10"/>
  <c r="AB184" i="10"/>
  <c r="Y184" i="10"/>
  <c r="AB183" i="10"/>
  <c r="Z183" i="10"/>
  <c r="Y183" i="10"/>
  <c r="B183" i="10"/>
  <c r="AB182" i="10"/>
  <c r="Y182" i="10"/>
  <c r="J182" i="10"/>
  <c r="C182" i="10"/>
  <c r="AB181" i="10"/>
  <c r="AA181" i="10"/>
  <c r="Z181" i="10"/>
  <c r="AB180" i="10"/>
  <c r="AA180" i="10"/>
  <c r="Z180" i="10"/>
  <c r="L180" i="10"/>
  <c r="K180" i="10"/>
  <c r="B158" i="10"/>
  <c r="C160" i="10" s="1"/>
  <c r="B139" i="10"/>
  <c r="B117" i="10"/>
  <c r="B136" i="10"/>
  <c r="B114" i="10"/>
  <c r="AB157" i="10"/>
  <c r="AA157" i="10"/>
  <c r="Z157" i="10"/>
  <c r="R157" i="10"/>
  <c r="L157" i="10"/>
  <c r="L201" i="10" s="1"/>
  <c r="K157" i="10"/>
  <c r="K201" i="10" s="1"/>
  <c r="C157" i="10"/>
  <c r="R152" i="10"/>
  <c r="C152" i="10"/>
  <c r="AB145" i="10"/>
  <c r="AA145" i="10"/>
  <c r="Z145" i="10"/>
  <c r="Y145" i="10"/>
  <c r="M145" i="10"/>
  <c r="M189" i="10" s="1"/>
  <c r="AB144" i="10"/>
  <c r="AA144" i="10"/>
  <c r="Z144" i="10"/>
  <c r="Y144" i="10"/>
  <c r="R144" i="10"/>
  <c r="M144" i="10"/>
  <c r="J144" i="10"/>
  <c r="J188" i="10" s="1"/>
  <c r="C144" i="10"/>
  <c r="AB143" i="10"/>
  <c r="AA143" i="10"/>
  <c r="Z143" i="10"/>
  <c r="Y143" i="10"/>
  <c r="K143" i="10"/>
  <c r="AB142" i="10"/>
  <c r="Z142" i="10"/>
  <c r="R143" i="10" s="1"/>
  <c r="Y142" i="10"/>
  <c r="AB141" i="10"/>
  <c r="Y141" i="10"/>
  <c r="R141" i="10"/>
  <c r="Q141" i="10"/>
  <c r="R156" i="10" s="1"/>
  <c r="AB140" i="10"/>
  <c r="Y140" i="10"/>
  <c r="AB139" i="10"/>
  <c r="Z139" i="10"/>
  <c r="Y139" i="10"/>
  <c r="C148" i="10"/>
  <c r="AB138" i="10"/>
  <c r="Y138" i="10"/>
  <c r="J138" i="10"/>
  <c r="C138" i="10"/>
  <c r="AB137" i="10"/>
  <c r="AA137" i="10"/>
  <c r="Z137" i="10"/>
  <c r="AB136" i="10"/>
  <c r="AA136" i="10"/>
  <c r="Z136" i="10"/>
  <c r="Q136" i="10"/>
  <c r="R136" i="10" s="1"/>
  <c r="L136" i="10"/>
  <c r="K136" i="10"/>
  <c r="C136" i="10"/>
  <c r="B51" i="10"/>
  <c r="C60" i="10" s="1"/>
  <c r="B48" i="10"/>
  <c r="C50" i="10" s="1"/>
  <c r="C64" i="10"/>
  <c r="C56" i="10"/>
  <c r="B53" i="10"/>
  <c r="C68" i="10" s="1"/>
  <c r="M51" i="10"/>
  <c r="L51" i="10"/>
  <c r="K51" i="10"/>
  <c r="M50" i="10"/>
  <c r="L50" i="10"/>
  <c r="K50" i="10"/>
  <c r="M49" i="10"/>
  <c r="L49" i="10"/>
  <c r="L53" i="10" s="1"/>
  <c r="K49" i="10"/>
  <c r="M48" i="10"/>
  <c r="L48" i="10"/>
  <c r="K48" i="10"/>
  <c r="AA51" i="10"/>
  <c r="Z51" i="10"/>
  <c r="AA50" i="10"/>
  <c r="Z50" i="10"/>
  <c r="AA54" i="10"/>
  <c r="Z54" i="10"/>
  <c r="C69" i="10"/>
  <c r="B70" i="10"/>
  <c r="J69" i="10"/>
  <c r="K69" i="10"/>
  <c r="L69" i="10"/>
  <c r="M69" i="10"/>
  <c r="AB69" i="10"/>
  <c r="AA69" i="10"/>
  <c r="Z69" i="10"/>
  <c r="B92" i="10"/>
  <c r="C70" i="10"/>
  <c r="Q21" i="10"/>
  <c r="R22" i="10" s="1"/>
  <c r="B39" i="10"/>
  <c r="B29" i="10"/>
  <c r="C31" i="10"/>
  <c r="C22" i="10"/>
  <c r="C16" i="10"/>
  <c r="R398" i="10"/>
  <c r="R396" i="10"/>
  <c r="R394" i="10"/>
  <c r="R392" i="10"/>
  <c r="R390" i="10"/>
  <c r="R388" i="10"/>
  <c r="R385" i="10"/>
  <c r="R384" i="10"/>
  <c r="R380" i="10"/>
  <c r="R376" i="10"/>
  <c r="R374" i="10"/>
  <c r="R373" i="10"/>
  <c r="R372" i="10"/>
  <c r="R364" i="10"/>
  <c r="Q359" i="10"/>
  <c r="R368" i="10" s="1"/>
  <c r="R358" i="10"/>
  <c r="R356" i="10"/>
  <c r="R311" i="10"/>
  <c r="R310" i="10"/>
  <c r="R306" i="10"/>
  <c r="R298" i="10"/>
  <c r="Q293" i="10"/>
  <c r="R302" i="10" s="1"/>
  <c r="R267" i="10"/>
  <c r="R266" i="10"/>
  <c r="R262" i="10"/>
  <c r="R254" i="10"/>
  <c r="Q249" i="10"/>
  <c r="R258" i="10" s="1"/>
  <c r="R135" i="10"/>
  <c r="R130" i="10"/>
  <c r="R122" i="10"/>
  <c r="Y120" i="10"/>
  <c r="Y164" i="10" s="1"/>
  <c r="Y208" i="10" s="1"/>
  <c r="Y119" i="10"/>
  <c r="Y163" i="10" s="1"/>
  <c r="Y207" i="10" s="1"/>
  <c r="Q119" i="10"/>
  <c r="R134" i="10" s="1"/>
  <c r="Q117" i="10"/>
  <c r="R126" i="10" s="1"/>
  <c r="R113" i="10"/>
  <c r="R108" i="10"/>
  <c r="AB101" i="10"/>
  <c r="AB123" i="10" s="1"/>
  <c r="AB167" i="10" s="1"/>
  <c r="AB211" i="10" s="1"/>
  <c r="AB233" i="10" s="1"/>
  <c r="AB255" i="10" s="1"/>
  <c r="AB277" i="10" s="1"/>
  <c r="AB299" i="10" s="1"/>
  <c r="AB321" i="10" s="1"/>
  <c r="AB343" i="10" s="1"/>
  <c r="AA101" i="10"/>
  <c r="AA123" i="10" s="1"/>
  <c r="AA167" i="10" s="1"/>
  <c r="AA211" i="10" s="1"/>
  <c r="Z101" i="10"/>
  <c r="Z123" i="10" s="1"/>
  <c r="Z167" i="10" s="1"/>
  <c r="Z211" i="10" s="1"/>
  <c r="Y101" i="10"/>
  <c r="Y123" i="10" s="1"/>
  <c r="Y167" i="10" s="1"/>
  <c r="Y211" i="10" s="1"/>
  <c r="AB100" i="10"/>
  <c r="AB122" i="10" s="1"/>
  <c r="AB166" i="10" s="1"/>
  <c r="AB210" i="10" s="1"/>
  <c r="AA100" i="10"/>
  <c r="AA122" i="10" s="1"/>
  <c r="AA166" i="10" s="1"/>
  <c r="AA210" i="10" s="1"/>
  <c r="Z100" i="10"/>
  <c r="Z122" i="10" s="1"/>
  <c r="Z166" i="10" s="1"/>
  <c r="Z210" i="10" s="1"/>
  <c r="Y100" i="10"/>
  <c r="Y122" i="10" s="1"/>
  <c r="Y166" i="10" s="1"/>
  <c r="Y210" i="10" s="1"/>
  <c r="Y364" i="10" s="1"/>
  <c r="R100" i="10"/>
  <c r="AB99" i="10"/>
  <c r="AB121" i="10" s="1"/>
  <c r="AB165" i="10" s="1"/>
  <c r="AB209" i="10" s="1"/>
  <c r="AA99" i="10"/>
  <c r="AA121" i="10" s="1"/>
  <c r="AA165" i="10" s="1"/>
  <c r="AA209" i="10" s="1"/>
  <c r="Z99" i="10"/>
  <c r="Z121" i="10" s="1"/>
  <c r="Z165" i="10" s="1"/>
  <c r="Z209" i="10" s="1"/>
  <c r="Y99" i="10"/>
  <c r="Y121" i="10" s="1"/>
  <c r="Y165" i="10" s="1"/>
  <c r="Y209" i="10" s="1"/>
  <c r="Y98" i="10"/>
  <c r="Y97" i="10"/>
  <c r="Q97" i="10"/>
  <c r="R112" i="10" s="1"/>
  <c r="Y96" i="10"/>
  <c r="Y118" i="10" s="1"/>
  <c r="Y162" i="10" s="1"/>
  <c r="Y206" i="10" s="1"/>
  <c r="Y95" i="10"/>
  <c r="Y117" i="10" s="1"/>
  <c r="Y161" i="10" s="1"/>
  <c r="Y205" i="10" s="1"/>
  <c r="R104" i="10"/>
  <c r="Y94" i="10"/>
  <c r="Y116" i="10" s="1"/>
  <c r="Y160" i="10" s="1"/>
  <c r="Y204" i="10" s="1"/>
  <c r="R94" i="10"/>
  <c r="AB91" i="10"/>
  <c r="AB113" i="10" s="1"/>
  <c r="AB135" i="10" s="1"/>
  <c r="AB179" i="10" s="1"/>
  <c r="AA91" i="10"/>
  <c r="AA113" i="10" s="1"/>
  <c r="AA135" i="10" s="1"/>
  <c r="AA179" i="10" s="1"/>
  <c r="Z91" i="10"/>
  <c r="Z113" i="10" s="1"/>
  <c r="Z135" i="10" s="1"/>
  <c r="Z179" i="10" s="1"/>
  <c r="AB73" i="10"/>
  <c r="AB95" i="10" s="1"/>
  <c r="AB117" i="10" s="1"/>
  <c r="AB161" i="10" s="1"/>
  <c r="AB205" i="10" s="1"/>
  <c r="AA73" i="10"/>
  <c r="AA95" i="10" s="1"/>
  <c r="AA117" i="10" s="1"/>
  <c r="AA161" i="10" s="1"/>
  <c r="AA205" i="10" s="1"/>
  <c r="Z73" i="10"/>
  <c r="Z95" i="10" s="1"/>
  <c r="Z117" i="10" s="1"/>
  <c r="Z161" i="10" s="1"/>
  <c r="Z205" i="10" s="1"/>
  <c r="AB72" i="10"/>
  <c r="AB94" i="10" s="1"/>
  <c r="AB116" i="10" s="1"/>
  <c r="AB160" i="10" s="1"/>
  <c r="AB204" i="10" s="1"/>
  <c r="AA72" i="10"/>
  <c r="AA94" i="10" s="1"/>
  <c r="AA116" i="10" s="1"/>
  <c r="AA160" i="10" s="1"/>
  <c r="AA204" i="10" s="1"/>
  <c r="Z72" i="10"/>
  <c r="Z94" i="10" s="1"/>
  <c r="AB71" i="10"/>
  <c r="AB93" i="10" s="1"/>
  <c r="AB115" i="10" s="1"/>
  <c r="AB159" i="10" s="1"/>
  <c r="AB203" i="10" s="1"/>
  <c r="AA71" i="10"/>
  <c r="Z71" i="10"/>
  <c r="Z93" i="10" s="1"/>
  <c r="Z115" i="10" s="1"/>
  <c r="Z159" i="10" s="1"/>
  <c r="Z203" i="10" s="1"/>
  <c r="AB70" i="10"/>
  <c r="AB92" i="10" s="1"/>
  <c r="AB114" i="10" s="1"/>
  <c r="AB158" i="10" s="1"/>
  <c r="AB202" i="10" s="1"/>
  <c r="AA70" i="10"/>
  <c r="AA92" i="10" s="1"/>
  <c r="AA114" i="10" s="1"/>
  <c r="AA158" i="10" s="1"/>
  <c r="AA202" i="10" s="1"/>
  <c r="Z70" i="10"/>
  <c r="Z92" i="10" s="1"/>
  <c r="Z114" i="10" s="1"/>
  <c r="Z158" i="10" s="1"/>
  <c r="Z202" i="10" s="1"/>
  <c r="R33" i="10"/>
  <c r="R31" i="10"/>
  <c r="R29" i="10"/>
  <c r="R27" i="10"/>
  <c r="R24" i="10"/>
  <c r="R20" i="10"/>
  <c r="R18" i="10"/>
  <c r="C2585" i="10"/>
  <c r="C2579" i="10"/>
  <c r="C2449" i="10"/>
  <c r="C2443" i="10"/>
  <c r="C2313" i="10"/>
  <c r="C2307" i="10"/>
  <c r="C2177" i="10"/>
  <c r="C2171" i="10"/>
  <c r="C2041" i="10"/>
  <c r="C2035" i="10"/>
  <c r="C1905" i="10"/>
  <c r="C1899" i="10"/>
  <c r="C1769" i="10"/>
  <c r="C1763" i="10"/>
  <c r="C1633" i="10"/>
  <c r="C1627" i="10"/>
  <c r="C1225" i="10"/>
  <c r="C1219" i="10"/>
  <c r="C1089" i="10"/>
  <c r="C1083" i="10"/>
  <c r="C398" i="10"/>
  <c r="C396" i="10"/>
  <c r="C394" i="10"/>
  <c r="C392" i="10"/>
  <c r="C390" i="10"/>
  <c r="C388" i="10"/>
  <c r="C385" i="10"/>
  <c r="C384" i="10"/>
  <c r="C380" i="10"/>
  <c r="C376" i="10"/>
  <c r="C374" i="10"/>
  <c r="C373" i="10"/>
  <c r="C372" i="10"/>
  <c r="C364" i="10"/>
  <c r="B359" i="10"/>
  <c r="C368" i="10" s="1"/>
  <c r="C358" i="10"/>
  <c r="C356" i="10"/>
  <c r="C355" i="10"/>
  <c r="C354" i="10"/>
  <c r="C350" i="10"/>
  <c r="C342" i="10"/>
  <c r="B337" i="10"/>
  <c r="C346" i="10" s="1"/>
  <c r="C333" i="10"/>
  <c r="C332" i="10"/>
  <c r="C328" i="10"/>
  <c r="C320" i="10"/>
  <c r="B315" i="10"/>
  <c r="C324" i="10" s="1"/>
  <c r="C311" i="10"/>
  <c r="C310" i="10"/>
  <c r="C306" i="10"/>
  <c r="C298" i="10"/>
  <c r="B293" i="10"/>
  <c r="C302" i="10" s="1"/>
  <c r="C289" i="10"/>
  <c r="C288" i="10"/>
  <c r="C284" i="10"/>
  <c r="C276" i="10"/>
  <c r="B271" i="10"/>
  <c r="C280" i="10" s="1"/>
  <c r="C267" i="10"/>
  <c r="C266" i="10"/>
  <c r="C262" i="10"/>
  <c r="C254" i="10"/>
  <c r="B249" i="10"/>
  <c r="C258" i="10" s="1"/>
  <c r="C245" i="10"/>
  <c r="C244" i="10"/>
  <c r="C240" i="10"/>
  <c r="C232" i="10"/>
  <c r="B227" i="10"/>
  <c r="C236" i="10" s="1"/>
  <c r="C223" i="10"/>
  <c r="C222" i="10"/>
  <c r="C218" i="10"/>
  <c r="C210" i="10"/>
  <c r="B205" i="10"/>
  <c r="C214" i="10" s="1"/>
  <c r="C179" i="10"/>
  <c r="C174" i="10"/>
  <c r="C166" i="10"/>
  <c r="B161" i="10"/>
  <c r="C170" i="10" s="1"/>
  <c r="C135" i="10"/>
  <c r="C130" i="10"/>
  <c r="L123" i="10"/>
  <c r="L167" i="10" s="1"/>
  <c r="L211" i="10" s="1"/>
  <c r="L365" i="10" s="1"/>
  <c r="J123" i="10"/>
  <c r="J167" i="10" s="1"/>
  <c r="J211" i="10" s="1"/>
  <c r="J233" i="10" s="1"/>
  <c r="J255" i="10" s="1"/>
  <c r="J277" i="10" s="1"/>
  <c r="J299" i="10" s="1"/>
  <c r="J321" i="10" s="1"/>
  <c r="J343" i="10" s="1"/>
  <c r="C122" i="10"/>
  <c r="J120" i="10"/>
  <c r="J164" i="10" s="1"/>
  <c r="J208" i="10" s="1"/>
  <c r="B119" i="10"/>
  <c r="C134" i="10" s="1"/>
  <c r="C126" i="10"/>
  <c r="L113" i="10"/>
  <c r="L135" i="10" s="1"/>
  <c r="L179" i="10" s="1"/>
  <c r="K113" i="10"/>
  <c r="K135" i="10" s="1"/>
  <c r="K179" i="10" s="1"/>
  <c r="C113" i="10"/>
  <c r="C108" i="10"/>
  <c r="C104" i="10"/>
  <c r="M101" i="10"/>
  <c r="M123" i="10" s="1"/>
  <c r="M167" i="10" s="1"/>
  <c r="M211" i="10" s="1"/>
  <c r="L101" i="10"/>
  <c r="K101" i="10"/>
  <c r="K123" i="10" s="1"/>
  <c r="J101" i="10"/>
  <c r="M100" i="10"/>
  <c r="M122" i="10" s="1"/>
  <c r="M166" i="10" s="1"/>
  <c r="M210" i="10" s="1"/>
  <c r="M364" i="10" s="1"/>
  <c r="L100" i="10"/>
  <c r="L122" i="10" s="1"/>
  <c r="L166" i="10" s="1"/>
  <c r="L210" i="10" s="1"/>
  <c r="K100" i="10"/>
  <c r="K122" i="10" s="1"/>
  <c r="K166" i="10" s="1"/>
  <c r="K210" i="10" s="1"/>
  <c r="J100" i="10"/>
  <c r="J122" i="10" s="1"/>
  <c r="J166" i="10" s="1"/>
  <c r="J210" i="10" s="1"/>
  <c r="C100" i="10"/>
  <c r="M99" i="10"/>
  <c r="M121" i="10" s="1"/>
  <c r="M165" i="10" s="1"/>
  <c r="L99" i="10"/>
  <c r="L121" i="10" s="1"/>
  <c r="L165" i="10" s="1"/>
  <c r="L209" i="10" s="1"/>
  <c r="K99" i="10"/>
  <c r="K121" i="10" s="1"/>
  <c r="K165" i="10" s="1"/>
  <c r="K209" i="10" s="1"/>
  <c r="J99" i="10"/>
  <c r="J121" i="10" s="1"/>
  <c r="J165" i="10" s="1"/>
  <c r="J209" i="10" s="1"/>
  <c r="J98" i="10"/>
  <c r="J97" i="10"/>
  <c r="J119" i="10" s="1"/>
  <c r="J163" i="10" s="1"/>
  <c r="J207" i="10" s="1"/>
  <c r="J361" i="10" s="1"/>
  <c r="B97" i="10"/>
  <c r="C112" i="10" s="1"/>
  <c r="J96" i="10"/>
  <c r="J118" i="10" s="1"/>
  <c r="J162" i="10" s="1"/>
  <c r="J206" i="10" s="1"/>
  <c r="J95" i="10"/>
  <c r="J117" i="10" s="1"/>
  <c r="B95" i="10"/>
  <c r="L94" i="10"/>
  <c r="L116" i="10" s="1"/>
  <c r="L160" i="10" s="1"/>
  <c r="L204" i="10" s="1"/>
  <c r="J94" i="10"/>
  <c r="J116" i="10" s="1"/>
  <c r="J160" i="10" s="1"/>
  <c r="J204" i="10" s="1"/>
  <c r="M91" i="10"/>
  <c r="M113" i="10" s="1"/>
  <c r="M135" i="10" s="1"/>
  <c r="M179" i="10" s="1"/>
  <c r="L91" i="10"/>
  <c r="K91" i="10"/>
  <c r="C91" i="10"/>
  <c r="C86" i="10"/>
  <c r="C78" i="10"/>
  <c r="B75" i="10"/>
  <c r="C90" i="10" s="1"/>
  <c r="M73" i="10"/>
  <c r="M95" i="10" s="1"/>
  <c r="M117" i="10" s="1"/>
  <c r="M161" i="10" s="1"/>
  <c r="M205" i="10" s="1"/>
  <c r="L73" i="10"/>
  <c r="L95" i="10" s="1"/>
  <c r="L117" i="10" s="1"/>
  <c r="L161" i="10" s="1"/>
  <c r="L205" i="10" s="1"/>
  <c r="L359" i="10" s="1"/>
  <c r="K73" i="10"/>
  <c r="K95" i="10" s="1"/>
  <c r="K117" i="10" s="1"/>
  <c r="K161" i="10" s="1"/>
  <c r="K205" i="10" s="1"/>
  <c r="B73" i="10"/>
  <c r="C82" i="10" s="1"/>
  <c r="M72" i="10"/>
  <c r="M94" i="10" s="1"/>
  <c r="M116" i="10" s="1"/>
  <c r="M160" i="10" s="1"/>
  <c r="M204" i="10" s="1"/>
  <c r="L72" i="10"/>
  <c r="K72" i="10"/>
  <c r="K94" i="10" s="1"/>
  <c r="M71" i="10"/>
  <c r="L71" i="10"/>
  <c r="K71" i="10"/>
  <c r="K93" i="10" s="1"/>
  <c r="K115" i="10" s="1"/>
  <c r="K159" i="10" s="1"/>
  <c r="K203" i="10" s="1"/>
  <c r="M70" i="10"/>
  <c r="M92" i="10" s="1"/>
  <c r="M114" i="10" s="1"/>
  <c r="M158" i="10" s="1"/>
  <c r="M202" i="10" s="1"/>
  <c r="L70" i="10"/>
  <c r="L92" i="10" s="1"/>
  <c r="L114" i="10" s="1"/>
  <c r="L158" i="10" s="1"/>
  <c r="L202" i="10" s="1"/>
  <c r="K70" i="10"/>
  <c r="K92" i="10" s="1"/>
  <c r="K114" i="10" s="1"/>
  <c r="K158" i="10" s="1"/>
  <c r="K202" i="10" s="1"/>
  <c r="C42" i="10"/>
  <c r="C40" i="10"/>
  <c r="C38" i="10"/>
  <c r="C36" i="10"/>
  <c r="C33" i="10"/>
  <c r="C29" i="10"/>
  <c r="C27" i="10"/>
  <c r="C24" i="10"/>
  <c r="C20" i="10"/>
  <c r="C18" i="10"/>
  <c r="C14" i="10"/>
  <c r="C12" i="10"/>
  <c r="C8" i="10"/>
  <c r="C6" i="10"/>
  <c r="C4" i="10"/>
  <c r="C2" i="10"/>
  <c r="C286" i="9"/>
  <c r="C284" i="9"/>
  <c r="C86" i="9"/>
  <c r="C66" i="9"/>
  <c r="C90" i="9"/>
  <c r="C64" i="9"/>
  <c r="K41" i="9"/>
  <c r="B86" i="9"/>
  <c r="B84" i="9"/>
  <c r="B83" i="9"/>
  <c r="C83" i="9"/>
  <c r="C85" i="9"/>
  <c r="C91" i="9"/>
  <c r="C95" i="9"/>
  <c r="C99" i="9"/>
  <c r="C104" i="9"/>
  <c r="B40" i="9"/>
  <c r="B42" i="9"/>
  <c r="B44" i="9"/>
  <c r="B39" i="9"/>
  <c r="C22" i="9"/>
  <c r="B29" i="9"/>
  <c r="C2510" i="9"/>
  <c r="C2504" i="9"/>
  <c r="C2374" i="9"/>
  <c r="C2368" i="9"/>
  <c r="C2238" i="9"/>
  <c r="C2232" i="9"/>
  <c r="C2102" i="9"/>
  <c r="C2096" i="9"/>
  <c r="C1966" i="9"/>
  <c r="C1960" i="9"/>
  <c r="C1830" i="9"/>
  <c r="C1824" i="9"/>
  <c r="C1694" i="9"/>
  <c r="C1688" i="9"/>
  <c r="C1558" i="9"/>
  <c r="C1552" i="9"/>
  <c r="C1150" i="9"/>
  <c r="C1144" i="9"/>
  <c r="C1014" i="9"/>
  <c r="C1008" i="9"/>
  <c r="C323" i="9"/>
  <c r="C321" i="9"/>
  <c r="C319" i="9"/>
  <c r="C317" i="9"/>
  <c r="C315" i="9"/>
  <c r="C313" i="9"/>
  <c r="C310" i="9"/>
  <c r="C309" i="9"/>
  <c r="C305" i="9"/>
  <c r="C301" i="9"/>
  <c r="C299" i="9"/>
  <c r="C298" i="9"/>
  <c r="C297" i="9"/>
  <c r="M289" i="9"/>
  <c r="C289" i="9"/>
  <c r="B284" i="9"/>
  <c r="C293" i="9" s="1"/>
  <c r="C283" i="9"/>
  <c r="C281" i="9"/>
  <c r="C236" i="9"/>
  <c r="C235" i="9"/>
  <c r="C231" i="9"/>
  <c r="C223" i="9"/>
  <c r="B218" i="9"/>
  <c r="C227" i="9" s="1"/>
  <c r="B174" i="9"/>
  <c r="L158" i="9"/>
  <c r="L180" i="9" s="1"/>
  <c r="L202" i="9" s="1"/>
  <c r="L224" i="9" s="1"/>
  <c r="L246" i="9" s="1"/>
  <c r="L268" i="9" s="1"/>
  <c r="M135" i="9"/>
  <c r="M157" i="9" s="1"/>
  <c r="M179" i="9" s="1"/>
  <c r="M201" i="9" s="1"/>
  <c r="M223" i="9" s="1"/>
  <c r="M245" i="9" s="1"/>
  <c r="M267" i="9" s="1"/>
  <c r="M114" i="9"/>
  <c r="M136" i="9" s="1"/>
  <c r="J113" i="9"/>
  <c r="J135" i="9" s="1"/>
  <c r="J109" i="9"/>
  <c r="J131" i="9" s="1"/>
  <c r="J92" i="9"/>
  <c r="J114" i="9" s="1"/>
  <c r="J136" i="9" s="1"/>
  <c r="J91" i="9"/>
  <c r="M90" i="9"/>
  <c r="M112" i="9" s="1"/>
  <c r="M134" i="9" s="1"/>
  <c r="J89" i="9"/>
  <c r="J111" i="9" s="1"/>
  <c r="J133" i="9" s="1"/>
  <c r="B88" i="9"/>
  <c r="C103" i="9" s="1"/>
  <c r="J86" i="9"/>
  <c r="J108" i="9" s="1"/>
  <c r="J130" i="9" s="1"/>
  <c r="M83" i="9"/>
  <c r="M105" i="9" s="1"/>
  <c r="M127" i="9" s="1"/>
  <c r="C82" i="9"/>
  <c r="C77" i="9"/>
  <c r="M70" i="9"/>
  <c r="M92" i="9" s="1"/>
  <c r="L70" i="9"/>
  <c r="L92" i="9" s="1"/>
  <c r="L114" i="9" s="1"/>
  <c r="L136" i="9" s="1"/>
  <c r="L290" i="9" s="1"/>
  <c r="K70" i="9"/>
  <c r="K92" i="9" s="1"/>
  <c r="K114" i="9" s="1"/>
  <c r="K136" i="9" s="1"/>
  <c r="J70" i="9"/>
  <c r="M69" i="9"/>
  <c r="M91" i="9" s="1"/>
  <c r="M113" i="9" s="1"/>
  <c r="L69" i="9"/>
  <c r="L91" i="9" s="1"/>
  <c r="L113" i="9" s="1"/>
  <c r="L135" i="9" s="1"/>
  <c r="K69" i="9"/>
  <c r="K91" i="9" s="1"/>
  <c r="K113" i="9" s="1"/>
  <c r="K135" i="9" s="1"/>
  <c r="J69" i="9"/>
  <c r="C69" i="9"/>
  <c r="M68" i="9"/>
  <c r="L68" i="9"/>
  <c r="L90" i="9" s="1"/>
  <c r="L112" i="9" s="1"/>
  <c r="L134" i="9" s="1"/>
  <c r="L288" i="9" s="1"/>
  <c r="K68" i="9"/>
  <c r="K90" i="9" s="1"/>
  <c r="K112" i="9" s="1"/>
  <c r="K134" i="9" s="1"/>
  <c r="J68" i="9"/>
  <c r="J90" i="9" s="1"/>
  <c r="J112" i="9" s="1"/>
  <c r="J134" i="9" s="1"/>
  <c r="J67" i="9"/>
  <c r="J66" i="9"/>
  <c r="J88" i="9" s="1"/>
  <c r="J110" i="9" s="1"/>
  <c r="J132" i="9" s="1"/>
  <c r="B66" i="9"/>
  <c r="C81" i="9" s="1"/>
  <c r="J65" i="9"/>
  <c r="J87" i="9" s="1"/>
  <c r="M64" i="9"/>
  <c r="M86" i="9" s="1"/>
  <c r="M108" i="9" s="1"/>
  <c r="M130" i="9" s="1"/>
  <c r="J64" i="9"/>
  <c r="B64" i="9"/>
  <c r="C73" i="9" s="1"/>
  <c r="J63" i="9"/>
  <c r="J85" i="9" s="1"/>
  <c r="J107" i="9" s="1"/>
  <c r="J129" i="9" s="1"/>
  <c r="L61" i="9"/>
  <c r="L83" i="9" s="1"/>
  <c r="L105" i="9" s="1"/>
  <c r="L127" i="9" s="1"/>
  <c r="B61" i="9"/>
  <c r="B215" i="9" s="1"/>
  <c r="C215" i="9" s="1"/>
  <c r="M60" i="9"/>
  <c r="M82" i="9" s="1"/>
  <c r="M104" i="9" s="1"/>
  <c r="M126" i="9" s="1"/>
  <c r="L60" i="9"/>
  <c r="L82" i="9" s="1"/>
  <c r="L104" i="9" s="1"/>
  <c r="L126" i="9" s="1"/>
  <c r="K60" i="9"/>
  <c r="K82" i="9" s="1"/>
  <c r="K104" i="9" s="1"/>
  <c r="K126" i="9" s="1"/>
  <c r="M45" i="9"/>
  <c r="M67" i="9" s="1"/>
  <c r="M89" i="9" s="1"/>
  <c r="M111" i="9" s="1"/>
  <c r="M133" i="9" s="1"/>
  <c r="M42" i="9"/>
  <c r="L42" i="9"/>
  <c r="L64" i="9" s="1"/>
  <c r="L86" i="9" s="1"/>
  <c r="L108" i="9" s="1"/>
  <c r="L130" i="9" s="1"/>
  <c r="K42" i="9"/>
  <c r="K64" i="9" s="1"/>
  <c r="K86" i="9" s="1"/>
  <c r="K108" i="9" s="1"/>
  <c r="K130" i="9" s="1"/>
  <c r="M41" i="9"/>
  <c r="M63" i="9" s="1"/>
  <c r="M85" i="9" s="1"/>
  <c r="M107" i="9" s="1"/>
  <c r="M129" i="9" s="1"/>
  <c r="L41" i="9"/>
  <c r="L63" i="9" s="1"/>
  <c r="L85" i="9" s="1"/>
  <c r="L107" i="9" s="1"/>
  <c r="L129" i="9" s="1"/>
  <c r="L283" i="9" s="1"/>
  <c r="K63" i="9"/>
  <c r="M40" i="9"/>
  <c r="L40" i="9"/>
  <c r="L62" i="9" s="1"/>
  <c r="L84" i="9" s="1"/>
  <c r="L106" i="9" s="1"/>
  <c r="L128" i="9" s="1"/>
  <c r="K40" i="9"/>
  <c r="M39" i="9"/>
  <c r="M61" i="9" s="1"/>
  <c r="L39" i="9"/>
  <c r="K39" i="9"/>
  <c r="K61" i="9" s="1"/>
  <c r="K83" i="9" s="1"/>
  <c r="K105" i="9" s="1"/>
  <c r="K127" i="9" s="1"/>
  <c r="C33" i="9"/>
  <c r="C29" i="9"/>
  <c r="C31" i="9"/>
  <c r="C27" i="9"/>
  <c r="C24" i="9"/>
  <c r="C20" i="9"/>
  <c r="C18" i="9"/>
  <c r="C16" i="9"/>
  <c r="C14" i="9"/>
  <c r="C12" i="9"/>
  <c r="C8" i="9"/>
  <c r="C6" i="9"/>
  <c r="C4" i="9"/>
  <c r="C2" i="9"/>
  <c r="C317" i="8"/>
  <c r="C319" i="8"/>
  <c r="C297" i="8"/>
  <c r="C295" i="8"/>
  <c r="C275" i="8"/>
  <c r="C273" i="8"/>
  <c r="C253" i="8"/>
  <c r="C251" i="8"/>
  <c r="C231" i="8"/>
  <c r="C229" i="8"/>
  <c r="C209" i="8"/>
  <c r="C207" i="8"/>
  <c r="C205" i="8"/>
  <c r="B312" i="8"/>
  <c r="C314" i="8" s="1"/>
  <c r="B268" i="8"/>
  <c r="C268" i="8" s="1"/>
  <c r="B224" i="8"/>
  <c r="B202" i="8"/>
  <c r="B180" i="8"/>
  <c r="C143" i="8"/>
  <c r="C141" i="8"/>
  <c r="C182" i="8"/>
  <c r="C180" i="8"/>
  <c r="B181" i="8"/>
  <c r="B183" i="8"/>
  <c r="C183" i="8"/>
  <c r="C185" i="8"/>
  <c r="C187" i="8"/>
  <c r="C188" i="8"/>
  <c r="C192" i="8"/>
  <c r="C196" i="8"/>
  <c r="C200" i="8"/>
  <c r="C201" i="8"/>
  <c r="C204" i="8"/>
  <c r="C202" i="8"/>
  <c r="B203" i="8"/>
  <c r="B205" i="8"/>
  <c r="C210" i="8"/>
  <c r="C214" i="8"/>
  <c r="C218" i="8"/>
  <c r="C222" i="8"/>
  <c r="C223" i="8"/>
  <c r="C226" i="8"/>
  <c r="C224" i="8"/>
  <c r="B225" i="8"/>
  <c r="B227" i="8"/>
  <c r="C227" i="8"/>
  <c r="C232" i="8"/>
  <c r="C236" i="8"/>
  <c r="C240" i="8"/>
  <c r="C244" i="8"/>
  <c r="C245" i="8"/>
  <c r="B269" i="8"/>
  <c r="C270" i="8"/>
  <c r="B271" i="8"/>
  <c r="C271" i="8"/>
  <c r="C276" i="8"/>
  <c r="C280" i="8"/>
  <c r="C284" i="8"/>
  <c r="C288" i="8"/>
  <c r="C289" i="8"/>
  <c r="B313" i="8"/>
  <c r="B315" i="8"/>
  <c r="C315" i="8"/>
  <c r="C320" i="8"/>
  <c r="C324" i="8"/>
  <c r="C328" i="8"/>
  <c r="C332" i="8"/>
  <c r="C333" i="8"/>
  <c r="C121" i="8"/>
  <c r="C119" i="8"/>
  <c r="C77" i="8"/>
  <c r="C75" i="8"/>
  <c r="C55" i="8"/>
  <c r="C53" i="8"/>
  <c r="L92" i="8"/>
  <c r="L114" i="8" s="1"/>
  <c r="K94" i="8"/>
  <c r="K116" i="8" s="1"/>
  <c r="L95" i="8"/>
  <c r="J98" i="8"/>
  <c r="J120" i="8" s="1"/>
  <c r="J99" i="8"/>
  <c r="J143" i="8" s="1"/>
  <c r="J187" i="8" s="1"/>
  <c r="M99" i="8"/>
  <c r="M121" i="8" s="1"/>
  <c r="L100" i="8"/>
  <c r="L122" i="8" s="1"/>
  <c r="M100" i="8"/>
  <c r="M122" i="8" s="1"/>
  <c r="L101" i="8"/>
  <c r="M101" i="8"/>
  <c r="M123" i="8" s="1"/>
  <c r="M113" i="8"/>
  <c r="L117" i="8"/>
  <c r="L123" i="8"/>
  <c r="B114" i="8"/>
  <c r="B48" i="8"/>
  <c r="B70" i="8"/>
  <c r="B136" i="8"/>
  <c r="C138" i="8" s="1"/>
  <c r="B20" i="8"/>
  <c r="C2563" i="8"/>
  <c r="C2557" i="8"/>
  <c r="C2427" i="8"/>
  <c r="C2421" i="8"/>
  <c r="C2291" i="8"/>
  <c r="C2285" i="8"/>
  <c r="C2155" i="8"/>
  <c r="C2149" i="8"/>
  <c r="C2019" i="8"/>
  <c r="C2013" i="8"/>
  <c r="C1883" i="8"/>
  <c r="C1877" i="8"/>
  <c r="C1747" i="8"/>
  <c r="C1741" i="8"/>
  <c r="C1611" i="8"/>
  <c r="C1605" i="8"/>
  <c r="C1203" i="8"/>
  <c r="C1197" i="8"/>
  <c r="C1067" i="8"/>
  <c r="C1061" i="8"/>
  <c r="C376" i="8"/>
  <c r="C374" i="8"/>
  <c r="C372" i="8"/>
  <c r="C370" i="8"/>
  <c r="C368" i="8"/>
  <c r="C366" i="8"/>
  <c r="C363" i="8"/>
  <c r="C362" i="8"/>
  <c r="C358" i="8"/>
  <c r="C354" i="8"/>
  <c r="C352" i="8"/>
  <c r="C351" i="8"/>
  <c r="C350" i="8"/>
  <c r="C342" i="8"/>
  <c r="B337" i="8"/>
  <c r="C346" i="8" s="1"/>
  <c r="C336" i="8"/>
  <c r="C334" i="8"/>
  <c r="C311" i="8"/>
  <c r="C310" i="8"/>
  <c r="C306" i="8"/>
  <c r="C298" i="8"/>
  <c r="B293" i="8"/>
  <c r="C302" i="8" s="1"/>
  <c r="C267" i="8"/>
  <c r="C266" i="8"/>
  <c r="C262" i="8"/>
  <c r="C254" i="8"/>
  <c r="B249" i="8"/>
  <c r="C258" i="8" s="1"/>
  <c r="C157" i="8"/>
  <c r="C152" i="8"/>
  <c r="C144" i="8"/>
  <c r="B139" i="8"/>
  <c r="C148" i="8" s="1"/>
  <c r="C135" i="8"/>
  <c r="C130" i="8"/>
  <c r="C122" i="8"/>
  <c r="B117" i="8"/>
  <c r="C126" i="8" s="1"/>
  <c r="C91" i="8"/>
  <c r="C86" i="8"/>
  <c r="C82" i="8"/>
  <c r="M79" i="8"/>
  <c r="L79" i="8"/>
  <c r="K79" i="8"/>
  <c r="K101" i="8" s="1"/>
  <c r="K123" i="8" s="1"/>
  <c r="J79" i="8"/>
  <c r="J101" i="8" s="1"/>
  <c r="J123" i="8" s="1"/>
  <c r="M78" i="8"/>
  <c r="L78" i="8"/>
  <c r="B119" i="8" s="1"/>
  <c r="C134" i="8" s="1"/>
  <c r="K78" i="8"/>
  <c r="K100" i="8" s="1"/>
  <c r="K122" i="8" s="1"/>
  <c r="J78" i="8"/>
  <c r="J100" i="8" s="1"/>
  <c r="J122" i="8" s="1"/>
  <c r="C78" i="8"/>
  <c r="M77" i="8"/>
  <c r="L77" i="8"/>
  <c r="L99" i="8" s="1"/>
  <c r="L121" i="8" s="1"/>
  <c r="K77" i="8"/>
  <c r="K99" i="8" s="1"/>
  <c r="K121" i="8" s="1"/>
  <c r="J77" i="8"/>
  <c r="J76" i="8"/>
  <c r="J75" i="8"/>
  <c r="J97" i="8" s="1"/>
  <c r="J119" i="8" s="1"/>
  <c r="B75" i="8"/>
  <c r="C90" i="8" s="1"/>
  <c r="J74" i="8"/>
  <c r="J96" i="8" s="1"/>
  <c r="J73" i="8"/>
  <c r="J95" i="8" s="1"/>
  <c r="J117" i="8" s="1"/>
  <c r="B73" i="8"/>
  <c r="J72" i="8"/>
  <c r="J94" i="8" s="1"/>
  <c r="J116" i="8" s="1"/>
  <c r="M69" i="8"/>
  <c r="M91" i="8" s="1"/>
  <c r="L69" i="8"/>
  <c r="L91" i="8" s="1"/>
  <c r="L113" i="8" s="1"/>
  <c r="K69" i="8"/>
  <c r="K91" i="8" s="1"/>
  <c r="K113" i="8" s="1"/>
  <c r="C69" i="8"/>
  <c r="C64" i="8"/>
  <c r="C56" i="8"/>
  <c r="B53" i="8"/>
  <c r="C68" i="8" s="1"/>
  <c r="M51" i="8"/>
  <c r="M73" i="8" s="1"/>
  <c r="L51" i="8"/>
  <c r="L73" i="8" s="1"/>
  <c r="K51" i="8"/>
  <c r="K73" i="8" s="1"/>
  <c r="K95" i="8" s="1"/>
  <c r="K117" i="8" s="1"/>
  <c r="B51" i="8"/>
  <c r="C60" i="8" s="1"/>
  <c r="M50" i="8"/>
  <c r="M72" i="8" s="1"/>
  <c r="M94" i="8" s="1"/>
  <c r="M116" i="8" s="1"/>
  <c r="L50" i="8"/>
  <c r="L72" i="8" s="1"/>
  <c r="L94" i="8" s="1"/>
  <c r="L116" i="8" s="1"/>
  <c r="K50" i="8"/>
  <c r="K72" i="8" s="1"/>
  <c r="B353" i="8" s="1"/>
  <c r="M49" i="8"/>
  <c r="L49" i="8"/>
  <c r="L71" i="8" s="1"/>
  <c r="L93" i="8" s="1"/>
  <c r="L115" i="8" s="1"/>
  <c r="K49" i="8"/>
  <c r="M48" i="8"/>
  <c r="M70" i="8" s="1"/>
  <c r="M92" i="8" s="1"/>
  <c r="M114" i="8" s="1"/>
  <c r="L48" i="8"/>
  <c r="L70" i="8" s="1"/>
  <c r="K48" i="8"/>
  <c r="K70" i="8" s="1"/>
  <c r="K92" i="8" s="1"/>
  <c r="K114" i="8" s="1"/>
  <c r="C42" i="8"/>
  <c r="C40" i="8"/>
  <c r="C38" i="8"/>
  <c r="C36" i="8"/>
  <c r="C33" i="8"/>
  <c r="C31" i="8"/>
  <c r="C29" i="8"/>
  <c r="C27" i="8"/>
  <c r="C24" i="8"/>
  <c r="C22" i="8"/>
  <c r="C20" i="8"/>
  <c r="C18" i="8"/>
  <c r="C16" i="8"/>
  <c r="C14" i="8"/>
  <c r="C12" i="8"/>
  <c r="C8" i="8"/>
  <c r="C6" i="8"/>
  <c r="C4" i="8"/>
  <c r="C2" i="8"/>
  <c r="AB221" i="13" l="1"/>
  <c r="R172" i="13"/>
  <c r="AA352" i="13"/>
  <c r="AA374" i="13" s="1"/>
  <c r="R331" i="13"/>
  <c r="M286" i="13"/>
  <c r="C267" i="13"/>
  <c r="M397" i="13"/>
  <c r="M265" i="13"/>
  <c r="M287" i="13" s="1"/>
  <c r="M309" i="13" s="1"/>
  <c r="M331" i="13" s="1"/>
  <c r="M353" i="13" s="1"/>
  <c r="M375" i="13" s="1"/>
  <c r="K398" i="13"/>
  <c r="K266" i="13"/>
  <c r="K288" i="13" s="1"/>
  <c r="K310" i="13" s="1"/>
  <c r="K332" i="13" s="1"/>
  <c r="K354" i="13" s="1"/>
  <c r="K376" i="13" s="1"/>
  <c r="B305" i="13"/>
  <c r="K242" i="13"/>
  <c r="L308" i="13"/>
  <c r="C287" i="13"/>
  <c r="AB397" i="13"/>
  <c r="R399" i="13" s="1"/>
  <c r="AB265" i="13"/>
  <c r="AB287" i="13" s="1"/>
  <c r="AB309" i="13" s="1"/>
  <c r="AB331" i="13" s="1"/>
  <c r="AB353" i="13" s="1"/>
  <c r="AB375" i="13" s="1"/>
  <c r="AB352" i="13"/>
  <c r="AB374" i="13" s="1"/>
  <c r="R333" i="13"/>
  <c r="R329" i="13"/>
  <c r="Z352" i="13"/>
  <c r="Z374" i="13" s="1"/>
  <c r="M221" i="13"/>
  <c r="K287" i="13"/>
  <c r="K309" i="13" s="1"/>
  <c r="K331" i="13" s="1"/>
  <c r="K353" i="13" s="1"/>
  <c r="K375" i="13" s="1"/>
  <c r="C263" i="13"/>
  <c r="L243" i="13"/>
  <c r="AA397" i="13"/>
  <c r="R397" i="13" s="1"/>
  <c r="AA265" i="13"/>
  <c r="AA287" i="13" s="1"/>
  <c r="AA309" i="13" s="1"/>
  <c r="AA331" i="13" s="1"/>
  <c r="AA353" i="13" s="1"/>
  <c r="AA375" i="13" s="1"/>
  <c r="K44" i="11"/>
  <c r="B199" i="11" s="1"/>
  <c r="L60" i="11"/>
  <c r="L80" i="11" s="1"/>
  <c r="L100" i="11" s="1"/>
  <c r="L120" i="11" s="1"/>
  <c r="B118" i="11"/>
  <c r="C120" i="11" s="1"/>
  <c r="C80" i="11"/>
  <c r="B138" i="11"/>
  <c r="C138" i="11" s="1"/>
  <c r="K80" i="11"/>
  <c r="K100" i="11" s="1"/>
  <c r="K120" i="11" s="1"/>
  <c r="B215" i="11"/>
  <c r="K161" i="11"/>
  <c r="K181" i="11" s="1"/>
  <c r="K141" i="11"/>
  <c r="B79" i="11"/>
  <c r="K64" i="11"/>
  <c r="K84" i="11" s="1"/>
  <c r="B99" i="11"/>
  <c r="K157" i="11"/>
  <c r="K177" i="11" s="1"/>
  <c r="K137" i="11"/>
  <c r="L158" i="11"/>
  <c r="L178" i="11" s="1"/>
  <c r="L138" i="11"/>
  <c r="J145" i="11"/>
  <c r="J165" i="11"/>
  <c r="J185" i="11" s="1"/>
  <c r="K146" i="11"/>
  <c r="K166" i="11"/>
  <c r="K186" i="11" s="1"/>
  <c r="L167" i="11"/>
  <c r="L187" i="11" s="1"/>
  <c r="L147" i="11"/>
  <c r="J166" i="11"/>
  <c r="J186" i="11" s="1"/>
  <c r="J146" i="11"/>
  <c r="L63" i="11"/>
  <c r="L83" i="11" s="1"/>
  <c r="L103" i="11" s="1"/>
  <c r="B100" i="11"/>
  <c r="L157" i="11"/>
  <c r="L177" i="11" s="1"/>
  <c r="L137" i="11"/>
  <c r="J143" i="11"/>
  <c r="J163" i="11"/>
  <c r="J183" i="11" s="1"/>
  <c r="K145" i="11"/>
  <c r="K165" i="11"/>
  <c r="K185" i="11" s="1"/>
  <c r="L146" i="11"/>
  <c r="L166" i="11"/>
  <c r="L186" i="11" s="1"/>
  <c r="J140" i="11"/>
  <c r="J160" i="11"/>
  <c r="J180" i="11" s="1"/>
  <c r="L141" i="11"/>
  <c r="L161" i="11"/>
  <c r="L181" i="11" s="1"/>
  <c r="B83" i="11"/>
  <c r="C96" i="11" s="1"/>
  <c r="L105" i="11"/>
  <c r="L125" i="11" s="1"/>
  <c r="J167" i="11"/>
  <c r="J187" i="11" s="1"/>
  <c r="J147" i="11"/>
  <c r="J161" i="11"/>
  <c r="J181" i="11" s="1"/>
  <c r="J141" i="11"/>
  <c r="K158" i="11"/>
  <c r="K178" i="11" s="1"/>
  <c r="K138" i="11"/>
  <c r="L140" i="11"/>
  <c r="L160" i="11"/>
  <c r="L180" i="11" s="1"/>
  <c r="J142" i="11"/>
  <c r="J162" i="11"/>
  <c r="J182" i="11" s="1"/>
  <c r="J144" i="11"/>
  <c r="J164" i="11"/>
  <c r="J184" i="11" s="1"/>
  <c r="K167" i="11"/>
  <c r="K187" i="11" s="1"/>
  <c r="K147" i="11"/>
  <c r="C38" i="11"/>
  <c r="K59" i="11"/>
  <c r="K79" i="11" s="1"/>
  <c r="K99" i="11" s="1"/>
  <c r="K119" i="11" s="1"/>
  <c r="K43" i="11"/>
  <c r="K42" i="11"/>
  <c r="C100" i="11"/>
  <c r="C98" i="11"/>
  <c r="B158" i="11"/>
  <c r="B178" i="11"/>
  <c r="L44" i="11"/>
  <c r="L42" i="11"/>
  <c r="L59" i="11"/>
  <c r="L79" i="11" s="1"/>
  <c r="L99" i="11" s="1"/>
  <c r="L119" i="11" s="1"/>
  <c r="C118" i="11"/>
  <c r="AA139" i="10"/>
  <c r="AA183" i="10" s="1"/>
  <c r="K53" i="10"/>
  <c r="AA138" i="10"/>
  <c r="AA182" i="10" s="1"/>
  <c r="M138" i="10"/>
  <c r="M182" i="10" s="1"/>
  <c r="R70" i="10"/>
  <c r="R138" i="10"/>
  <c r="Q139" i="10"/>
  <c r="R148" i="10" s="1"/>
  <c r="K167" i="10"/>
  <c r="K211" i="10" s="1"/>
  <c r="K145" i="10"/>
  <c r="K189" i="10" s="1"/>
  <c r="J161" i="10"/>
  <c r="J205" i="10" s="1"/>
  <c r="J359" i="10" s="1"/>
  <c r="J139" i="10"/>
  <c r="J183" i="10" s="1"/>
  <c r="J141" i="10"/>
  <c r="J185" i="10" s="1"/>
  <c r="L145" i="10"/>
  <c r="L189" i="10" s="1"/>
  <c r="K137" i="10"/>
  <c r="K181" i="10" s="1"/>
  <c r="K139" i="10"/>
  <c r="K183" i="10" s="1"/>
  <c r="L143" i="10"/>
  <c r="L187" i="10" s="1"/>
  <c r="M53" i="10"/>
  <c r="M136" i="10"/>
  <c r="M180" i="10" s="1"/>
  <c r="L139" i="10"/>
  <c r="L183" i="10" s="1"/>
  <c r="J140" i="10"/>
  <c r="J184" i="10" s="1"/>
  <c r="J142" i="10"/>
  <c r="J186" i="10" s="1"/>
  <c r="M143" i="10"/>
  <c r="M187" i="10" s="1"/>
  <c r="B185" i="10" s="1"/>
  <c r="C200" i="10" s="1"/>
  <c r="K144" i="10"/>
  <c r="K188" i="10" s="1"/>
  <c r="J145" i="10"/>
  <c r="J189" i="10" s="1"/>
  <c r="L233" i="10"/>
  <c r="L255" i="10" s="1"/>
  <c r="L277" i="10" s="1"/>
  <c r="L299" i="10" s="1"/>
  <c r="L321" i="10" s="1"/>
  <c r="L343" i="10" s="1"/>
  <c r="L138" i="10"/>
  <c r="L182" i="10" s="1"/>
  <c r="M139" i="10"/>
  <c r="M183" i="10" s="1"/>
  <c r="J143" i="10"/>
  <c r="J187" i="10" s="1"/>
  <c r="L144" i="10"/>
  <c r="M157" i="10"/>
  <c r="M201" i="10" s="1"/>
  <c r="K52" i="10"/>
  <c r="K54" i="10"/>
  <c r="L52" i="10"/>
  <c r="L54" i="10"/>
  <c r="C53" i="10" s="1"/>
  <c r="M52" i="10"/>
  <c r="M54" i="10"/>
  <c r="C48" i="10"/>
  <c r="Z53" i="10"/>
  <c r="Q71" i="10" s="1"/>
  <c r="R73" i="10" s="1"/>
  <c r="AA53" i="10"/>
  <c r="R53" i="10" s="1"/>
  <c r="Z52" i="10"/>
  <c r="AA52" i="10"/>
  <c r="M209" i="10"/>
  <c r="B163" i="10"/>
  <c r="C178" i="10" s="1"/>
  <c r="B268" i="10"/>
  <c r="C268" i="10" s="1"/>
  <c r="B334" i="10"/>
  <c r="C336" i="10" s="1"/>
  <c r="C158" i="10"/>
  <c r="J365" i="10"/>
  <c r="L223" i="10"/>
  <c r="L245" i="10" s="1"/>
  <c r="L267" i="10" s="1"/>
  <c r="L289" i="10" s="1"/>
  <c r="L311" i="10" s="1"/>
  <c r="L333" i="10" s="1"/>
  <c r="L355" i="10"/>
  <c r="AB75" i="10"/>
  <c r="AB97" i="10" s="1"/>
  <c r="AB119" i="10" s="1"/>
  <c r="AB163" i="10" s="1"/>
  <c r="AB207" i="10" s="1"/>
  <c r="AB229" i="10" s="1"/>
  <c r="AB251" i="10" s="1"/>
  <c r="AB273" i="10" s="1"/>
  <c r="AB295" i="10" s="1"/>
  <c r="AB317" i="10" s="1"/>
  <c r="AB339" i="10" s="1"/>
  <c r="K76" i="10"/>
  <c r="L76" i="10"/>
  <c r="B358" i="10" s="1"/>
  <c r="L75" i="10"/>
  <c r="L93" i="10"/>
  <c r="L115" i="10" s="1"/>
  <c r="M76" i="10"/>
  <c r="M75" i="10"/>
  <c r="M97" i="10" s="1"/>
  <c r="M119" i="10" s="1"/>
  <c r="M93" i="10"/>
  <c r="M115" i="10" s="1"/>
  <c r="AA76" i="10"/>
  <c r="AA98" i="10" s="1"/>
  <c r="AA120" i="10" s="1"/>
  <c r="AA75" i="10"/>
  <c r="AA93" i="10"/>
  <c r="AA115" i="10" s="1"/>
  <c r="AA159" i="10" s="1"/>
  <c r="AA203" i="10" s="1"/>
  <c r="AA225" i="10" s="1"/>
  <c r="AA247" i="10" s="1"/>
  <c r="AA269" i="10" s="1"/>
  <c r="AA291" i="10" s="1"/>
  <c r="AA313" i="10" s="1"/>
  <c r="AA335" i="10" s="1"/>
  <c r="Z76" i="10"/>
  <c r="Q357" i="10" s="1"/>
  <c r="R359" i="10" s="1"/>
  <c r="R114" i="10"/>
  <c r="R92" i="10"/>
  <c r="C270" i="10"/>
  <c r="B202" i="10"/>
  <c r="C204" i="10" s="1"/>
  <c r="C116" i="10"/>
  <c r="L356" i="10"/>
  <c r="L224" i="10"/>
  <c r="L246" i="10" s="1"/>
  <c r="L268" i="10" s="1"/>
  <c r="L290" i="10" s="1"/>
  <c r="L312" i="10" s="1"/>
  <c r="L334" i="10" s="1"/>
  <c r="C114" i="10"/>
  <c r="C72" i="10"/>
  <c r="B246" i="10"/>
  <c r="C248" i="10" s="1"/>
  <c r="Y359" i="10"/>
  <c r="Y227" i="10"/>
  <c r="Y249" i="10" s="1"/>
  <c r="Y271" i="10" s="1"/>
  <c r="Y293" i="10" s="1"/>
  <c r="Y315" i="10" s="1"/>
  <c r="Y337" i="10" s="1"/>
  <c r="Y365" i="10"/>
  <c r="Y233" i="10"/>
  <c r="Y255" i="10" s="1"/>
  <c r="Y277" i="10" s="1"/>
  <c r="Y299" i="10" s="1"/>
  <c r="Y321" i="10" s="1"/>
  <c r="Y343" i="10" s="1"/>
  <c r="Z359" i="10"/>
  <c r="Z227" i="10"/>
  <c r="Z249" i="10" s="1"/>
  <c r="Z271" i="10" s="1"/>
  <c r="Z293" i="10" s="1"/>
  <c r="Z315" i="10" s="1"/>
  <c r="Z337" i="10" s="1"/>
  <c r="AB361" i="10"/>
  <c r="Z357" i="10"/>
  <c r="Z225" i="10"/>
  <c r="Z247" i="10" s="1"/>
  <c r="Z269" i="10" s="1"/>
  <c r="Z291" i="10" s="1"/>
  <c r="Z313" i="10" s="1"/>
  <c r="Z335" i="10" s="1"/>
  <c r="AB355" i="10"/>
  <c r="AB223" i="10"/>
  <c r="AB245" i="10" s="1"/>
  <c r="AB267" i="10" s="1"/>
  <c r="AB289" i="10" s="1"/>
  <c r="AB311" i="10" s="1"/>
  <c r="AB333" i="10" s="1"/>
  <c r="AB356" i="10"/>
  <c r="AB224" i="10"/>
  <c r="AB246" i="10" s="1"/>
  <c r="AB268" i="10" s="1"/>
  <c r="AB290" i="10" s="1"/>
  <c r="AB312" i="10" s="1"/>
  <c r="AB334" i="10" s="1"/>
  <c r="Y231" i="10"/>
  <c r="Y253" i="10" s="1"/>
  <c r="Y275" i="10" s="1"/>
  <c r="Y297" i="10" s="1"/>
  <c r="Y319" i="10" s="1"/>
  <c r="Y341" i="10" s="1"/>
  <c r="Y363" i="10"/>
  <c r="AB232" i="10"/>
  <c r="AB254" i="10" s="1"/>
  <c r="AB276" i="10" s="1"/>
  <c r="AB298" i="10" s="1"/>
  <c r="AB320" i="10" s="1"/>
  <c r="AB342" i="10" s="1"/>
  <c r="AB364" i="10"/>
  <c r="Z355" i="10"/>
  <c r="Z223" i="10"/>
  <c r="Z245" i="10" s="1"/>
  <c r="Z267" i="10" s="1"/>
  <c r="Z289" i="10" s="1"/>
  <c r="Z311" i="10" s="1"/>
  <c r="Z333" i="10" s="1"/>
  <c r="Z356" i="10"/>
  <c r="Z224" i="10"/>
  <c r="Z246" i="10" s="1"/>
  <c r="Z268" i="10" s="1"/>
  <c r="Z290" i="10" s="1"/>
  <c r="Z312" i="10" s="1"/>
  <c r="Z334" i="10" s="1"/>
  <c r="AB359" i="10"/>
  <c r="AB227" i="10"/>
  <c r="AB249" i="10" s="1"/>
  <c r="AB271" i="10" s="1"/>
  <c r="AB293" i="10" s="1"/>
  <c r="AB315" i="10" s="1"/>
  <c r="AB337" i="10" s="1"/>
  <c r="AB357" i="10"/>
  <c r="AB225" i="10"/>
  <c r="AB247" i="10" s="1"/>
  <c r="AB269" i="10" s="1"/>
  <c r="AB291" i="10" s="1"/>
  <c r="AB313" i="10" s="1"/>
  <c r="AB335" i="10" s="1"/>
  <c r="AA226" i="10"/>
  <c r="AA248" i="10" s="1"/>
  <c r="AA270" i="10" s="1"/>
  <c r="AA292" i="10" s="1"/>
  <c r="AA314" i="10" s="1"/>
  <c r="AA336" i="10" s="1"/>
  <c r="AA358" i="10"/>
  <c r="AA363" i="10"/>
  <c r="AA231" i="10"/>
  <c r="AA253" i="10" s="1"/>
  <c r="AA275" i="10" s="1"/>
  <c r="AA297" i="10" s="1"/>
  <c r="AA319" i="10" s="1"/>
  <c r="AA341" i="10" s="1"/>
  <c r="Z365" i="10"/>
  <c r="Z233" i="10"/>
  <c r="Z255" i="10" s="1"/>
  <c r="Z277" i="10" s="1"/>
  <c r="Z299" i="10" s="1"/>
  <c r="Z321" i="10" s="1"/>
  <c r="Z343" i="10" s="1"/>
  <c r="Y226" i="10"/>
  <c r="Y248" i="10" s="1"/>
  <c r="Y270" i="10" s="1"/>
  <c r="Y292" i="10" s="1"/>
  <c r="Y314" i="10" s="1"/>
  <c r="Y336" i="10" s="1"/>
  <c r="Y358" i="10"/>
  <c r="AA227" i="10"/>
  <c r="AA249" i="10" s="1"/>
  <c r="AA271" i="10" s="1"/>
  <c r="AA293" i="10" s="1"/>
  <c r="AA315" i="10" s="1"/>
  <c r="AA337" i="10" s="1"/>
  <c r="AA359" i="10"/>
  <c r="Y362" i="10"/>
  <c r="Y230" i="10"/>
  <c r="Y252" i="10" s="1"/>
  <c r="Y274" i="10" s="1"/>
  <c r="Y296" i="10" s="1"/>
  <c r="Y318" i="10" s="1"/>
  <c r="Y340" i="10" s="1"/>
  <c r="Y361" i="10"/>
  <c r="Y229" i="10"/>
  <c r="Y251" i="10" s="1"/>
  <c r="Y273" i="10" s="1"/>
  <c r="Y295" i="10" s="1"/>
  <c r="Y317" i="10" s="1"/>
  <c r="Y339" i="10" s="1"/>
  <c r="AA365" i="10"/>
  <c r="AA233" i="10"/>
  <c r="AA255" i="10" s="1"/>
  <c r="AA277" i="10" s="1"/>
  <c r="AA299" i="10" s="1"/>
  <c r="AA321" i="10" s="1"/>
  <c r="AA343" i="10" s="1"/>
  <c r="AA356" i="10"/>
  <c r="AA224" i="10"/>
  <c r="AA246" i="10" s="1"/>
  <c r="AA268" i="10" s="1"/>
  <c r="AA290" i="10" s="1"/>
  <c r="AA312" i="10" s="1"/>
  <c r="AA334" i="10" s="1"/>
  <c r="Y360" i="10"/>
  <c r="Y228" i="10"/>
  <c r="Y250" i="10" s="1"/>
  <c r="Y272" i="10" s="1"/>
  <c r="Y294" i="10" s="1"/>
  <c r="Y316" i="10" s="1"/>
  <c r="Y338" i="10" s="1"/>
  <c r="AB358" i="10"/>
  <c r="AB226" i="10"/>
  <c r="AB248" i="10" s="1"/>
  <c r="AB270" i="10" s="1"/>
  <c r="AB292" i="10" s="1"/>
  <c r="AB314" i="10" s="1"/>
  <c r="AB336" i="10" s="1"/>
  <c r="Z363" i="10"/>
  <c r="Z231" i="10"/>
  <c r="Z253" i="10" s="1"/>
  <c r="Z275" i="10" s="1"/>
  <c r="Z297" i="10" s="1"/>
  <c r="Z319" i="10" s="1"/>
  <c r="Z341" i="10" s="1"/>
  <c r="AA364" i="10"/>
  <c r="AA232" i="10"/>
  <c r="AA254" i="10" s="1"/>
  <c r="AA276" i="10" s="1"/>
  <c r="AA298" i="10" s="1"/>
  <c r="AA320" i="10" s="1"/>
  <c r="AA342" i="10" s="1"/>
  <c r="AA223" i="10"/>
  <c r="AA245" i="10" s="1"/>
  <c r="AA267" i="10" s="1"/>
  <c r="AA289" i="10" s="1"/>
  <c r="AA311" i="10" s="1"/>
  <c r="AA333" i="10" s="1"/>
  <c r="AA355" i="10"/>
  <c r="Z74" i="10"/>
  <c r="Z75" i="10"/>
  <c r="Z364" i="10"/>
  <c r="Z232" i="10"/>
  <c r="Z254" i="10" s="1"/>
  <c r="Z276" i="10" s="1"/>
  <c r="Z298" i="10" s="1"/>
  <c r="Z320" i="10" s="1"/>
  <c r="Z342" i="10" s="1"/>
  <c r="AA74" i="10"/>
  <c r="AA96" i="10" s="1"/>
  <c r="AA118" i="10" s="1"/>
  <c r="AA140" i="10" s="1"/>
  <c r="Q290" i="10"/>
  <c r="AB76" i="10"/>
  <c r="Q375" i="10"/>
  <c r="Z116" i="10"/>
  <c r="AB363" i="10"/>
  <c r="AB231" i="10"/>
  <c r="AB253" i="10" s="1"/>
  <c r="AB275" i="10" s="1"/>
  <c r="AB297" i="10" s="1"/>
  <c r="AB319" i="10" s="1"/>
  <c r="AB341" i="10" s="1"/>
  <c r="Y232" i="10"/>
  <c r="Y254" i="10" s="1"/>
  <c r="Y276" i="10" s="1"/>
  <c r="Y298" i="10" s="1"/>
  <c r="Y320" i="10" s="1"/>
  <c r="Y342" i="10" s="1"/>
  <c r="AB365" i="10"/>
  <c r="Q246" i="10"/>
  <c r="AB74" i="10"/>
  <c r="AB96" i="10" s="1"/>
  <c r="AB118" i="10" s="1"/>
  <c r="AB162" i="10" s="1"/>
  <c r="M224" i="10"/>
  <c r="M246" i="10" s="1"/>
  <c r="M268" i="10" s="1"/>
  <c r="M290" i="10" s="1"/>
  <c r="M312" i="10" s="1"/>
  <c r="M334" i="10" s="1"/>
  <c r="M356" i="10"/>
  <c r="J364" i="10"/>
  <c r="J232" i="10"/>
  <c r="J254" i="10" s="1"/>
  <c r="J276" i="10" s="1"/>
  <c r="J298" i="10" s="1"/>
  <c r="J320" i="10" s="1"/>
  <c r="J342" i="10" s="1"/>
  <c r="K233" i="10"/>
  <c r="K255" i="10" s="1"/>
  <c r="K277" i="10" s="1"/>
  <c r="K299" i="10" s="1"/>
  <c r="K321" i="10" s="1"/>
  <c r="K343" i="10" s="1"/>
  <c r="K365" i="10"/>
  <c r="K359" i="10"/>
  <c r="K227" i="10"/>
  <c r="K249" i="10" s="1"/>
  <c r="K271" i="10" s="1"/>
  <c r="K293" i="10" s="1"/>
  <c r="K315" i="10" s="1"/>
  <c r="K337" i="10" s="1"/>
  <c r="J363" i="10"/>
  <c r="J231" i="10"/>
  <c r="J253" i="10" s="1"/>
  <c r="J275" i="10" s="1"/>
  <c r="J297" i="10" s="1"/>
  <c r="J319" i="10" s="1"/>
  <c r="J341" i="10" s="1"/>
  <c r="B375" i="10"/>
  <c r="K116" i="10"/>
  <c r="K231" i="10"/>
  <c r="K253" i="10" s="1"/>
  <c r="K275" i="10" s="1"/>
  <c r="K297" i="10" s="1"/>
  <c r="K319" i="10" s="1"/>
  <c r="K341" i="10" s="1"/>
  <c r="K363" i="10"/>
  <c r="K357" i="10"/>
  <c r="K225" i="10"/>
  <c r="K247" i="10" s="1"/>
  <c r="K269" i="10" s="1"/>
  <c r="K291" i="10" s="1"/>
  <c r="K313" i="10" s="1"/>
  <c r="K335" i="10" s="1"/>
  <c r="L226" i="10"/>
  <c r="L248" i="10" s="1"/>
  <c r="L270" i="10" s="1"/>
  <c r="L292" i="10" s="1"/>
  <c r="L314" i="10" s="1"/>
  <c r="L336" i="10" s="1"/>
  <c r="L358" i="10"/>
  <c r="M98" i="10"/>
  <c r="M120" i="10" s="1"/>
  <c r="M359" i="10"/>
  <c r="M227" i="10"/>
  <c r="M249" i="10" s="1"/>
  <c r="M271" i="10" s="1"/>
  <c r="M293" i="10" s="1"/>
  <c r="M315" i="10" s="1"/>
  <c r="M337" i="10" s="1"/>
  <c r="B357" i="10"/>
  <c r="C359" i="10" s="1"/>
  <c r="K98" i="10"/>
  <c r="K120" i="10" s="1"/>
  <c r="K142" i="10" s="1"/>
  <c r="M358" i="10"/>
  <c r="M226" i="10"/>
  <c r="M248" i="10" s="1"/>
  <c r="M270" i="10" s="1"/>
  <c r="M292" i="10" s="1"/>
  <c r="M314" i="10" s="1"/>
  <c r="M336" i="10" s="1"/>
  <c r="L227" i="10"/>
  <c r="L249" i="10" s="1"/>
  <c r="L271" i="10" s="1"/>
  <c r="L293" i="10" s="1"/>
  <c r="L315" i="10" s="1"/>
  <c r="L337" i="10" s="1"/>
  <c r="J228" i="10"/>
  <c r="J250" i="10" s="1"/>
  <c r="J272" i="10" s="1"/>
  <c r="J294" i="10" s="1"/>
  <c r="J316" i="10" s="1"/>
  <c r="J338" i="10" s="1"/>
  <c r="J360" i="10"/>
  <c r="M365" i="10"/>
  <c r="M233" i="10"/>
  <c r="M255" i="10" s="1"/>
  <c r="M277" i="10" s="1"/>
  <c r="M299" i="10" s="1"/>
  <c r="M321" i="10" s="1"/>
  <c r="M343" i="10" s="1"/>
  <c r="K355" i="10"/>
  <c r="K223" i="10"/>
  <c r="K245" i="10" s="1"/>
  <c r="K267" i="10" s="1"/>
  <c r="K289" i="10" s="1"/>
  <c r="K311" i="10" s="1"/>
  <c r="K333" i="10" s="1"/>
  <c r="M232" i="10"/>
  <c r="M254" i="10" s="1"/>
  <c r="M276" i="10" s="1"/>
  <c r="M298" i="10" s="1"/>
  <c r="M320" i="10" s="1"/>
  <c r="M342" i="10" s="1"/>
  <c r="K356" i="10"/>
  <c r="K224" i="10"/>
  <c r="K246" i="10" s="1"/>
  <c r="K268" i="10" s="1"/>
  <c r="K290" i="10" s="1"/>
  <c r="K312" i="10" s="1"/>
  <c r="K334" i="10" s="1"/>
  <c r="J227" i="10"/>
  <c r="J249" i="10" s="1"/>
  <c r="J271" i="10" s="1"/>
  <c r="J293" i="10" s="1"/>
  <c r="J315" i="10" s="1"/>
  <c r="J337" i="10" s="1"/>
  <c r="J358" i="10"/>
  <c r="J226" i="10"/>
  <c r="J248" i="10" s="1"/>
  <c r="J270" i="10" s="1"/>
  <c r="J292" i="10" s="1"/>
  <c r="J314" i="10" s="1"/>
  <c r="J336" i="10" s="1"/>
  <c r="C246" i="10"/>
  <c r="K74" i="10"/>
  <c r="K75" i="10"/>
  <c r="M223" i="10"/>
  <c r="M245" i="10" s="1"/>
  <c r="M267" i="10" s="1"/>
  <c r="M289" i="10" s="1"/>
  <c r="M311" i="10" s="1"/>
  <c r="M333" i="10" s="1"/>
  <c r="M355" i="10"/>
  <c r="J362" i="10"/>
  <c r="J230" i="10"/>
  <c r="J252" i="10" s="1"/>
  <c r="J274" i="10" s="1"/>
  <c r="J296" i="10" s="1"/>
  <c r="J318" i="10" s="1"/>
  <c r="J340" i="10" s="1"/>
  <c r="L231" i="10"/>
  <c r="L253" i="10" s="1"/>
  <c r="L275" i="10" s="1"/>
  <c r="L297" i="10" s="1"/>
  <c r="L319" i="10" s="1"/>
  <c r="L341" i="10" s="1"/>
  <c r="L363" i="10"/>
  <c r="K232" i="10"/>
  <c r="K254" i="10" s="1"/>
  <c r="K276" i="10" s="1"/>
  <c r="K298" i="10" s="1"/>
  <c r="K320" i="10" s="1"/>
  <c r="K342" i="10" s="1"/>
  <c r="K364" i="10"/>
  <c r="L74" i="10"/>
  <c r="L96" i="10" s="1"/>
  <c r="L118" i="10" s="1"/>
  <c r="L140" i="10" s="1"/>
  <c r="L184" i="10" s="1"/>
  <c r="B312" i="10"/>
  <c r="B224" i="10"/>
  <c r="B290" i="10"/>
  <c r="C94" i="10"/>
  <c r="C92" i="10"/>
  <c r="C334" i="10"/>
  <c r="L364" i="10"/>
  <c r="L232" i="10"/>
  <c r="L254" i="10" s="1"/>
  <c r="L276" i="10" s="1"/>
  <c r="L298" i="10" s="1"/>
  <c r="L320" i="10" s="1"/>
  <c r="L342" i="10" s="1"/>
  <c r="J229" i="10"/>
  <c r="J251" i="10" s="1"/>
  <c r="J273" i="10" s="1"/>
  <c r="J295" i="10" s="1"/>
  <c r="J317" i="10" s="1"/>
  <c r="J339" i="10" s="1"/>
  <c r="M74" i="10"/>
  <c r="M96" i="10" s="1"/>
  <c r="M118" i="10" s="1"/>
  <c r="L151" i="9"/>
  <c r="L173" i="9" s="1"/>
  <c r="L195" i="9" s="1"/>
  <c r="L217" i="9" s="1"/>
  <c r="L239" i="9" s="1"/>
  <c r="L261" i="9" s="1"/>
  <c r="L43" i="9"/>
  <c r="L65" i="9" s="1"/>
  <c r="L87" i="9" s="1"/>
  <c r="C63" i="9"/>
  <c r="C61" i="9"/>
  <c r="L281" i="9"/>
  <c r="L149" i="9"/>
  <c r="L171" i="9" s="1"/>
  <c r="L193" i="9" s="1"/>
  <c r="L215" i="9" s="1"/>
  <c r="L237" i="9" s="1"/>
  <c r="L259" i="9" s="1"/>
  <c r="M288" i="9"/>
  <c r="M156" i="9"/>
  <c r="M178" i="9" s="1"/>
  <c r="M200" i="9" s="1"/>
  <c r="M222" i="9" s="1"/>
  <c r="M244" i="9" s="1"/>
  <c r="M266" i="9" s="1"/>
  <c r="M280" i="9"/>
  <c r="M148" i="9"/>
  <c r="M170" i="9" s="1"/>
  <c r="M192" i="9" s="1"/>
  <c r="M214" i="9" s="1"/>
  <c r="M236" i="9" s="1"/>
  <c r="M258" i="9" s="1"/>
  <c r="K149" i="9"/>
  <c r="K171" i="9" s="1"/>
  <c r="K193" i="9" s="1"/>
  <c r="K215" i="9" s="1"/>
  <c r="K237" i="9" s="1"/>
  <c r="K259" i="9" s="1"/>
  <c r="K281" i="9"/>
  <c r="L150" i="9"/>
  <c r="L172" i="9" s="1"/>
  <c r="L194" i="9" s="1"/>
  <c r="L216" i="9" s="1"/>
  <c r="L238" i="9" s="1"/>
  <c r="L260" i="9" s="1"/>
  <c r="L282" i="9"/>
  <c r="M283" i="9"/>
  <c r="M151" i="9"/>
  <c r="M173" i="9" s="1"/>
  <c r="M195" i="9" s="1"/>
  <c r="M217" i="9" s="1"/>
  <c r="M239" i="9" s="1"/>
  <c r="M261" i="9" s="1"/>
  <c r="M287" i="9"/>
  <c r="M155" i="9"/>
  <c r="M177" i="9" s="1"/>
  <c r="M199" i="9" s="1"/>
  <c r="M221" i="9" s="1"/>
  <c r="M243" i="9" s="1"/>
  <c r="M265" i="9" s="1"/>
  <c r="L289" i="9"/>
  <c r="L157" i="9"/>
  <c r="L179" i="9" s="1"/>
  <c r="L201" i="9" s="1"/>
  <c r="L223" i="9" s="1"/>
  <c r="L245" i="9" s="1"/>
  <c r="L267" i="9" s="1"/>
  <c r="L284" i="9"/>
  <c r="L152" i="9"/>
  <c r="L174" i="9" s="1"/>
  <c r="L196" i="9" s="1"/>
  <c r="L218" i="9" s="1"/>
  <c r="L240" i="9" s="1"/>
  <c r="L262" i="9" s="1"/>
  <c r="J151" i="9"/>
  <c r="J173" i="9" s="1"/>
  <c r="J195" i="9" s="1"/>
  <c r="J217" i="9" s="1"/>
  <c r="J239" i="9" s="1"/>
  <c r="J261" i="9" s="1"/>
  <c r="J283" i="9"/>
  <c r="J156" i="9"/>
  <c r="J178" i="9" s="1"/>
  <c r="J200" i="9" s="1"/>
  <c r="J222" i="9" s="1"/>
  <c r="J244" i="9" s="1"/>
  <c r="J266" i="9" s="1"/>
  <c r="J288" i="9"/>
  <c r="J155" i="9"/>
  <c r="J177" i="9" s="1"/>
  <c r="J199" i="9" s="1"/>
  <c r="J221" i="9" s="1"/>
  <c r="J243" i="9" s="1"/>
  <c r="J265" i="9" s="1"/>
  <c r="J287" i="9"/>
  <c r="J158" i="9"/>
  <c r="J180" i="9" s="1"/>
  <c r="J202" i="9" s="1"/>
  <c r="J224" i="9" s="1"/>
  <c r="J246" i="9" s="1"/>
  <c r="J268" i="9" s="1"/>
  <c r="J290" i="9"/>
  <c r="J285" i="9"/>
  <c r="J153" i="9"/>
  <c r="J175" i="9" s="1"/>
  <c r="J197" i="9" s="1"/>
  <c r="J219" i="9" s="1"/>
  <c r="J241" i="9" s="1"/>
  <c r="J263" i="9" s="1"/>
  <c r="K290" i="9"/>
  <c r="K158" i="9"/>
  <c r="K180" i="9" s="1"/>
  <c r="K202" i="9" s="1"/>
  <c r="K224" i="9" s="1"/>
  <c r="K246" i="9" s="1"/>
  <c r="K268" i="9" s="1"/>
  <c r="K152" i="9"/>
  <c r="K174" i="9" s="1"/>
  <c r="K196" i="9" s="1"/>
  <c r="K218" i="9" s="1"/>
  <c r="K240" i="9" s="1"/>
  <c r="K262" i="9" s="1"/>
  <c r="K284" i="9"/>
  <c r="K280" i="9"/>
  <c r="K148" i="9"/>
  <c r="K170" i="9" s="1"/>
  <c r="K192" i="9" s="1"/>
  <c r="K214" i="9" s="1"/>
  <c r="K236" i="9" s="1"/>
  <c r="K258" i="9" s="1"/>
  <c r="M152" i="9"/>
  <c r="M174" i="9" s="1"/>
  <c r="M196" i="9" s="1"/>
  <c r="M218" i="9" s="1"/>
  <c r="M240" i="9" s="1"/>
  <c r="M262" i="9" s="1"/>
  <c r="M284" i="9"/>
  <c r="J154" i="9"/>
  <c r="J176" i="9" s="1"/>
  <c r="J198" i="9" s="1"/>
  <c r="J220" i="9" s="1"/>
  <c r="J242" i="9" s="1"/>
  <c r="J264" i="9" s="1"/>
  <c r="J286" i="9"/>
  <c r="K288" i="9"/>
  <c r="K156" i="9"/>
  <c r="K178" i="9" s="1"/>
  <c r="K200" i="9" s="1"/>
  <c r="K222" i="9" s="1"/>
  <c r="K244" i="9" s="1"/>
  <c r="K266" i="9" s="1"/>
  <c r="J284" i="9"/>
  <c r="J152" i="9"/>
  <c r="J174" i="9" s="1"/>
  <c r="J196" i="9" s="1"/>
  <c r="J218" i="9" s="1"/>
  <c r="J240" i="9" s="1"/>
  <c r="J262" i="9" s="1"/>
  <c r="M290" i="9"/>
  <c r="M158" i="9"/>
  <c r="M180" i="9" s="1"/>
  <c r="M202" i="9" s="1"/>
  <c r="M224" i="9" s="1"/>
  <c r="M246" i="9" s="1"/>
  <c r="M268" i="9" s="1"/>
  <c r="B171" i="9"/>
  <c r="K43" i="9"/>
  <c r="K62" i="9"/>
  <c r="K84" i="9" s="1"/>
  <c r="K106" i="9" s="1"/>
  <c r="K128" i="9" s="1"/>
  <c r="K45" i="9"/>
  <c r="K44" i="9"/>
  <c r="L148" i="9"/>
  <c r="L170" i="9" s="1"/>
  <c r="L192" i="9" s="1"/>
  <c r="L214" i="9" s="1"/>
  <c r="L236" i="9" s="1"/>
  <c r="L258" i="9" s="1"/>
  <c r="L280" i="9"/>
  <c r="K289" i="9"/>
  <c r="K157" i="9"/>
  <c r="K179" i="9" s="1"/>
  <c r="K201" i="9" s="1"/>
  <c r="K223" i="9" s="1"/>
  <c r="K245" i="9" s="1"/>
  <c r="K267" i="9" s="1"/>
  <c r="M149" i="9"/>
  <c r="M171" i="9" s="1"/>
  <c r="M193" i="9" s="1"/>
  <c r="M215" i="9" s="1"/>
  <c r="M237" i="9" s="1"/>
  <c r="M259" i="9" s="1"/>
  <c r="M281" i="9"/>
  <c r="L156" i="9"/>
  <c r="L178" i="9" s="1"/>
  <c r="L200" i="9" s="1"/>
  <c r="L222" i="9" s="1"/>
  <c r="L244" i="9" s="1"/>
  <c r="L266" i="9" s="1"/>
  <c r="M43" i="9"/>
  <c r="M65" i="9" s="1"/>
  <c r="M87" i="9" s="1"/>
  <c r="M109" i="9" s="1"/>
  <c r="M131" i="9" s="1"/>
  <c r="L44" i="9"/>
  <c r="J157" i="9"/>
  <c r="J179" i="9" s="1"/>
  <c r="J201" i="9" s="1"/>
  <c r="J223" i="9" s="1"/>
  <c r="J245" i="9" s="1"/>
  <c r="J267" i="9" s="1"/>
  <c r="J289" i="9"/>
  <c r="C217" i="9"/>
  <c r="M62" i="9"/>
  <c r="M84" i="9" s="1"/>
  <c r="M106" i="9" s="1"/>
  <c r="M128" i="9" s="1"/>
  <c r="M44" i="9"/>
  <c r="M66" i="9" s="1"/>
  <c r="M88" i="9" s="1"/>
  <c r="M110" i="9" s="1"/>
  <c r="M132" i="9" s="1"/>
  <c r="B300" i="9"/>
  <c r="K85" i="9"/>
  <c r="K107" i="9" s="1"/>
  <c r="K129" i="9" s="1"/>
  <c r="L45" i="9"/>
  <c r="C312" i="8"/>
  <c r="J140" i="8"/>
  <c r="J184" i="8" s="1"/>
  <c r="J118" i="8"/>
  <c r="J162" i="8" s="1"/>
  <c r="M95" i="8"/>
  <c r="M117" i="8" s="1"/>
  <c r="L136" i="8"/>
  <c r="L180" i="8" s="1"/>
  <c r="J121" i="8"/>
  <c r="J165" i="8" s="1"/>
  <c r="M166" i="8"/>
  <c r="M165" i="8"/>
  <c r="M135" i="8"/>
  <c r="M179" i="8" s="1"/>
  <c r="M201" i="8" s="1"/>
  <c r="M223" i="8" s="1"/>
  <c r="M245" i="8" s="1"/>
  <c r="M267" i="8" s="1"/>
  <c r="M289" i="8" s="1"/>
  <c r="M311" i="8" s="1"/>
  <c r="M157" i="8"/>
  <c r="L135" i="8"/>
  <c r="L179" i="8" s="1"/>
  <c r="L157" i="8"/>
  <c r="L166" i="8"/>
  <c r="M54" i="8"/>
  <c r="C50" i="8"/>
  <c r="C48" i="8"/>
  <c r="B246" i="8"/>
  <c r="K52" i="8"/>
  <c r="K54" i="8"/>
  <c r="K71" i="8"/>
  <c r="K93" i="8" s="1"/>
  <c r="K115" i="8" s="1"/>
  <c r="L160" i="8"/>
  <c r="L138" i="8"/>
  <c r="L182" i="8" s="1"/>
  <c r="L161" i="8"/>
  <c r="L139" i="8"/>
  <c r="L183" i="8" s="1"/>
  <c r="K53" i="8"/>
  <c r="K157" i="8"/>
  <c r="K135" i="8"/>
  <c r="K179" i="8" s="1"/>
  <c r="J163" i="8"/>
  <c r="J141" i="8"/>
  <c r="J185" i="8" s="1"/>
  <c r="M167" i="8"/>
  <c r="M145" i="8"/>
  <c r="M189" i="8" s="1"/>
  <c r="K136" i="8"/>
  <c r="K180" i="8" s="1"/>
  <c r="K158" i="8"/>
  <c r="L159" i="8"/>
  <c r="L137" i="8"/>
  <c r="L181" i="8" s="1"/>
  <c r="M138" i="8"/>
  <c r="M182" i="8" s="1"/>
  <c r="M160" i="8"/>
  <c r="M76" i="8"/>
  <c r="M98" i="8" s="1"/>
  <c r="B290" i="8"/>
  <c r="C72" i="8"/>
  <c r="C70" i="8"/>
  <c r="J161" i="8"/>
  <c r="J139" i="8"/>
  <c r="J183" i="8" s="1"/>
  <c r="K165" i="8"/>
  <c r="K143" i="8"/>
  <c r="K187" i="8" s="1"/>
  <c r="J144" i="8"/>
  <c r="J188" i="8" s="1"/>
  <c r="J166" i="8"/>
  <c r="J167" i="8"/>
  <c r="J145" i="8"/>
  <c r="J189" i="8" s="1"/>
  <c r="K139" i="8"/>
  <c r="K183" i="8" s="1"/>
  <c r="K161" i="8"/>
  <c r="L334" i="8"/>
  <c r="L202" i="8"/>
  <c r="L224" i="8" s="1"/>
  <c r="L246" i="8" s="1"/>
  <c r="L268" i="8" s="1"/>
  <c r="L290" i="8" s="1"/>
  <c r="L312" i="8" s="1"/>
  <c r="L52" i="8"/>
  <c r="L74" i="8" s="1"/>
  <c r="L96" i="8" s="1"/>
  <c r="J142" i="8"/>
  <c r="J186" i="8" s="1"/>
  <c r="J164" i="8"/>
  <c r="K144" i="8"/>
  <c r="K188" i="8" s="1"/>
  <c r="K166" i="8"/>
  <c r="K145" i="8"/>
  <c r="K189" i="8" s="1"/>
  <c r="K167" i="8"/>
  <c r="M333" i="8"/>
  <c r="J341" i="8"/>
  <c r="J209" i="8"/>
  <c r="J231" i="8" s="1"/>
  <c r="J253" i="8" s="1"/>
  <c r="J275" i="8" s="1"/>
  <c r="J297" i="8" s="1"/>
  <c r="J319" i="8" s="1"/>
  <c r="M161" i="8"/>
  <c r="M136" i="8"/>
  <c r="M180" i="8" s="1"/>
  <c r="M158" i="8"/>
  <c r="J160" i="8"/>
  <c r="J138" i="8"/>
  <c r="J182" i="8" s="1"/>
  <c r="L145" i="8"/>
  <c r="L189" i="8" s="1"/>
  <c r="L167" i="8"/>
  <c r="K160" i="8"/>
  <c r="K138" i="8"/>
  <c r="K182" i="8" s="1"/>
  <c r="L143" i="8"/>
  <c r="L187" i="8" s="1"/>
  <c r="L165" i="8"/>
  <c r="L158" i="8"/>
  <c r="J338" i="8"/>
  <c r="J206" i="8"/>
  <c r="J228" i="8" s="1"/>
  <c r="J250" i="8" s="1"/>
  <c r="J272" i="8" s="1"/>
  <c r="J294" i="8" s="1"/>
  <c r="J316" i="8" s="1"/>
  <c r="M52" i="8"/>
  <c r="M74" i="8" s="1"/>
  <c r="M96" i="8" s="1"/>
  <c r="M118" i="8" s="1"/>
  <c r="L53" i="8"/>
  <c r="C136" i="8"/>
  <c r="M143" i="8"/>
  <c r="M144" i="8"/>
  <c r="M188" i="8" s="1"/>
  <c r="M53" i="8"/>
  <c r="M75" i="8" s="1"/>
  <c r="M97" i="8" s="1"/>
  <c r="M119" i="8" s="1"/>
  <c r="M71" i="8"/>
  <c r="M93" i="8" s="1"/>
  <c r="M115" i="8" s="1"/>
  <c r="C116" i="8"/>
  <c r="C114" i="8"/>
  <c r="L54" i="8"/>
  <c r="B315" i="7"/>
  <c r="C324" i="7" s="1"/>
  <c r="B293" i="7"/>
  <c r="B271" i="7"/>
  <c r="C280" i="7" s="1"/>
  <c r="B249" i="7"/>
  <c r="B227" i="7"/>
  <c r="B205" i="7"/>
  <c r="B183" i="7"/>
  <c r="B53" i="7"/>
  <c r="C319" i="7"/>
  <c r="C317" i="7"/>
  <c r="C315" i="7"/>
  <c r="C297" i="7"/>
  <c r="C295" i="7"/>
  <c r="C275" i="7"/>
  <c r="C273" i="7"/>
  <c r="C253" i="7"/>
  <c r="C251" i="7"/>
  <c r="C231" i="7"/>
  <c r="C227" i="7"/>
  <c r="C254" i="7"/>
  <c r="C258" i="7"/>
  <c r="C262" i="7"/>
  <c r="C192" i="7"/>
  <c r="B161" i="7"/>
  <c r="C170" i="7" s="1"/>
  <c r="B117" i="7"/>
  <c r="C126" i="7" s="1"/>
  <c r="B95" i="7"/>
  <c r="C104" i="7" s="1"/>
  <c r="B73" i="7"/>
  <c r="C82" i="7" s="1"/>
  <c r="B158" i="7"/>
  <c r="C160" i="7" s="1"/>
  <c r="C174" i="7"/>
  <c r="C166" i="7"/>
  <c r="C157" i="7"/>
  <c r="B136" i="7"/>
  <c r="C136" i="7" s="1"/>
  <c r="B114" i="7"/>
  <c r="C116" i="7" s="1"/>
  <c r="B92" i="7"/>
  <c r="C130" i="7"/>
  <c r="C122" i="7"/>
  <c r="C113" i="7"/>
  <c r="B70" i="7"/>
  <c r="B48" i="7"/>
  <c r="C31" i="7"/>
  <c r="C22" i="7"/>
  <c r="C2563" i="7"/>
  <c r="C2557" i="7"/>
  <c r="C2427" i="7"/>
  <c r="C2421" i="7"/>
  <c r="C2291" i="7"/>
  <c r="C2285" i="7"/>
  <c r="C2155" i="7"/>
  <c r="C2149" i="7"/>
  <c r="C2019" i="7"/>
  <c r="C2013" i="7"/>
  <c r="C1883" i="7"/>
  <c r="C1877" i="7"/>
  <c r="C1747" i="7"/>
  <c r="C1741" i="7"/>
  <c r="C1611" i="7"/>
  <c r="C1605" i="7"/>
  <c r="C1203" i="7"/>
  <c r="C1197" i="7"/>
  <c r="C1067" i="7"/>
  <c r="C1061" i="7"/>
  <c r="C376" i="7"/>
  <c r="C374" i="7"/>
  <c r="C372" i="7"/>
  <c r="C370" i="7"/>
  <c r="C368" i="7"/>
  <c r="C366" i="7"/>
  <c r="C363" i="7"/>
  <c r="C362" i="7"/>
  <c r="C358" i="7"/>
  <c r="C354" i="7"/>
  <c r="C352" i="7"/>
  <c r="C351" i="7"/>
  <c r="C350" i="7"/>
  <c r="C342" i="7"/>
  <c r="B337" i="7"/>
  <c r="C346" i="7" s="1"/>
  <c r="C336" i="7"/>
  <c r="C334" i="7"/>
  <c r="C333" i="7"/>
  <c r="C332" i="7"/>
  <c r="C328" i="7"/>
  <c r="C320" i="7"/>
  <c r="C311" i="7"/>
  <c r="C310" i="7"/>
  <c r="C306" i="7"/>
  <c r="C298" i="7"/>
  <c r="C302" i="7"/>
  <c r="C289" i="7"/>
  <c r="C288" i="7"/>
  <c r="C284" i="7"/>
  <c r="C276" i="7"/>
  <c r="C267" i="7"/>
  <c r="C266" i="7"/>
  <c r="C245" i="7"/>
  <c r="C244" i="7"/>
  <c r="C240" i="7"/>
  <c r="C232" i="7"/>
  <c r="C236" i="7"/>
  <c r="C223" i="7"/>
  <c r="C222" i="7"/>
  <c r="C218" i="7"/>
  <c r="C210" i="7"/>
  <c r="C214" i="7"/>
  <c r="C201" i="7"/>
  <c r="C200" i="7"/>
  <c r="C196" i="7"/>
  <c r="C188" i="7"/>
  <c r="C179" i="7"/>
  <c r="C152" i="7"/>
  <c r="C144" i="7"/>
  <c r="B139" i="7"/>
  <c r="C148" i="7" s="1"/>
  <c r="C135" i="7"/>
  <c r="C108" i="7"/>
  <c r="C100" i="7"/>
  <c r="B97" i="7"/>
  <c r="C112" i="7" s="1"/>
  <c r="C91" i="7"/>
  <c r="C86" i="7"/>
  <c r="M79" i="7"/>
  <c r="M101" i="7" s="1"/>
  <c r="L79" i="7"/>
  <c r="L101" i="7" s="1"/>
  <c r="L145" i="7" s="1"/>
  <c r="L189" i="7" s="1"/>
  <c r="K79" i="7"/>
  <c r="K101" i="7" s="1"/>
  <c r="K145" i="7" s="1"/>
  <c r="K189" i="7" s="1"/>
  <c r="J79" i="7"/>
  <c r="J101" i="7" s="1"/>
  <c r="J145" i="7" s="1"/>
  <c r="J189" i="7" s="1"/>
  <c r="M78" i="7"/>
  <c r="M100" i="7" s="1"/>
  <c r="M144" i="7" s="1"/>
  <c r="M188" i="7" s="1"/>
  <c r="L78" i="7"/>
  <c r="L100" i="7" s="1"/>
  <c r="L144" i="7" s="1"/>
  <c r="L188" i="7" s="1"/>
  <c r="L342" i="7" s="1"/>
  <c r="K78" i="7"/>
  <c r="K100" i="7" s="1"/>
  <c r="J78" i="7"/>
  <c r="J100" i="7" s="1"/>
  <c r="J144" i="7" s="1"/>
  <c r="J188" i="7" s="1"/>
  <c r="C78" i="7"/>
  <c r="M77" i="7"/>
  <c r="M99" i="7" s="1"/>
  <c r="M143" i="7" s="1"/>
  <c r="B141" i="7" s="1"/>
  <c r="C156" i="7" s="1"/>
  <c r="L77" i="7"/>
  <c r="K77" i="7"/>
  <c r="K99" i="7" s="1"/>
  <c r="K143" i="7" s="1"/>
  <c r="K187" i="7" s="1"/>
  <c r="K341" i="7" s="1"/>
  <c r="J77" i="7"/>
  <c r="J99" i="7" s="1"/>
  <c r="J76" i="7"/>
  <c r="J98" i="7" s="1"/>
  <c r="J142" i="7" s="1"/>
  <c r="J186" i="7" s="1"/>
  <c r="J340" i="7" s="1"/>
  <c r="J75" i="7"/>
  <c r="J97" i="7" s="1"/>
  <c r="J141" i="7" s="1"/>
  <c r="J185" i="7" s="1"/>
  <c r="J207" i="7" s="1"/>
  <c r="J229" i="7" s="1"/>
  <c r="J251" i="7" s="1"/>
  <c r="J273" i="7" s="1"/>
  <c r="J295" i="7" s="1"/>
  <c r="J317" i="7" s="1"/>
  <c r="B75" i="7"/>
  <c r="C90" i="7" s="1"/>
  <c r="J74" i="7"/>
  <c r="J96" i="7" s="1"/>
  <c r="J118" i="7" s="1"/>
  <c r="J162" i="7" s="1"/>
  <c r="J73" i="7"/>
  <c r="J95" i="7" s="1"/>
  <c r="J139" i="7" s="1"/>
  <c r="J183" i="7" s="1"/>
  <c r="J72" i="7"/>
  <c r="J94" i="7" s="1"/>
  <c r="J138" i="7" s="1"/>
  <c r="J182" i="7" s="1"/>
  <c r="J204" i="7" s="1"/>
  <c r="J226" i="7" s="1"/>
  <c r="J248" i="7" s="1"/>
  <c r="J270" i="7" s="1"/>
  <c r="J292" i="7" s="1"/>
  <c r="J314" i="7" s="1"/>
  <c r="M69" i="7"/>
  <c r="M91" i="7" s="1"/>
  <c r="M135" i="7" s="1"/>
  <c r="M179" i="7" s="1"/>
  <c r="M333" i="7" s="1"/>
  <c r="L69" i="7"/>
  <c r="L91" i="7" s="1"/>
  <c r="L135" i="7" s="1"/>
  <c r="L179" i="7" s="1"/>
  <c r="K69" i="7"/>
  <c r="K91" i="7" s="1"/>
  <c r="K135" i="7" s="1"/>
  <c r="K179" i="7" s="1"/>
  <c r="K333" i="7" s="1"/>
  <c r="C69" i="7"/>
  <c r="C64" i="7"/>
  <c r="C56" i="7"/>
  <c r="C68" i="7"/>
  <c r="M51" i="7"/>
  <c r="M73" i="7" s="1"/>
  <c r="M95" i="7" s="1"/>
  <c r="M139" i="7" s="1"/>
  <c r="M183" i="7" s="1"/>
  <c r="L51" i="7"/>
  <c r="L73" i="7" s="1"/>
  <c r="L95" i="7" s="1"/>
  <c r="L139" i="7" s="1"/>
  <c r="L183" i="7" s="1"/>
  <c r="K51" i="7"/>
  <c r="K73" i="7" s="1"/>
  <c r="K95" i="7" s="1"/>
  <c r="K139" i="7" s="1"/>
  <c r="K183" i="7" s="1"/>
  <c r="B51" i="7"/>
  <c r="C60" i="7" s="1"/>
  <c r="M50" i="7"/>
  <c r="M72" i="7" s="1"/>
  <c r="M94" i="7" s="1"/>
  <c r="M138" i="7" s="1"/>
  <c r="M182" i="7" s="1"/>
  <c r="L50" i="7"/>
  <c r="L72" i="7" s="1"/>
  <c r="L94" i="7" s="1"/>
  <c r="L138" i="7" s="1"/>
  <c r="L182" i="7" s="1"/>
  <c r="K50" i="7"/>
  <c r="K72" i="7" s="1"/>
  <c r="M49" i="7"/>
  <c r="L49" i="7"/>
  <c r="K49" i="7"/>
  <c r="M48" i="7"/>
  <c r="M70" i="7" s="1"/>
  <c r="M92" i="7" s="1"/>
  <c r="M136" i="7" s="1"/>
  <c r="M180" i="7" s="1"/>
  <c r="L48" i="7"/>
  <c r="L70" i="7" s="1"/>
  <c r="L92" i="7" s="1"/>
  <c r="L136" i="7" s="1"/>
  <c r="L180" i="7" s="1"/>
  <c r="K48" i="7"/>
  <c r="K70" i="7" s="1"/>
  <c r="K92" i="7" s="1"/>
  <c r="K136" i="7" s="1"/>
  <c r="K180" i="7" s="1"/>
  <c r="C42" i="7"/>
  <c r="C40" i="7"/>
  <c r="C38" i="7"/>
  <c r="C36" i="7"/>
  <c r="C33" i="7"/>
  <c r="C29" i="7"/>
  <c r="C27" i="7"/>
  <c r="C24" i="7"/>
  <c r="C20" i="7"/>
  <c r="C18" i="7"/>
  <c r="C16" i="7"/>
  <c r="C14" i="7"/>
  <c r="C12" i="7"/>
  <c r="C8" i="7"/>
  <c r="C6" i="7"/>
  <c r="C4" i="7"/>
  <c r="C2" i="7"/>
  <c r="B121" i="6"/>
  <c r="B141" i="6"/>
  <c r="B161" i="6"/>
  <c r="C168" i="6" s="1"/>
  <c r="B181" i="6"/>
  <c r="C148" i="6"/>
  <c r="C128" i="6"/>
  <c r="C141" i="6"/>
  <c r="B138" i="6"/>
  <c r="C156" i="6"/>
  <c r="C152" i="6"/>
  <c r="L147" i="6"/>
  <c r="L145" i="6"/>
  <c r="K145" i="6"/>
  <c r="J145" i="6"/>
  <c r="C144" i="6"/>
  <c r="C140" i="6"/>
  <c r="B140" i="6"/>
  <c r="L139" i="6"/>
  <c r="K139" i="6"/>
  <c r="B139" i="6"/>
  <c r="K138" i="6"/>
  <c r="C138" i="6"/>
  <c r="K137" i="6"/>
  <c r="C137" i="6"/>
  <c r="B178" i="6"/>
  <c r="B98" i="6"/>
  <c r="C196" i="6"/>
  <c r="C192" i="6"/>
  <c r="L185" i="6"/>
  <c r="K185" i="6"/>
  <c r="J185" i="6"/>
  <c r="C184" i="6"/>
  <c r="C188" i="6"/>
  <c r="L179" i="6"/>
  <c r="K179" i="6"/>
  <c r="C178" i="6"/>
  <c r="K177" i="6"/>
  <c r="C177" i="6"/>
  <c r="C176" i="6"/>
  <c r="C172" i="6"/>
  <c r="L165" i="6"/>
  <c r="K165" i="6"/>
  <c r="J165" i="6"/>
  <c r="C164" i="6"/>
  <c r="K161" i="6"/>
  <c r="K181" i="6" s="1"/>
  <c r="B160" i="6"/>
  <c r="L159" i="6"/>
  <c r="K159" i="6"/>
  <c r="B159" i="6"/>
  <c r="K158" i="6"/>
  <c r="K178" i="6" s="1"/>
  <c r="B158" i="6"/>
  <c r="C158" i="6" s="1"/>
  <c r="K157" i="6"/>
  <c r="C157" i="6"/>
  <c r="L117" i="6"/>
  <c r="K117" i="6"/>
  <c r="C63" i="6"/>
  <c r="C61" i="6"/>
  <c r="C43" i="6"/>
  <c r="C41" i="6"/>
  <c r="B83" i="6"/>
  <c r="J99" i="6"/>
  <c r="J103" i="6"/>
  <c r="J104" i="6"/>
  <c r="J124" i="6" s="1"/>
  <c r="J105" i="6"/>
  <c r="J107" i="6"/>
  <c r="J127" i="6" s="1"/>
  <c r="L97" i="6"/>
  <c r="L98" i="6"/>
  <c r="L99" i="6"/>
  <c r="L100" i="6"/>
  <c r="L120" i="6" s="1"/>
  <c r="L101" i="6"/>
  <c r="L121" i="6" s="1"/>
  <c r="L161" i="6" s="1"/>
  <c r="L181" i="6" s="1"/>
  <c r="L104" i="6"/>
  <c r="L105" i="6"/>
  <c r="K98" i="6"/>
  <c r="K99" i="6"/>
  <c r="K101" i="6"/>
  <c r="K121" i="6" s="1"/>
  <c r="K141" i="6" s="1"/>
  <c r="K105" i="6"/>
  <c r="K125" i="6" s="1"/>
  <c r="K107" i="6"/>
  <c r="K127" i="6" s="1"/>
  <c r="L125" i="6"/>
  <c r="J123" i="6"/>
  <c r="L118" i="6"/>
  <c r="K118" i="6"/>
  <c r="J125" i="6"/>
  <c r="L124" i="6"/>
  <c r="L119" i="6"/>
  <c r="K119" i="6"/>
  <c r="J87" i="6"/>
  <c r="L86" i="6"/>
  <c r="L106" i="6" s="1"/>
  <c r="L126" i="6" s="1"/>
  <c r="J86" i="6"/>
  <c r="J106" i="6" s="1"/>
  <c r="J126" i="6" s="1"/>
  <c r="K85" i="6"/>
  <c r="J84" i="6"/>
  <c r="J83" i="6"/>
  <c r="J82" i="6"/>
  <c r="J102" i="6" s="1"/>
  <c r="J122" i="6" s="1"/>
  <c r="J80" i="6"/>
  <c r="J100" i="6" s="1"/>
  <c r="J120" i="6" s="1"/>
  <c r="J60" i="6"/>
  <c r="J61" i="6"/>
  <c r="J81" i="6" s="1"/>
  <c r="J101" i="6" s="1"/>
  <c r="J121" i="6" s="1"/>
  <c r="J62" i="6"/>
  <c r="J63" i="6"/>
  <c r="J64" i="6"/>
  <c r="J65" i="6"/>
  <c r="J85" i="6" s="1"/>
  <c r="J66" i="6"/>
  <c r="J67" i="6"/>
  <c r="K65" i="6"/>
  <c r="L65" i="6"/>
  <c r="L85" i="6" s="1"/>
  <c r="K66" i="6"/>
  <c r="K86" i="6" s="1"/>
  <c r="K106" i="6" s="1"/>
  <c r="K126" i="6" s="1"/>
  <c r="L66" i="6"/>
  <c r="K67" i="6"/>
  <c r="K87" i="6" s="1"/>
  <c r="L67" i="6"/>
  <c r="L87" i="6" s="1"/>
  <c r="L107" i="6" s="1"/>
  <c r="L127" i="6" s="1"/>
  <c r="L167" i="6" s="1"/>
  <c r="L187" i="6" s="1"/>
  <c r="K59" i="6"/>
  <c r="K79" i="6" s="1"/>
  <c r="L61" i="6"/>
  <c r="L81" i="6" s="1"/>
  <c r="L57" i="6"/>
  <c r="L77" i="6" s="1"/>
  <c r="K57" i="6"/>
  <c r="K77" i="6" s="1"/>
  <c r="K97" i="6" s="1"/>
  <c r="B78" i="6"/>
  <c r="C2425" i="6"/>
  <c r="C2419" i="6"/>
  <c r="C2289" i="6"/>
  <c r="C2283" i="6"/>
  <c r="C2153" i="6"/>
  <c r="C2147" i="6"/>
  <c r="C2017" i="6"/>
  <c r="C2011" i="6"/>
  <c r="C1881" i="6"/>
  <c r="C1875" i="6"/>
  <c r="C1745" i="6"/>
  <c r="C1739" i="6"/>
  <c r="C1609" i="6"/>
  <c r="C1603" i="6"/>
  <c r="C1473" i="6"/>
  <c r="C1467" i="6"/>
  <c r="C1065" i="6"/>
  <c r="C1059" i="6"/>
  <c r="C929" i="6"/>
  <c r="C923" i="6"/>
  <c r="C238" i="6"/>
  <c r="C236" i="6"/>
  <c r="C234" i="6"/>
  <c r="C232" i="6"/>
  <c r="C230" i="6"/>
  <c r="C228" i="6"/>
  <c r="C225" i="6"/>
  <c r="C224" i="6"/>
  <c r="C220" i="6"/>
  <c r="C216" i="6"/>
  <c r="C214" i="6"/>
  <c r="C213" i="6"/>
  <c r="C212" i="6"/>
  <c r="C204" i="6"/>
  <c r="C200" i="6"/>
  <c r="C198" i="6"/>
  <c r="C197" i="6"/>
  <c r="C136" i="6"/>
  <c r="C132" i="6"/>
  <c r="C124" i="6"/>
  <c r="C117" i="6"/>
  <c r="C116" i="6"/>
  <c r="C112" i="6"/>
  <c r="C104" i="6"/>
  <c r="B103" i="6"/>
  <c r="B101" i="6"/>
  <c r="C108" i="6" s="1"/>
  <c r="C98" i="6"/>
  <c r="C97" i="6"/>
  <c r="C92" i="6"/>
  <c r="C88" i="6"/>
  <c r="C84" i="6"/>
  <c r="C96" i="6"/>
  <c r="B81" i="6"/>
  <c r="C78" i="6"/>
  <c r="C77" i="6"/>
  <c r="C76" i="6"/>
  <c r="C72" i="6"/>
  <c r="C64" i="6"/>
  <c r="B63" i="6"/>
  <c r="B61" i="6"/>
  <c r="C68" i="6" s="1"/>
  <c r="B58" i="6"/>
  <c r="C58" i="6" s="1"/>
  <c r="C57" i="6"/>
  <c r="C52" i="6"/>
  <c r="C48" i="6"/>
  <c r="C44" i="6"/>
  <c r="B43" i="6"/>
  <c r="C56" i="6" s="1"/>
  <c r="L41" i="6"/>
  <c r="K41" i="6"/>
  <c r="K61" i="6" s="1"/>
  <c r="K81" i="6" s="1"/>
  <c r="B41" i="6"/>
  <c r="L40" i="6"/>
  <c r="L60" i="6" s="1"/>
  <c r="L80" i="6" s="1"/>
  <c r="K40" i="6"/>
  <c r="K60" i="6" s="1"/>
  <c r="L39" i="6"/>
  <c r="L44" i="6" s="1"/>
  <c r="L64" i="6" s="1"/>
  <c r="L84" i="6" s="1"/>
  <c r="K39" i="6"/>
  <c r="L38" i="6"/>
  <c r="L58" i="6" s="1"/>
  <c r="L78" i="6" s="1"/>
  <c r="K38" i="6"/>
  <c r="K58" i="6" s="1"/>
  <c r="K78" i="6" s="1"/>
  <c r="B38" i="6"/>
  <c r="C32" i="6"/>
  <c r="C30" i="6"/>
  <c r="C28" i="6"/>
  <c r="C26" i="6"/>
  <c r="C24" i="6"/>
  <c r="C22" i="6"/>
  <c r="C20" i="6"/>
  <c r="C18" i="6"/>
  <c r="C16" i="6"/>
  <c r="C14" i="6"/>
  <c r="B201" i="6"/>
  <c r="C208" i="6" s="1"/>
  <c r="C8" i="6"/>
  <c r="C6" i="6"/>
  <c r="C4" i="6"/>
  <c r="C2" i="6"/>
  <c r="C16" i="5"/>
  <c r="J74" i="5"/>
  <c r="J75" i="5"/>
  <c r="J76" i="5"/>
  <c r="J77" i="5"/>
  <c r="J78" i="5"/>
  <c r="J79" i="5"/>
  <c r="J80" i="5"/>
  <c r="J73" i="5"/>
  <c r="K74" i="5"/>
  <c r="K78" i="5"/>
  <c r="K79" i="5"/>
  <c r="K80" i="5"/>
  <c r="K59" i="5"/>
  <c r="K60" i="5"/>
  <c r="K61" i="5"/>
  <c r="B57" i="5"/>
  <c r="C68" i="5" s="1"/>
  <c r="B52" i="5"/>
  <c r="B30" i="5"/>
  <c r="C30" i="5" s="1"/>
  <c r="C2297" i="5"/>
  <c r="C2291" i="5"/>
  <c r="C2161" i="5"/>
  <c r="C2155" i="5"/>
  <c r="C2025" i="5"/>
  <c r="C2019" i="5"/>
  <c r="C1889" i="5"/>
  <c r="C1883" i="5"/>
  <c r="C1753" i="5"/>
  <c r="C1747" i="5"/>
  <c r="C1617" i="5"/>
  <c r="C1611" i="5"/>
  <c r="C1481" i="5"/>
  <c r="C1475" i="5"/>
  <c r="C1345" i="5"/>
  <c r="C1339" i="5"/>
  <c r="C937" i="5"/>
  <c r="C931" i="5"/>
  <c r="C801" i="5"/>
  <c r="C795" i="5"/>
  <c r="C110" i="5"/>
  <c r="C108" i="5"/>
  <c r="C106" i="5"/>
  <c r="C104" i="5"/>
  <c r="C102" i="5"/>
  <c r="C100" i="5"/>
  <c r="C97" i="5"/>
  <c r="C96" i="5"/>
  <c r="C92" i="5"/>
  <c r="C88" i="5"/>
  <c r="C86" i="5"/>
  <c r="C84" i="5"/>
  <c r="C83" i="5"/>
  <c r="C75" i="5"/>
  <c r="B74" i="5"/>
  <c r="C79" i="5" s="1"/>
  <c r="C73" i="5"/>
  <c r="C71" i="5"/>
  <c r="C69" i="5"/>
  <c r="C64" i="5"/>
  <c r="M61" i="5"/>
  <c r="L61" i="5"/>
  <c r="J61" i="5"/>
  <c r="M60" i="5"/>
  <c r="L60" i="5"/>
  <c r="J60" i="5"/>
  <c r="C56" i="5"/>
  <c r="M59" i="5"/>
  <c r="L59" i="5"/>
  <c r="J59" i="5"/>
  <c r="M58" i="5"/>
  <c r="J58" i="5"/>
  <c r="J57" i="5"/>
  <c r="J56" i="5"/>
  <c r="L55" i="5"/>
  <c r="J55" i="5"/>
  <c r="B55" i="5"/>
  <c r="C60" i="5" s="1"/>
  <c r="M54" i="5"/>
  <c r="L54" i="5"/>
  <c r="J54" i="5"/>
  <c r="M53" i="5"/>
  <c r="M52" i="5"/>
  <c r="M51" i="5"/>
  <c r="L51" i="5"/>
  <c r="K51" i="5"/>
  <c r="K70" i="5" s="1"/>
  <c r="C51" i="5"/>
  <c r="C46" i="5"/>
  <c r="C38" i="5"/>
  <c r="B73" i="5"/>
  <c r="M57" i="5"/>
  <c r="B35" i="5"/>
  <c r="C50" i="5" s="1"/>
  <c r="M55" i="5"/>
  <c r="K33" i="5"/>
  <c r="K55" i="5" s="1"/>
  <c r="B33" i="5"/>
  <c r="C42" i="5" s="1"/>
  <c r="K32" i="5"/>
  <c r="K54" i="5" s="1"/>
  <c r="K31" i="5"/>
  <c r="K72" i="5" s="1"/>
  <c r="L52" i="5"/>
  <c r="K30" i="5"/>
  <c r="K52" i="5" s="1"/>
  <c r="C24" i="5"/>
  <c r="C22" i="5"/>
  <c r="C20" i="5"/>
  <c r="C18" i="5"/>
  <c r="C14" i="5"/>
  <c r="C12" i="5"/>
  <c r="C8" i="5"/>
  <c r="C6" i="5"/>
  <c r="C4" i="5"/>
  <c r="C2" i="5"/>
  <c r="L105" i="4"/>
  <c r="J107" i="4"/>
  <c r="L107" i="4"/>
  <c r="L129" i="4" s="1"/>
  <c r="J108" i="4"/>
  <c r="M108" i="4"/>
  <c r="J109" i="4"/>
  <c r="J112" i="4"/>
  <c r="K112" i="4"/>
  <c r="J113" i="4"/>
  <c r="M113" i="4"/>
  <c r="J114" i="4"/>
  <c r="M114" i="4"/>
  <c r="K126" i="4"/>
  <c r="L127" i="4"/>
  <c r="J129" i="4"/>
  <c r="J151" i="4" s="1"/>
  <c r="J173" i="4" s="1"/>
  <c r="J195" i="4" s="1"/>
  <c r="J217" i="4" s="1"/>
  <c r="J239" i="4" s="1"/>
  <c r="J261" i="4" s="1"/>
  <c r="J130" i="4"/>
  <c r="M130" i="4"/>
  <c r="C16" i="4"/>
  <c r="C2510" i="4"/>
  <c r="C2504" i="4"/>
  <c r="C2374" i="4"/>
  <c r="C2368" i="4"/>
  <c r="C2238" i="4"/>
  <c r="C2232" i="4"/>
  <c r="C2102" i="4"/>
  <c r="C2096" i="4"/>
  <c r="C1966" i="4"/>
  <c r="C1960" i="4"/>
  <c r="C1830" i="4"/>
  <c r="C1824" i="4"/>
  <c r="C1694" i="4"/>
  <c r="C1688" i="4"/>
  <c r="C1558" i="4"/>
  <c r="C1552" i="4"/>
  <c r="C1150" i="4"/>
  <c r="C1144" i="4"/>
  <c r="C1014" i="4"/>
  <c r="C1008" i="4"/>
  <c r="C323" i="4"/>
  <c r="C321" i="4"/>
  <c r="C319" i="4"/>
  <c r="C317" i="4"/>
  <c r="C315" i="4"/>
  <c r="C313" i="4"/>
  <c r="C310" i="4"/>
  <c r="C309" i="4"/>
  <c r="C305" i="4"/>
  <c r="C301" i="4"/>
  <c r="C299" i="4"/>
  <c r="C298" i="4"/>
  <c r="C297" i="4"/>
  <c r="C289" i="4"/>
  <c r="B284" i="4"/>
  <c r="C293" i="4" s="1"/>
  <c r="C283" i="4"/>
  <c r="C281" i="4"/>
  <c r="C236" i="4"/>
  <c r="C235" i="4"/>
  <c r="C231" i="4"/>
  <c r="C223" i="4"/>
  <c r="B218" i="4"/>
  <c r="C227" i="4" s="1"/>
  <c r="C192" i="4"/>
  <c r="C191" i="4"/>
  <c r="C187" i="4"/>
  <c r="C179" i="4"/>
  <c r="B174" i="4"/>
  <c r="C183" i="4" s="1"/>
  <c r="C104" i="4"/>
  <c r="C99" i="4"/>
  <c r="C91" i="4"/>
  <c r="B88" i="4"/>
  <c r="C103" i="4" s="1"/>
  <c r="B86" i="4"/>
  <c r="C95" i="4" s="1"/>
  <c r="B83" i="4"/>
  <c r="C82" i="4"/>
  <c r="C77" i="4"/>
  <c r="M70" i="4"/>
  <c r="M92" i="4" s="1"/>
  <c r="L70" i="4"/>
  <c r="L92" i="4" s="1"/>
  <c r="K70" i="4"/>
  <c r="K92" i="4" s="1"/>
  <c r="J70" i="4"/>
  <c r="J92" i="4" s="1"/>
  <c r="M69" i="4"/>
  <c r="M91" i="4" s="1"/>
  <c r="L69" i="4"/>
  <c r="L91" i="4" s="1"/>
  <c r="K69" i="4"/>
  <c r="K91" i="4" s="1"/>
  <c r="J69" i="4"/>
  <c r="J91" i="4" s="1"/>
  <c r="C69" i="4"/>
  <c r="M68" i="4"/>
  <c r="M90" i="4" s="1"/>
  <c r="M112" i="4" s="1"/>
  <c r="L68" i="4"/>
  <c r="L90" i="4" s="1"/>
  <c r="K68" i="4"/>
  <c r="K90" i="4" s="1"/>
  <c r="J68" i="4"/>
  <c r="J90" i="4" s="1"/>
  <c r="J67" i="4"/>
  <c r="J89" i="4" s="1"/>
  <c r="J66" i="4"/>
  <c r="J88" i="4" s="1"/>
  <c r="B66" i="4"/>
  <c r="C81" i="4" s="1"/>
  <c r="J65" i="4"/>
  <c r="J87" i="4" s="1"/>
  <c r="J64" i="4"/>
  <c r="J86" i="4" s="1"/>
  <c r="B64" i="4"/>
  <c r="C73" i="4" s="1"/>
  <c r="J63" i="4"/>
  <c r="J85" i="4" s="1"/>
  <c r="B61" i="4"/>
  <c r="M60" i="4"/>
  <c r="M82" i="4" s="1"/>
  <c r="M104" i="4" s="1"/>
  <c r="L60" i="4"/>
  <c r="L82" i="4" s="1"/>
  <c r="L104" i="4" s="1"/>
  <c r="L126" i="4" s="1"/>
  <c r="K60" i="4"/>
  <c r="K82" i="4" s="1"/>
  <c r="K104" i="4" s="1"/>
  <c r="C60" i="4"/>
  <c r="C55" i="4"/>
  <c r="C47" i="4"/>
  <c r="B44" i="4"/>
  <c r="C59" i="4" s="1"/>
  <c r="M42" i="4"/>
  <c r="M64" i="4" s="1"/>
  <c r="M86" i="4" s="1"/>
  <c r="L42" i="4"/>
  <c r="L64" i="4" s="1"/>
  <c r="L86" i="4" s="1"/>
  <c r="L108" i="4" s="1"/>
  <c r="L130" i="4" s="1"/>
  <c r="K42" i="4"/>
  <c r="K64" i="4" s="1"/>
  <c r="K86" i="4" s="1"/>
  <c r="K108" i="4" s="1"/>
  <c r="K130" i="4" s="1"/>
  <c r="B42" i="4"/>
  <c r="C51" i="4" s="1"/>
  <c r="M41" i="4"/>
  <c r="M63" i="4" s="1"/>
  <c r="M85" i="4" s="1"/>
  <c r="M107" i="4" s="1"/>
  <c r="M129" i="4" s="1"/>
  <c r="L41" i="4"/>
  <c r="L63" i="4" s="1"/>
  <c r="L85" i="4" s="1"/>
  <c r="K41" i="4"/>
  <c r="K63" i="4" s="1"/>
  <c r="M40" i="4"/>
  <c r="L40" i="4"/>
  <c r="K40" i="4"/>
  <c r="M39" i="4"/>
  <c r="M61" i="4" s="1"/>
  <c r="M83" i="4" s="1"/>
  <c r="M105" i="4" s="1"/>
  <c r="M127" i="4" s="1"/>
  <c r="L39" i="4"/>
  <c r="L61" i="4" s="1"/>
  <c r="L83" i="4" s="1"/>
  <c r="K39" i="4"/>
  <c r="K61" i="4" s="1"/>
  <c r="K83" i="4" s="1"/>
  <c r="K105" i="4" s="1"/>
  <c r="K127" i="4" s="1"/>
  <c r="B39" i="4"/>
  <c r="C33" i="4"/>
  <c r="C29" i="4"/>
  <c r="B29" i="4"/>
  <c r="C31" i="4" s="1"/>
  <c r="C27" i="4"/>
  <c r="C24" i="4"/>
  <c r="C22" i="4"/>
  <c r="C20" i="4"/>
  <c r="C18" i="4"/>
  <c r="C14" i="4"/>
  <c r="C12" i="4"/>
  <c r="C8" i="4"/>
  <c r="C6" i="4"/>
  <c r="C4" i="4"/>
  <c r="C2" i="4"/>
  <c r="C16" i="2"/>
  <c r="B183" i="2"/>
  <c r="B205" i="2"/>
  <c r="B227" i="2"/>
  <c r="C236" i="2"/>
  <c r="B249" i="2"/>
  <c r="C258" i="2" s="1"/>
  <c r="C273" i="2"/>
  <c r="C271" i="2"/>
  <c r="B271" i="2"/>
  <c r="B268" i="2"/>
  <c r="B246" i="2"/>
  <c r="B224" i="2"/>
  <c r="B158" i="2"/>
  <c r="B136" i="2"/>
  <c r="B202" i="2"/>
  <c r="B180" i="2"/>
  <c r="C288" i="2"/>
  <c r="C284" i="2"/>
  <c r="M277" i="2"/>
  <c r="L277" i="2"/>
  <c r="K277" i="2"/>
  <c r="J277" i="2"/>
  <c r="M276" i="2"/>
  <c r="L276" i="2"/>
  <c r="K276" i="2"/>
  <c r="J276" i="2"/>
  <c r="C276" i="2"/>
  <c r="M275" i="2"/>
  <c r="L275" i="2"/>
  <c r="K275" i="2"/>
  <c r="J275" i="2"/>
  <c r="M274" i="2"/>
  <c r="L274" i="2"/>
  <c r="K274" i="2"/>
  <c r="J274" i="2"/>
  <c r="M273" i="2"/>
  <c r="L273" i="2"/>
  <c r="K273" i="2"/>
  <c r="J273" i="2"/>
  <c r="M272" i="2"/>
  <c r="L272" i="2"/>
  <c r="K272" i="2"/>
  <c r="J272" i="2"/>
  <c r="M271" i="2"/>
  <c r="L271" i="2"/>
  <c r="K271" i="2"/>
  <c r="J271" i="2"/>
  <c r="C280" i="2"/>
  <c r="M270" i="2"/>
  <c r="L270" i="2"/>
  <c r="K270" i="2"/>
  <c r="J270" i="2"/>
  <c r="M269" i="2"/>
  <c r="L269" i="2"/>
  <c r="K269" i="2"/>
  <c r="B269" i="2"/>
  <c r="M268" i="2"/>
  <c r="L268" i="2"/>
  <c r="K268" i="2"/>
  <c r="K267" i="2"/>
  <c r="C267" i="2"/>
  <c r="C266" i="2"/>
  <c r="C262" i="2"/>
  <c r="M255" i="2"/>
  <c r="L255" i="2"/>
  <c r="K255" i="2"/>
  <c r="J255" i="2"/>
  <c r="M254" i="2"/>
  <c r="L254" i="2"/>
  <c r="K254" i="2"/>
  <c r="J254" i="2"/>
  <c r="C254" i="2"/>
  <c r="M253" i="2"/>
  <c r="L253" i="2"/>
  <c r="K253" i="2"/>
  <c r="J253" i="2"/>
  <c r="M252" i="2"/>
  <c r="L252" i="2"/>
  <c r="K252" i="2"/>
  <c r="J252" i="2"/>
  <c r="M251" i="2"/>
  <c r="L251" i="2"/>
  <c r="K251" i="2"/>
  <c r="J251" i="2"/>
  <c r="M250" i="2"/>
  <c r="C253" i="2" s="1"/>
  <c r="L250" i="2"/>
  <c r="C251" i="2" s="1"/>
  <c r="K250" i="2"/>
  <c r="J250" i="2"/>
  <c r="M249" i="2"/>
  <c r="L249" i="2"/>
  <c r="K249" i="2"/>
  <c r="J249" i="2"/>
  <c r="C249" i="2"/>
  <c r="M248" i="2"/>
  <c r="L248" i="2"/>
  <c r="K248" i="2"/>
  <c r="J248" i="2"/>
  <c r="M247" i="2"/>
  <c r="L247" i="2"/>
  <c r="K247" i="2"/>
  <c r="B247" i="2"/>
  <c r="M246" i="2"/>
  <c r="L246" i="2"/>
  <c r="K246" i="2"/>
  <c r="K245" i="2"/>
  <c r="C245" i="2"/>
  <c r="C244" i="2"/>
  <c r="C240" i="2"/>
  <c r="M233" i="2"/>
  <c r="L233" i="2"/>
  <c r="K233" i="2"/>
  <c r="J233" i="2"/>
  <c r="M232" i="2"/>
  <c r="L232" i="2"/>
  <c r="K232" i="2"/>
  <c r="J232" i="2"/>
  <c r="C232" i="2"/>
  <c r="M231" i="2"/>
  <c r="L231" i="2"/>
  <c r="K231" i="2"/>
  <c r="J231" i="2"/>
  <c r="M230" i="2"/>
  <c r="L230" i="2"/>
  <c r="K230" i="2"/>
  <c r="J230" i="2"/>
  <c r="M229" i="2"/>
  <c r="L229" i="2"/>
  <c r="K229" i="2"/>
  <c r="J229" i="2"/>
  <c r="M228" i="2"/>
  <c r="C231" i="2" s="1"/>
  <c r="L228" i="2"/>
  <c r="C229" i="2" s="1"/>
  <c r="K228" i="2"/>
  <c r="J228" i="2"/>
  <c r="M227" i="2"/>
  <c r="L227" i="2"/>
  <c r="K227" i="2"/>
  <c r="J227" i="2"/>
  <c r="C227" i="2"/>
  <c r="M226" i="2"/>
  <c r="L226" i="2"/>
  <c r="K226" i="2"/>
  <c r="J226" i="2"/>
  <c r="M225" i="2"/>
  <c r="L225" i="2"/>
  <c r="K225" i="2"/>
  <c r="B225" i="2"/>
  <c r="M224" i="2"/>
  <c r="L224" i="2"/>
  <c r="K224" i="2"/>
  <c r="K223" i="2"/>
  <c r="C223" i="2"/>
  <c r="C222" i="2"/>
  <c r="C218" i="2"/>
  <c r="M211" i="2"/>
  <c r="L211" i="2"/>
  <c r="K211" i="2"/>
  <c r="J211" i="2"/>
  <c r="M210" i="2"/>
  <c r="L210" i="2"/>
  <c r="K210" i="2"/>
  <c r="J210" i="2"/>
  <c r="C210" i="2"/>
  <c r="M209" i="2"/>
  <c r="L209" i="2"/>
  <c r="K209" i="2"/>
  <c r="J209" i="2"/>
  <c r="M208" i="2"/>
  <c r="L208" i="2"/>
  <c r="K208" i="2"/>
  <c r="J208" i="2"/>
  <c r="M207" i="2"/>
  <c r="L207" i="2"/>
  <c r="K207" i="2"/>
  <c r="J207" i="2"/>
  <c r="M206" i="2"/>
  <c r="C209" i="2" s="1"/>
  <c r="L206" i="2"/>
  <c r="C207" i="2" s="1"/>
  <c r="K206" i="2"/>
  <c r="J206" i="2"/>
  <c r="M205" i="2"/>
  <c r="L205" i="2"/>
  <c r="K205" i="2"/>
  <c r="J205" i="2"/>
  <c r="C205" i="2"/>
  <c r="C214" i="2"/>
  <c r="M204" i="2"/>
  <c r="L204" i="2"/>
  <c r="K204" i="2"/>
  <c r="J204" i="2"/>
  <c r="M203" i="2"/>
  <c r="L203" i="2"/>
  <c r="K203" i="2"/>
  <c r="B203" i="2"/>
  <c r="M202" i="2"/>
  <c r="L202" i="2"/>
  <c r="K202" i="2"/>
  <c r="K201" i="2"/>
  <c r="C201" i="2"/>
  <c r="C200" i="2"/>
  <c r="C196" i="2"/>
  <c r="M189" i="2"/>
  <c r="L189" i="2"/>
  <c r="K189" i="2"/>
  <c r="J189" i="2"/>
  <c r="M188" i="2"/>
  <c r="L188" i="2"/>
  <c r="K188" i="2"/>
  <c r="J188" i="2"/>
  <c r="C188" i="2"/>
  <c r="M187" i="2"/>
  <c r="L187" i="2"/>
  <c r="K187" i="2"/>
  <c r="J187" i="2"/>
  <c r="M186" i="2"/>
  <c r="L186" i="2"/>
  <c r="K186" i="2"/>
  <c r="J186" i="2"/>
  <c r="M185" i="2"/>
  <c r="L185" i="2"/>
  <c r="K185" i="2"/>
  <c r="J185" i="2"/>
  <c r="M184" i="2"/>
  <c r="C187" i="2" s="1"/>
  <c r="L184" i="2"/>
  <c r="C185" i="2" s="1"/>
  <c r="K184" i="2"/>
  <c r="J184" i="2"/>
  <c r="M183" i="2"/>
  <c r="L183" i="2"/>
  <c r="K183" i="2"/>
  <c r="J183" i="2"/>
  <c r="C183" i="2"/>
  <c r="C192" i="2"/>
  <c r="M182" i="2"/>
  <c r="L182" i="2"/>
  <c r="K182" i="2"/>
  <c r="J182" i="2"/>
  <c r="M181" i="2"/>
  <c r="L181" i="2"/>
  <c r="K181" i="2"/>
  <c r="B181" i="2"/>
  <c r="M180" i="2"/>
  <c r="L180" i="2"/>
  <c r="K180" i="2"/>
  <c r="K179" i="2"/>
  <c r="C179" i="2"/>
  <c r="C289" i="2"/>
  <c r="K289" i="2"/>
  <c r="L289" i="2"/>
  <c r="C290" i="2"/>
  <c r="K290" i="2"/>
  <c r="L290" i="2"/>
  <c r="M290" i="2"/>
  <c r="B291" i="2"/>
  <c r="K291" i="2"/>
  <c r="L291" i="2"/>
  <c r="M291" i="2"/>
  <c r="B292" i="2"/>
  <c r="C292" i="2"/>
  <c r="J292" i="2"/>
  <c r="K292" i="2"/>
  <c r="L292" i="2"/>
  <c r="M292" i="2"/>
  <c r="B293" i="2"/>
  <c r="C293" i="2"/>
  <c r="J293" i="2"/>
  <c r="K293" i="2"/>
  <c r="L293" i="2"/>
  <c r="M293" i="2"/>
  <c r="J294" i="2"/>
  <c r="K294" i="2"/>
  <c r="L294" i="2"/>
  <c r="M294" i="2"/>
  <c r="J295" i="2"/>
  <c r="K295" i="2"/>
  <c r="L295" i="2"/>
  <c r="C295" i="2" s="1"/>
  <c r="M295" i="2"/>
  <c r="J296" i="2"/>
  <c r="K296" i="2"/>
  <c r="L296" i="2"/>
  <c r="M296" i="2"/>
  <c r="C297" i="2"/>
  <c r="J297" i="2"/>
  <c r="K297" i="2"/>
  <c r="L297" i="2"/>
  <c r="M297" i="2"/>
  <c r="C298" i="2"/>
  <c r="J298" i="2"/>
  <c r="K298" i="2"/>
  <c r="L298" i="2"/>
  <c r="M298" i="2"/>
  <c r="J299" i="2"/>
  <c r="K299" i="2"/>
  <c r="L299" i="2"/>
  <c r="M299" i="2"/>
  <c r="C302" i="2"/>
  <c r="C306" i="2"/>
  <c r="C307" i="2"/>
  <c r="C308" i="2"/>
  <c r="B309" i="2"/>
  <c r="C310" i="2"/>
  <c r="B161" i="2"/>
  <c r="C170" i="2"/>
  <c r="C161" i="2"/>
  <c r="C178" i="2"/>
  <c r="C174" i="2"/>
  <c r="M167" i="2"/>
  <c r="L167" i="2"/>
  <c r="K167" i="2"/>
  <c r="J167" i="2"/>
  <c r="M166" i="2"/>
  <c r="L166" i="2"/>
  <c r="K166" i="2"/>
  <c r="J166" i="2"/>
  <c r="C166" i="2"/>
  <c r="M165" i="2"/>
  <c r="L165" i="2"/>
  <c r="K165" i="2"/>
  <c r="J165" i="2"/>
  <c r="M164" i="2"/>
  <c r="L164" i="2"/>
  <c r="K164" i="2"/>
  <c r="J164" i="2"/>
  <c r="M163" i="2"/>
  <c r="L163" i="2"/>
  <c r="K163" i="2"/>
  <c r="J163" i="2"/>
  <c r="M162" i="2"/>
  <c r="C165" i="2" s="1"/>
  <c r="L162" i="2"/>
  <c r="C163" i="2" s="1"/>
  <c r="K162" i="2"/>
  <c r="J162" i="2"/>
  <c r="M161" i="2"/>
  <c r="L161" i="2"/>
  <c r="K161" i="2"/>
  <c r="J161" i="2"/>
  <c r="M160" i="2"/>
  <c r="L160" i="2"/>
  <c r="K160" i="2"/>
  <c r="J160" i="2"/>
  <c r="M159" i="2"/>
  <c r="L159" i="2"/>
  <c r="K159" i="2"/>
  <c r="B159" i="2"/>
  <c r="M158" i="2"/>
  <c r="L158" i="2"/>
  <c r="K158" i="2"/>
  <c r="M157" i="2"/>
  <c r="M179" i="2" s="1"/>
  <c r="M201" i="2" s="1"/>
  <c r="M223" i="2" s="1"/>
  <c r="M245" i="2" s="1"/>
  <c r="M267" i="2" s="1"/>
  <c r="K157" i="2"/>
  <c r="C157" i="2"/>
  <c r="B117" i="2"/>
  <c r="B139" i="2"/>
  <c r="C148" i="2"/>
  <c r="C143" i="2"/>
  <c r="C141" i="2"/>
  <c r="C139" i="2"/>
  <c r="B119" i="2"/>
  <c r="C134" i="2" s="1"/>
  <c r="B95" i="2"/>
  <c r="B115" i="2"/>
  <c r="C119" i="2"/>
  <c r="C97" i="2"/>
  <c r="B114" i="2"/>
  <c r="C114" i="2" s="1"/>
  <c r="B92" i="2"/>
  <c r="C92" i="2" s="1"/>
  <c r="B70" i="2"/>
  <c r="B48" i="2"/>
  <c r="C122" i="2"/>
  <c r="C99" i="2"/>
  <c r="C121" i="2"/>
  <c r="B93" i="2"/>
  <c r="C51" i="2"/>
  <c r="C78" i="2"/>
  <c r="M123" i="2"/>
  <c r="M145" i="2" s="1"/>
  <c r="J72" i="2"/>
  <c r="J94" i="2" s="1"/>
  <c r="J116" i="2" s="1"/>
  <c r="J138" i="2" s="1"/>
  <c r="K72" i="2"/>
  <c r="J73" i="2"/>
  <c r="J95" i="2" s="1"/>
  <c r="J117" i="2" s="1"/>
  <c r="J139" i="2" s="1"/>
  <c r="J74" i="2"/>
  <c r="J96" i="2" s="1"/>
  <c r="J118" i="2" s="1"/>
  <c r="J140" i="2" s="1"/>
  <c r="J75" i="2"/>
  <c r="J97" i="2" s="1"/>
  <c r="J119" i="2" s="1"/>
  <c r="J141" i="2" s="1"/>
  <c r="J76" i="2"/>
  <c r="J98" i="2" s="1"/>
  <c r="J120" i="2" s="1"/>
  <c r="J142" i="2" s="1"/>
  <c r="J77" i="2"/>
  <c r="J99" i="2" s="1"/>
  <c r="J121" i="2" s="1"/>
  <c r="J143" i="2" s="1"/>
  <c r="K77" i="2"/>
  <c r="K99" i="2" s="1"/>
  <c r="K121" i="2" s="1"/>
  <c r="K143" i="2" s="1"/>
  <c r="L77" i="2"/>
  <c r="L99" i="2" s="1"/>
  <c r="L121" i="2" s="1"/>
  <c r="L143" i="2" s="1"/>
  <c r="M77" i="2"/>
  <c r="M99" i="2" s="1"/>
  <c r="M121" i="2" s="1"/>
  <c r="M143" i="2" s="1"/>
  <c r="J78" i="2"/>
  <c r="J100" i="2" s="1"/>
  <c r="J122" i="2" s="1"/>
  <c r="J144" i="2" s="1"/>
  <c r="K78" i="2"/>
  <c r="K100" i="2" s="1"/>
  <c r="K122" i="2" s="1"/>
  <c r="K144" i="2" s="1"/>
  <c r="L78" i="2"/>
  <c r="L100" i="2" s="1"/>
  <c r="L122" i="2" s="1"/>
  <c r="L144" i="2" s="1"/>
  <c r="M78" i="2"/>
  <c r="M100" i="2" s="1"/>
  <c r="M122" i="2" s="1"/>
  <c r="M144" i="2" s="1"/>
  <c r="J79" i="2"/>
  <c r="J101" i="2" s="1"/>
  <c r="J123" i="2" s="1"/>
  <c r="J145" i="2" s="1"/>
  <c r="K79" i="2"/>
  <c r="K101" i="2" s="1"/>
  <c r="K123" i="2" s="1"/>
  <c r="K145" i="2" s="1"/>
  <c r="L79" i="2"/>
  <c r="L101" i="2" s="1"/>
  <c r="L123" i="2" s="1"/>
  <c r="L145" i="2" s="1"/>
  <c r="M79" i="2"/>
  <c r="M101" i="2" s="1"/>
  <c r="K69" i="2"/>
  <c r="K91" i="2" s="1"/>
  <c r="K113" i="2" s="1"/>
  <c r="K135" i="2" s="1"/>
  <c r="L69" i="2"/>
  <c r="L91" i="2" s="1"/>
  <c r="L113" i="2" s="1"/>
  <c r="L135" i="2" s="1"/>
  <c r="L157" i="2" s="1"/>
  <c r="L179" i="2" s="1"/>
  <c r="L201" i="2" s="1"/>
  <c r="L223" i="2" s="1"/>
  <c r="L245" i="2" s="1"/>
  <c r="L267" i="2" s="1"/>
  <c r="M69" i="2"/>
  <c r="M91" i="2" s="1"/>
  <c r="M113" i="2" s="1"/>
  <c r="M135" i="2" s="1"/>
  <c r="M289" i="2" s="1"/>
  <c r="M48" i="2"/>
  <c r="M70" i="2" s="1"/>
  <c r="M92" i="2" s="1"/>
  <c r="M114" i="2" s="1"/>
  <c r="M136" i="2" s="1"/>
  <c r="B75" i="2"/>
  <c r="C90" i="2" s="1"/>
  <c r="M50" i="2"/>
  <c r="M72" i="2" s="1"/>
  <c r="M94" i="2" s="1"/>
  <c r="M116" i="2" s="1"/>
  <c r="M138" i="2" s="1"/>
  <c r="M51" i="2"/>
  <c r="M49" i="2"/>
  <c r="M71" i="2" s="1"/>
  <c r="M93" i="2" s="1"/>
  <c r="M115" i="2" s="1"/>
  <c r="M137" i="2" s="1"/>
  <c r="B39" i="2"/>
  <c r="C40" i="2" s="1"/>
  <c r="B29" i="2"/>
  <c r="C31" i="2" s="1"/>
  <c r="C42" i="2"/>
  <c r="C38" i="2"/>
  <c r="C36" i="2"/>
  <c r="C2365" i="3"/>
  <c r="C2359" i="3"/>
  <c r="C2229" i="3"/>
  <c r="C2223" i="3"/>
  <c r="C2093" i="3"/>
  <c r="C2087" i="3"/>
  <c r="C1957" i="3"/>
  <c r="C1951" i="3"/>
  <c r="C1821" i="3"/>
  <c r="C1815" i="3"/>
  <c r="C1685" i="3"/>
  <c r="C1679" i="3"/>
  <c r="C1549" i="3"/>
  <c r="C1543" i="3"/>
  <c r="C1413" i="3"/>
  <c r="C1407" i="3"/>
  <c r="C1005" i="3"/>
  <c r="C999" i="3"/>
  <c r="C869" i="3"/>
  <c r="C863" i="3"/>
  <c r="C178" i="3"/>
  <c r="C176" i="3"/>
  <c r="C174" i="3"/>
  <c r="C172" i="3"/>
  <c r="C170" i="3"/>
  <c r="C168" i="3"/>
  <c r="C165" i="3"/>
  <c r="C164" i="3"/>
  <c r="C160" i="3"/>
  <c r="C156" i="3"/>
  <c r="B155" i="3"/>
  <c r="C154" i="3"/>
  <c r="C153" i="3"/>
  <c r="C152" i="3"/>
  <c r="C144" i="3"/>
  <c r="C140" i="3"/>
  <c r="C138" i="3"/>
  <c r="C137" i="3"/>
  <c r="C136" i="3"/>
  <c r="C132" i="3"/>
  <c r="C124" i="3"/>
  <c r="B121" i="3"/>
  <c r="C128" i="3" s="1"/>
  <c r="C117" i="3"/>
  <c r="C116" i="3"/>
  <c r="C112" i="3"/>
  <c r="C104" i="3"/>
  <c r="B103" i="3"/>
  <c r="B101" i="3"/>
  <c r="C108" i="3" s="1"/>
  <c r="B98" i="3"/>
  <c r="C98" i="3" s="1"/>
  <c r="C97" i="3"/>
  <c r="C92" i="3"/>
  <c r="C88" i="3"/>
  <c r="C84" i="3"/>
  <c r="B83" i="3"/>
  <c r="C96" i="3" s="1"/>
  <c r="B81" i="3"/>
  <c r="B78" i="3"/>
  <c r="C78" i="3" s="1"/>
  <c r="C77" i="3"/>
  <c r="C76" i="3"/>
  <c r="C72" i="3"/>
  <c r="C64" i="3"/>
  <c r="B63" i="3"/>
  <c r="B61" i="3"/>
  <c r="C68" i="3" s="1"/>
  <c r="B58" i="3"/>
  <c r="C58" i="3" s="1"/>
  <c r="C57" i="3"/>
  <c r="C52" i="3"/>
  <c r="C48" i="3"/>
  <c r="C44" i="3"/>
  <c r="L43" i="3"/>
  <c r="B100" i="3" s="1"/>
  <c r="C103" i="3" s="1"/>
  <c r="B43" i="3"/>
  <c r="C56" i="3" s="1"/>
  <c r="L42" i="3"/>
  <c r="B120" i="3" s="1"/>
  <c r="C123" i="3" s="1"/>
  <c r="L41" i="3"/>
  <c r="K41" i="3"/>
  <c r="B41" i="3"/>
  <c r="L40" i="3"/>
  <c r="K40" i="3"/>
  <c r="L39" i="3"/>
  <c r="L44" i="3" s="1"/>
  <c r="K39" i="3"/>
  <c r="K43" i="3" s="1"/>
  <c r="B59" i="3" s="1"/>
  <c r="C61" i="3" s="1"/>
  <c r="L38" i="3"/>
  <c r="K38" i="3"/>
  <c r="B38" i="3"/>
  <c r="B118" i="3" s="1"/>
  <c r="C32" i="3"/>
  <c r="B30" i="3"/>
  <c r="C30" i="3" s="1"/>
  <c r="C28" i="3"/>
  <c r="C26" i="3"/>
  <c r="C24" i="3"/>
  <c r="C22" i="3"/>
  <c r="C20" i="3"/>
  <c r="C18" i="3"/>
  <c r="C16" i="3"/>
  <c r="C14" i="3"/>
  <c r="C12" i="3"/>
  <c r="B12" i="3"/>
  <c r="B141" i="3" s="1"/>
  <c r="C148" i="3" s="1"/>
  <c r="C8" i="3"/>
  <c r="C6" i="3"/>
  <c r="C4" i="3"/>
  <c r="C2" i="3"/>
  <c r="C144" i="2"/>
  <c r="C100" i="2"/>
  <c r="C56" i="2"/>
  <c r="C318" i="2"/>
  <c r="C319" i="2"/>
  <c r="C314" i="2"/>
  <c r="C332" i="2"/>
  <c r="C324" i="2"/>
  <c r="C328" i="2"/>
  <c r="C330" i="2"/>
  <c r="C326" i="2"/>
  <c r="C322" i="2"/>
  <c r="C156" i="2"/>
  <c r="C152" i="2"/>
  <c r="C126" i="2"/>
  <c r="C104" i="2"/>
  <c r="B97" i="2"/>
  <c r="C112" i="2" s="1"/>
  <c r="C135" i="2"/>
  <c r="C130" i="2"/>
  <c r="C113" i="2"/>
  <c r="C108" i="2"/>
  <c r="C18" i="2"/>
  <c r="B73" i="2"/>
  <c r="C82" i="2" s="1"/>
  <c r="C70" i="2"/>
  <c r="C91" i="2"/>
  <c r="C86" i="2"/>
  <c r="C64" i="2"/>
  <c r="C69" i="2"/>
  <c r="B51" i="2"/>
  <c r="C60" i="2" s="1"/>
  <c r="C50" i="2"/>
  <c r="B53" i="2"/>
  <c r="C68" i="2" s="1"/>
  <c r="K49" i="2"/>
  <c r="K71" i="2" s="1"/>
  <c r="K93" i="2" s="1"/>
  <c r="K115" i="2" s="1"/>
  <c r="K137" i="2" s="1"/>
  <c r="L50" i="2"/>
  <c r="L72" i="2" s="1"/>
  <c r="L94" i="2" s="1"/>
  <c r="L116" i="2" s="1"/>
  <c r="L138" i="2" s="1"/>
  <c r="L51" i="2"/>
  <c r="L73" i="2" s="1"/>
  <c r="L95" i="2" s="1"/>
  <c r="L117" i="2" s="1"/>
  <c r="L139" i="2" s="1"/>
  <c r="L49" i="2"/>
  <c r="L71" i="2" s="1"/>
  <c r="L93" i="2" s="1"/>
  <c r="L115" i="2" s="1"/>
  <c r="L137" i="2" s="1"/>
  <c r="K51" i="2"/>
  <c r="K73" i="2" s="1"/>
  <c r="K95" i="2" s="1"/>
  <c r="K117" i="2" s="1"/>
  <c r="K139" i="2" s="1"/>
  <c r="K50" i="2"/>
  <c r="C12" i="2"/>
  <c r="C2519" i="2"/>
  <c r="C2513" i="2"/>
  <c r="C2383" i="2"/>
  <c r="C2377" i="2"/>
  <c r="C2247" i="2"/>
  <c r="C2241" i="2"/>
  <c r="C2111" i="2"/>
  <c r="C2105" i="2"/>
  <c r="C1975" i="2"/>
  <c r="C1969" i="2"/>
  <c r="C1839" i="2"/>
  <c r="C1833" i="2"/>
  <c r="C1703" i="2"/>
  <c r="C1697" i="2"/>
  <c r="C1567" i="2"/>
  <c r="C1561" i="2"/>
  <c r="C1159" i="2"/>
  <c r="C1153" i="2"/>
  <c r="C1023" i="2"/>
  <c r="C1017" i="2"/>
  <c r="C33" i="2"/>
  <c r="C29" i="2"/>
  <c r="C27" i="2"/>
  <c r="C24" i="2"/>
  <c r="C22" i="2"/>
  <c r="C20" i="2"/>
  <c r="L48" i="2"/>
  <c r="L70" i="2" s="1"/>
  <c r="L92" i="2" s="1"/>
  <c r="L114" i="2" s="1"/>
  <c r="L136" i="2" s="1"/>
  <c r="K48" i="2"/>
  <c r="K70" i="2" s="1"/>
  <c r="K92" i="2" s="1"/>
  <c r="K114" i="2" s="1"/>
  <c r="K136" i="2" s="1"/>
  <c r="C8" i="2"/>
  <c r="C6" i="2"/>
  <c r="C4" i="2"/>
  <c r="C2" i="2"/>
  <c r="L397" i="13" l="1"/>
  <c r="L265" i="13"/>
  <c r="L287" i="13" s="1"/>
  <c r="L309" i="13" s="1"/>
  <c r="L331" i="13" s="1"/>
  <c r="L353" i="13" s="1"/>
  <c r="L375" i="13" s="1"/>
  <c r="C309" i="13"/>
  <c r="L330" i="13"/>
  <c r="K396" i="13"/>
  <c r="B327" i="13"/>
  <c r="K264" i="13"/>
  <c r="C241" i="13"/>
  <c r="C289" i="13"/>
  <c r="M308" i="13"/>
  <c r="C140" i="11"/>
  <c r="L62" i="11"/>
  <c r="B120" i="11"/>
  <c r="B80" i="11"/>
  <c r="K139" i="11"/>
  <c r="K159" i="11"/>
  <c r="K179" i="11" s="1"/>
  <c r="L165" i="11"/>
  <c r="L185" i="11" s="1"/>
  <c r="L145" i="11"/>
  <c r="B200" i="11"/>
  <c r="B40" i="11"/>
  <c r="L64" i="11"/>
  <c r="C43" i="11"/>
  <c r="B60" i="11"/>
  <c r="C81" i="11"/>
  <c r="K104" i="11"/>
  <c r="C178" i="11"/>
  <c r="C180" i="11"/>
  <c r="B119" i="11"/>
  <c r="K62" i="11"/>
  <c r="B39" i="11"/>
  <c r="C41" i="11"/>
  <c r="L159" i="11"/>
  <c r="L179" i="11" s="1"/>
  <c r="L139" i="11"/>
  <c r="C158" i="11"/>
  <c r="C160" i="11"/>
  <c r="K63" i="11"/>
  <c r="B59" i="11"/>
  <c r="L123" i="11"/>
  <c r="C103" i="11"/>
  <c r="K160" i="11"/>
  <c r="K180" i="11" s="1"/>
  <c r="K140" i="11"/>
  <c r="Z160" i="10"/>
  <c r="Z204" i="10" s="1"/>
  <c r="Z226" i="10" s="1"/>
  <c r="Z248" i="10" s="1"/>
  <c r="Z270" i="10" s="1"/>
  <c r="Z292" i="10" s="1"/>
  <c r="Z314" i="10" s="1"/>
  <c r="Z336" i="10" s="1"/>
  <c r="Z138" i="10"/>
  <c r="Z182" i="10" s="1"/>
  <c r="R51" i="10"/>
  <c r="Q49" i="10"/>
  <c r="AA164" i="10"/>
  <c r="AA208" i="10" s="1"/>
  <c r="AA230" i="10" s="1"/>
  <c r="AA252" i="10" s="1"/>
  <c r="AA274" i="10" s="1"/>
  <c r="AA296" i="10" s="1"/>
  <c r="AA318" i="10" s="1"/>
  <c r="AA340" i="10" s="1"/>
  <c r="AA142" i="10"/>
  <c r="AA186" i="10" s="1"/>
  <c r="R139" i="10"/>
  <c r="Q137" i="10"/>
  <c r="AA184" i="10"/>
  <c r="AA97" i="10"/>
  <c r="R75" i="10"/>
  <c r="C55" i="10"/>
  <c r="C143" i="10"/>
  <c r="K186" i="10"/>
  <c r="C187" i="10" s="1"/>
  <c r="B141" i="10"/>
  <c r="C156" i="10" s="1"/>
  <c r="L188" i="10"/>
  <c r="K160" i="10"/>
  <c r="K204" i="10" s="1"/>
  <c r="K226" i="10" s="1"/>
  <c r="K248" i="10" s="1"/>
  <c r="K270" i="10" s="1"/>
  <c r="K292" i="10" s="1"/>
  <c r="K314" i="10" s="1"/>
  <c r="K336" i="10" s="1"/>
  <c r="K138" i="10"/>
  <c r="K182" i="10" s="1"/>
  <c r="M159" i="10"/>
  <c r="M203" i="10" s="1"/>
  <c r="M225" i="10" s="1"/>
  <c r="M247" i="10" s="1"/>
  <c r="M269" i="10" s="1"/>
  <c r="M291" i="10" s="1"/>
  <c r="M313" i="10" s="1"/>
  <c r="M335" i="10" s="1"/>
  <c r="M137" i="10"/>
  <c r="M181" i="10" s="1"/>
  <c r="C139" i="10"/>
  <c r="M164" i="10"/>
  <c r="M208" i="10" s="1"/>
  <c r="M362" i="10" s="1"/>
  <c r="M142" i="10"/>
  <c r="M186" i="10" s="1"/>
  <c r="M163" i="10"/>
  <c r="M207" i="10" s="1"/>
  <c r="M361" i="10" s="1"/>
  <c r="M141" i="10"/>
  <c r="M185" i="10" s="1"/>
  <c r="B181" i="10" s="1"/>
  <c r="M162" i="10"/>
  <c r="M206" i="10" s="1"/>
  <c r="M140" i="10"/>
  <c r="M184" i="10" s="1"/>
  <c r="L159" i="10"/>
  <c r="L203" i="10" s="1"/>
  <c r="L357" i="10" s="1"/>
  <c r="L137" i="10"/>
  <c r="L181" i="10" s="1"/>
  <c r="B49" i="10"/>
  <c r="C51" i="10"/>
  <c r="C75" i="10"/>
  <c r="C99" i="10"/>
  <c r="L225" i="10"/>
  <c r="L247" i="10" s="1"/>
  <c r="L269" i="10" s="1"/>
  <c r="L291" i="10" s="1"/>
  <c r="L313" i="10" s="1"/>
  <c r="L335" i="10" s="1"/>
  <c r="AA362" i="10"/>
  <c r="AA357" i="10"/>
  <c r="M363" i="10"/>
  <c r="M231" i="10"/>
  <c r="M253" i="10" s="1"/>
  <c r="M275" i="10" s="1"/>
  <c r="M297" i="10" s="1"/>
  <c r="M319" i="10" s="1"/>
  <c r="M341" i="10" s="1"/>
  <c r="M357" i="10"/>
  <c r="C77" i="10"/>
  <c r="C202" i="10"/>
  <c r="L98" i="10"/>
  <c r="L120" i="10" s="1"/>
  <c r="L97" i="10"/>
  <c r="C119" i="10"/>
  <c r="Q358" i="10"/>
  <c r="Z98" i="10"/>
  <c r="Z120" i="10" s="1"/>
  <c r="Z164" i="10" s="1"/>
  <c r="R246" i="10"/>
  <c r="R248" i="10"/>
  <c r="AB98" i="10"/>
  <c r="Z96" i="10"/>
  <c r="AB206" i="10"/>
  <c r="R117" i="10"/>
  <c r="AA162" i="10"/>
  <c r="AA206" i="10" s="1"/>
  <c r="Q115" i="10"/>
  <c r="Z358" i="10"/>
  <c r="R121" i="10"/>
  <c r="R290" i="10"/>
  <c r="R292" i="10"/>
  <c r="Z97" i="10"/>
  <c r="Z119" i="10" s="1"/>
  <c r="C224" i="10"/>
  <c r="C226" i="10"/>
  <c r="C314" i="10"/>
  <c r="C312" i="10"/>
  <c r="B93" i="10"/>
  <c r="C95" i="10" s="1"/>
  <c r="K97" i="10"/>
  <c r="K119" i="10" s="1"/>
  <c r="K164" i="10"/>
  <c r="C121" i="10"/>
  <c r="C292" i="10"/>
  <c r="C290" i="10"/>
  <c r="L162" i="10"/>
  <c r="L206" i="10" s="1"/>
  <c r="C117" i="10"/>
  <c r="B115" i="10"/>
  <c r="K96" i="10"/>
  <c r="B203" i="10"/>
  <c r="C73" i="10"/>
  <c r="B71" i="10"/>
  <c r="M229" i="10"/>
  <c r="M251" i="10" s="1"/>
  <c r="M273" i="10" s="1"/>
  <c r="M295" i="10" s="1"/>
  <c r="M317" i="10" s="1"/>
  <c r="M339" i="10" s="1"/>
  <c r="M230" i="10"/>
  <c r="M252" i="10" s="1"/>
  <c r="M274" i="10" s="1"/>
  <c r="M296" i="10" s="1"/>
  <c r="M318" i="10" s="1"/>
  <c r="M340" i="10" s="1"/>
  <c r="L109" i="9"/>
  <c r="L131" i="9" s="1"/>
  <c r="K283" i="9"/>
  <c r="K151" i="9"/>
  <c r="K173" i="9" s="1"/>
  <c r="K195" i="9" s="1"/>
  <c r="K217" i="9" s="1"/>
  <c r="K239" i="9" s="1"/>
  <c r="K261" i="9" s="1"/>
  <c r="M285" i="9"/>
  <c r="M153" i="9"/>
  <c r="M175" i="9" s="1"/>
  <c r="M197" i="9" s="1"/>
  <c r="M219" i="9" s="1"/>
  <c r="M241" i="9" s="1"/>
  <c r="M263" i="9" s="1"/>
  <c r="K66" i="9"/>
  <c r="K88" i="9" s="1"/>
  <c r="K110" i="9" s="1"/>
  <c r="K132" i="9" s="1"/>
  <c r="B62" i="9"/>
  <c r="B282" i="9"/>
  <c r="K67" i="9"/>
  <c r="K89" i="9" s="1"/>
  <c r="M286" i="9"/>
  <c r="M154" i="9"/>
  <c r="M176" i="9" s="1"/>
  <c r="M198" i="9" s="1"/>
  <c r="M220" i="9" s="1"/>
  <c r="M242" i="9" s="1"/>
  <c r="M264" i="9" s="1"/>
  <c r="K150" i="9"/>
  <c r="K172" i="9" s="1"/>
  <c r="K194" i="9" s="1"/>
  <c r="K216" i="9" s="1"/>
  <c r="K238" i="9" s="1"/>
  <c r="K260" i="9" s="1"/>
  <c r="K282" i="9"/>
  <c r="B283" i="9"/>
  <c r="L67" i="9"/>
  <c r="L89" i="9" s="1"/>
  <c r="L111" i="9" s="1"/>
  <c r="L133" i="9" s="1"/>
  <c r="M282" i="9"/>
  <c r="M150" i="9"/>
  <c r="M172" i="9" s="1"/>
  <c r="M194" i="9" s="1"/>
  <c r="M216" i="9" s="1"/>
  <c r="M238" i="9" s="1"/>
  <c r="M260" i="9" s="1"/>
  <c r="L66" i="9"/>
  <c r="K65" i="9"/>
  <c r="K87" i="9" s="1"/>
  <c r="L153" i="9"/>
  <c r="L175" i="9" s="1"/>
  <c r="L285" i="9"/>
  <c r="M120" i="8"/>
  <c r="M139" i="8"/>
  <c r="M183" i="8" s="1"/>
  <c r="L118" i="8"/>
  <c r="L333" i="8"/>
  <c r="L201" i="8"/>
  <c r="L223" i="8" s="1"/>
  <c r="L245" i="8" s="1"/>
  <c r="L267" i="8" s="1"/>
  <c r="L289" i="8" s="1"/>
  <c r="L311" i="8" s="1"/>
  <c r="L144" i="8"/>
  <c r="L188" i="8" s="1"/>
  <c r="M137" i="8"/>
  <c r="M181" i="8" s="1"/>
  <c r="M159" i="8"/>
  <c r="K336" i="8"/>
  <c r="K204" i="8"/>
  <c r="K226" i="8" s="1"/>
  <c r="K248" i="8" s="1"/>
  <c r="K270" i="8" s="1"/>
  <c r="K292" i="8" s="1"/>
  <c r="K314" i="8" s="1"/>
  <c r="J336" i="8"/>
  <c r="J204" i="8"/>
  <c r="J226" i="8" s="1"/>
  <c r="J248" i="8" s="1"/>
  <c r="J270" i="8" s="1"/>
  <c r="J292" i="8" s="1"/>
  <c r="J314" i="8" s="1"/>
  <c r="K343" i="8"/>
  <c r="K211" i="8"/>
  <c r="K233" i="8" s="1"/>
  <c r="K255" i="8" s="1"/>
  <c r="K277" i="8" s="1"/>
  <c r="K299" i="8" s="1"/>
  <c r="K321" i="8" s="1"/>
  <c r="J340" i="8"/>
  <c r="J208" i="8"/>
  <c r="J230" i="8" s="1"/>
  <c r="J252" i="8" s="1"/>
  <c r="J274" i="8" s="1"/>
  <c r="J296" i="8" s="1"/>
  <c r="J318" i="8" s="1"/>
  <c r="J205" i="8"/>
  <c r="J227" i="8" s="1"/>
  <c r="J249" i="8" s="1"/>
  <c r="J271" i="8" s="1"/>
  <c r="J293" i="8" s="1"/>
  <c r="J315" i="8" s="1"/>
  <c r="J337" i="8"/>
  <c r="M336" i="8"/>
  <c r="M204" i="8"/>
  <c r="M226" i="8" s="1"/>
  <c r="M248" i="8" s="1"/>
  <c r="M270" i="8" s="1"/>
  <c r="M292" i="8" s="1"/>
  <c r="M314" i="8" s="1"/>
  <c r="K334" i="8"/>
  <c r="K202" i="8"/>
  <c r="K224" i="8" s="1"/>
  <c r="K246" i="8" s="1"/>
  <c r="K268" i="8" s="1"/>
  <c r="K290" i="8" s="1"/>
  <c r="K312" i="8" s="1"/>
  <c r="L337" i="8"/>
  <c r="L205" i="8"/>
  <c r="L227" i="8" s="1"/>
  <c r="L249" i="8" s="1"/>
  <c r="L271" i="8" s="1"/>
  <c r="L293" i="8" s="1"/>
  <c r="L315" i="8" s="1"/>
  <c r="K137" i="8"/>
  <c r="K181" i="8" s="1"/>
  <c r="K159" i="8"/>
  <c r="C248" i="8"/>
  <c r="C246" i="8"/>
  <c r="B336" i="8"/>
  <c r="L76" i="8"/>
  <c r="L98" i="8" s="1"/>
  <c r="L120" i="8" s="1"/>
  <c r="M141" i="8"/>
  <c r="M185" i="8" s="1"/>
  <c r="M163" i="8"/>
  <c r="B138" i="8"/>
  <c r="L75" i="8"/>
  <c r="L97" i="8" s="1"/>
  <c r="L119" i="8" s="1"/>
  <c r="L342" i="8"/>
  <c r="L210" i="8"/>
  <c r="L232" i="8" s="1"/>
  <c r="L254" i="8" s="1"/>
  <c r="L276" i="8" s="1"/>
  <c r="L298" i="8" s="1"/>
  <c r="L320" i="8" s="1"/>
  <c r="L140" i="8"/>
  <c r="L184" i="8" s="1"/>
  <c r="K337" i="8"/>
  <c r="K205" i="8"/>
  <c r="K227" i="8" s="1"/>
  <c r="K249" i="8" s="1"/>
  <c r="K271" i="8" s="1"/>
  <c r="K293" i="8" s="1"/>
  <c r="K315" i="8" s="1"/>
  <c r="J342" i="8"/>
  <c r="J210" i="8"/>
  <c r="J232" i="8" s="1"/>
  <c r="J254" i="8" s="1"/>
  <c r="J276" i="8" s="1"/>
  <c r="J298" i="8" s="1"/>
  <c r="J320" i="8" s="1"/>
  <c r="L203" i="8"/>
  <c r="L225" i="8" s="1"/>
  <c r="L247" i="8" s="1"/>
  <c r="L269" i="8" s="1"/>
  <c r="L291" i="8" s="1"/>
  <c r="L313" i="8" s="1"/>
  <c r="L335" i="8"/>
  <c r="M211" i="8"/>
  <c r="M233" i="8" s="1"/>
  <c r="M255" i="8" s="1"/>
  <c r="M277" i="8" s="1"/>
  <c r="M299" i="8" s="1"/>
  <c r="M321" i="8" s="1"/>
  <c r="M343" i="8"/>
  <c r="K333" i="8"/>
  <c r="K201" i="8"/>
  <c r="K223" i="8" s="1"/>
  <c r="K245" i="8" s="1"/>
  <c r="K267" i="8" s="1"/>
  <c r="K289" i="8" s="1"/>
  <c r="K311" i="8" s="1"/>
  <c r="K76" i="8"/>
  <c r="K98" i="8" s="1"/>
  <c r="B335" i="8"/>
  <c r="C337" i="8" s="1"/>
  <c r="M342" i="8"/>
  <c r="M210" i="8"/>
  <c r="M232" i="8" s="1"/>
  <c r="M254" i="8" s="1"/>
  <c r="M276" i="8" s="1"/>
  <c r="M298" i="8" s="1"/>
  <c r="M320" i="8" s="1"/>
  <c r="M162" i="8"/>
  <c r="M140" i="8"/>
  <c r="K342" i="8"/>
  <c r="K210" i="8"/>
  <c r="K232" i="8" s="1"/>
  <c r="K254" i="8" s="1"/>
  <c r="K276" i="8" s="1"/>
  <c r="K298" i="8" s="1"/>
  <c r="K320" i="8" s="1"/>
  <c r="J211" i="8"/>
  <c r="J233" i="8" s="1"/>
  <c r="J255" i="8" s="1"/>
  <c r="J277" i="8" s="1"/>
  <c r="J299" i="8" s="1"/>
  <c r="J321" i="8" s="1"/>
  <c r="J343" i="8"/>
  <c r="K341" i="8"/>
  <c r="K209" i="8"/>
  <c r="K231" i="8" s="1"/>
  <c r="K253" i="8" s="1"/>
  <c r="K275" i="8" s="1"/>
  <c r="K297" i="8" s="1"/>
  <c r="K319" i="8" s="1"/>
  <c r="C292" i="8"/>
  <c r="C290" i="8"/>
  <c r="L336" i="8"/>
  <c r="L204" i="8"/>
  <c r="L226" i="8" s="1"/>
  <c r="L248" i="8" s="1"/>
  <c r="L270" i="8" s="1"/>
  <c r="L292" i="8" s="1"/>
  <c r="L314" i="8" s="1"/>
  <c r="B49" i="8"/>
  <c r="C51" i="8"/>
  <c r="K74" i="8"/>
  <c r="K96" i="8" s="1"/>
  <c r="K118" i="8" s="1"/>
  <c r="M187" i="8"/>
  <c r="B141" i="8"/>
  <c r="C156" i="8" s="1"/>
  <c r="L209" i="8"/>
  <c r="L231" i="8" s="1"/>
  <c r="L253" i="8" s="1"/>
  <c r="L275" i="8" s="1"/>
  <c r="L297" i="8" s="1"/>
  <c r="L319" i="8" s="1"/>
  <c r="L341" i="8"/>
  <c r="L343" i="8"/>
  <c r="L211" i="8"/>
  <c r="L233" i="8" s="1"/>
  <c r="L255" i="8" s="1"/>
  <c r="L277" i="8" s="1"/>
  <c r="L299" i="8" s="1"/>
  <c r="L321" i="8" s="1"/>
  <c r="M334" i="8"/>
  <c r="M202" i="8"/>
  <c r="M224" i="8" s="1"/>
  <c r="M246" i="8" s="1"/>
  <c r="M268" i="8" s="1"/>
  <c r="M290" i="8" s="1"/>
  <c r="M312" i="8" s="1"/>
  <c r="J339" i="8"/>
  <c r="J207" i="8"/>
  <c r="J229" i="8" s="1"/>
  <c r="J251" i="8" s="1"/>
  <c r="J273" i="8" s="1"/>
  <c r="J295" i="8" s="1"/>
  <c r="J317" i="8" s="1"/>
  <c r="K75" i="8"/>
  <c r="K97" i="8" s="1"/>
  <c r="K119" i="8" s="1"/>
  <c r="B71" i="8"/>
  <c r="C73" i="8" s="1"/>
  <c r="B119" i="7"/>
  <c r="C134" i="7"/>
  <c r="L114" i="7"/>
  <c r="L158" i="7" s="1"/>
  <c r="C158" i="7"/>
  <c r="L54" i="7"/>
  <c r="L76" i="7" s="1"/>
  <c r="J116" i="7"/>
  <c r="J160" i="7" s="1"/>
  <c r="K113" i="7"/>
  <c r="K157" i="7" s="1"/>
  <c r="M116" i="7"/>
  <c r="M160" i="7" s="1"/>
  <c r="K114" i="7"/>
  <c r="K158" i="7" s="1"/>
  <c r="B312" i="7"/>
  <c r="C314" i="7" s="1"/>
  <c r="C138" i="7"/>
  <c r="C114" i="7"/>
  <c r="M145" i="7"/>
  <c r="M189" i="7" s="1"/>
  <c r="M343" i="7" s="1"/>
  <c r="M123" i="7"/>
  <c r="M167" i="7" s="1"/>
  <c r="K144" i="7"/>
  <c r="K188" i="7" s="1"/>
  <c r="K342" i="7" s="1"/>
  <c r="K122" i="7"/>
  <c r="K166" i="7" s="1"/>
  <c r="J143" i="7"/>
  <c r="J187" i="7" s="1"/>
  <c r="J341" i="7" s="1"/>
  <c r="J121" i="7"/>
  <c r="J165" i="7" s="1"/>
  <c r="K117" i="7"/>
  <c r="K161" i="7" s="1"/>
  <c r="K123" i="7"/>
  <c r="K167" i="7" s="1"/>
  <c r="J140" i="7"/>
  <c r="J184" i="7" s="1"/>
  <c r="J338" i="7" s="1"/>
  <c r="L113" i="7"/>
  <c r="L157" i="7" s="1"/>
  <c r="L117" i="7"/>
  <c r="L161" i="7" s="1"/>
  <c r="J119" i="7"/>
  <c r="J163" i="7" s="1"/>
  <c r="J120" i="7"/>
  <c r="J164" i="7" s="1"/>
  <c r="M121" i="7"/>
  <c r="M165" i="7" s="1"/>
  <c r="L122" i="7"/>
  <c r="L166" i="7" s="1"/>
  <c r="L123" i="7"/>
  <c r="L167" i="7" s="1"/>
  <c r="M113" i="7"/>
  <c r="M157" i="7" s="1"/>
  <c r="M117" i="7"/>
  <c r="M161" i="7" s="1"/>
  <c r="M122" i="7"/>
  <c r="M166" i="7" s="1"/>
  <c r="B163" i="7" s="1"/>
  <c r="L99" i="7"/>
  <c r="M114" i="7"/>
  <c r="M158" i="7" s="1"/>
  <c r="L116" i="7"/>
  <c r="L160" i="7" s="1"/>
  <c r="J117" i="7"/>
  <c r="J161" i="7" s="1"/>
  <c r="K121" i="7"/>
  <c r="K165" i="7" s="1"/>
  <c r="J122" i="7"/>
  <c r="J166" i="7" s="1"/>
  <c r="J123" i="7"/>
  <c r="J167" i="7" s="1"/>
  <c r="M54" i="7"/>
  <c r="M53" i="7"/>
  <c r="M75" i="7" s="1"/>
  <c r="M97" i="7" s="1"/>
  <c r="M52" i="7"/>
  <c r="M74" i="7" s="1"/>
  <c r="M96" i="7" s="1"/>
  <c r="L71" i="7"/>
  <c r="L93" i="7" s="1"/>
  <c r="L53" i="7"/>
  <c r="K53" i="7"/>
  <c r="B71" i="7" s="1"/>
  <c r="C73" i="7" s="1"/>
  <c r="C94" i="7"/>
  <c r="L336" i="7"/>
  <c r="L204" i="7"/>
  <c r="L226" i="7" s="1"/>
  <c r="L248" i="7" s="1"/>
  <c r="L270" i="7" s="1"/>
  <c r="L292" i="7" s="1"/>
  <c r="L314" i="7" s="1"/>
  <c r="K202" i="7"/>
  <c r="K224" i="7" s="1"/>
  <c r="K246" i="7" s="1"/>
  <c r="K268" i="7" s="1"/>
  <c r="K290" i="7" s="1"/>
  <c r="K312" i="7" s="1"/>
  <c r="K334" i="7"/>
  <c r="M336" i="7"/>
  <c r="M204" i="7"/>
  <c r="M226" i="7" s="1"/>
  <c r="M248" i="7" s="1"/>
  <c r="M270" i="7" s="1"/>
  <c r="M292" i="7" s="1"/>
  <c r="M314" i="7" s="1"/>
  <c r="L334" i="7"/>
  <c r="L202" i="7"/>
  <c r="L224" i="7" s="1"/>
  <c r="L246" i="7" s="1"/>
  <c r="L268" i="7" s="1"/>
  <c r="L290" i="7" s="1"/>
  <c r="L312" i="7" s="1"/>
  <c r="K343" i="7"/>
  <c r="K211" i="7"/>
  <c r="K233" i="7" s="1"/>
  <c r="K255" i="7" s="1"/>
  <c r="K277" i="7" s="1"/>
  <c r="K299" i="7" s="1"/>
  <c r="K321" i="7" s="1"/>
  <c r="L201" i="7"/>
  <c r="L223" i="7" s="1"/>
  <c r="L245" i="7" s="1"/>
  <c r="L267" i="7" s="1"/>
  <c r="L289" i="7" s="1"/>
  <c r="L311" i="7" s="1"/>
  <c r="L333" i="7"/>
  <c r="J205" i="7"/>
  <c r="J227" i="7" s="1"/>
  <c r="J249" i="7" s="1"/>
  <c r="J271" i="7" s="1"/>
  <c r="J293" i="7" s="1"/>
  <c r="J315" i="7" s="1"/>
  <c r="J337" i="7"/>
  <c r="M210" i="7"/>
  <c r="M232" i="7" s="1"/>
  <c r="M254" i="7" s="1"/>
  <c r="M276" i="7" s="1"/>
  <c r="M298" i="7" s="1"/>
  <c r="M320" i="7" s="1"/>
  <c r="M342" i="7"/>
  <c r="M334" i="7"/>
  <c r="M202" i="7"/>
  <c r="M224" i="7" s="1"/>
  <c r="M246" i="7" s="1"/>
  <c r="M268" i="7" s="1"/>
  <c r="M290" i="7" s="1"/>
  <c r="M312" i="7" s="1"/>
  <c r="B353" i="7"/>
  <c r="K94" i="7"/>
  <c r="K337" i="7"/>
  <c r="K205" i="7"/>
  <c r="K227" i="7" s="1"/>
  <c r="K249" i="7" s="1"/>
  <c r="K271" i="7" s="1"/>
  <c r="K293" i="7" s="1"/>
  <c r="K315" i="7" s="1"/>
  <c r="J343" i="7"/>
  <c r="J211" i="7"/>
  <c r="J233" i="7" s="1"/>
  <c r="J255" i="7" s="1"/>
  <c r="J277" i="7" s="1"/>
  <c r="J299" i="7" s="1"/>
  <c r="J321" i="7" s="1"/>
  <c r="M337" i="7"/>
  <c r="M205" i="7"/>
  <c r="M227" i="7" s="1"/>
  <c r="M249" i="7" s="1"/>
  <c r="M271" i="7" s="1"/>
  <c r="M293" i="7" s="1"/>
  <c r="M315" i="7" s="1"/>
  <c r="J342" i="7"/>
  <c r="J210" i="7"/>
  <c r="J232" i="7" s="1"/>
  <c r="J254" i="7" s="1"/>
  <c r="J276" i="7" s="1"/>
  <c r="J298" i="7" s="1"/>
  <c r="J320" i="7" s="1"/>
  <c r="K52" i="7"/>
  <c r="C51" i="7" s="1"/>
  <c r="B268" i="7"/>
  <c r="B202" i="7"/>
  <c r="C72" i="7"/>
  <c r="C70" i="7"/>
  <c r="K71" i="7"/>
  <c r="K93" i="7" s="1"/>
  <c r="L205" i="7"/>
  <c r="L227" i="7" s="1"/>
  <c r="L249" i="7" s="1"/>
  <c r="L271" i="7" s="1"/>
  <c r="L293" i="7" s="1"/>
  <c r="L315" i="7" s="1"/>
  <c r="L337" i="7"/>
  <c r="K201" i="7"/>
  <c r="K223" i="7" s="1"/>
  <c r="K245" i="7" s="1"/>
  <c r="K267" i="7" s="1"/>
  <c r="K289" i="7" s="1"/>
  <c r="K311" i="7" s="1"/>
  <c r="L75" i="7"/>
  <c r="B160" i="7" s="1"/>
  <c r="L343" i="7"/>
  <c r="L211" i="7"/>
  <c r="L233" i="7" s="1"/>
  <c r="L255" i="7" s="1"/>
  <c r="L277" i="7" s="1"/>
  <c r="L299" i="7" s="1"/>
  <c r="L321" i="7" s="1"/>
  <c r="M201" i="7"/>
  <c r="M223" i="7" s="1"/>
  <c r="M245" i="7" s="1"/>
  <c r="M267" i="7" s="1"/>
  <c r="M289" i="7" s="1"/>
  <c r="M311" i="7" s="1"/>
  <c r="B224" i="7"/>
  <c r="K54" i="7"/>
  <c r="M71" i="7"/>
  <c r="M93" i="7" s="1"/>
  <c r="C92" i="7"/>
  <c r="B138" i="7"/>
  <c r="B180" i="7"/>
  <c r="M187" i="7"/>
  <c r="K209" i="7"/>
  <c r="K231" i="7" s="1"/>
  <c r="K253" i="7" s="1"/>
  <c r="K275" i="7" s="1"/>
  <c r="K297" i="7" s="1"/>
  <c r="K319" i="7" s="1"/>
  <c r="L210" i="7"/>
  <c r="L232" i="7" s="1"/>
  <c r="L254" i="7" s="1"/>
  <c r="L276" i="7" s="1"/>
  <c r="L298" i="7" s="1"/>
  <c r="L320" i="7" s="1"/>
  <c r="B246" i="7"/>
  <c r="J336" i="7"/>
  <c r="C48" i="7"/>
  <c r="C50" i="7"/>
  <c r="J208" i="7"/>
  <c r="J230" i="7" s="1"/>
  <c r="J252" i="7" s="1"/>
  <c r="J274" i="7" s="1"/>
  <c r="J296" i="7" s="1"/>
  <c r="J318" i="7" s="1"/>
  <c r="B290" i="7"/>
  <c r="J339" i="7"/>
  <c r="L52" i="7"/>
  <c r="L74" i="7" s="1"/>
  <c r="L96" i="7" s="1"/>
  <c r="L118" i="7" s="1"/>
  <c r="L162" i="7" s="1"/>
  <c r="J160" i="6"/>
  <c r="J180" i="6" s="1"/>
  <c r="J140" i="6"/>
  <c r="K147" i="6"/>
  <c r="K167" i="6"/>
  <c r="K187" i="6" s="1"/>
  <c r="J147" i="6"/>
  <c r="J167" i="6"/>
  <c r="J187" i="6" s="1"/>
  <c r="K166" i="6"/>
  <c r="K186" i="6" s="1"/>
  <c r="K146" i="6"/>
  <c r="L144" i="6"/>
  <c r="L164" i="6"/>
  <c r="L184" i="6" s="1"/>
  <c r="J143" i="6"/>
  <c r="J163" i="6"/>
  <c r="J183" i="6" s="1"/>
  <c r="L138" i="6"/>
  <c r="L158" i="6"/>
  <c r="L178" i="6" s="1"/>
  <c r="L140" i="6"/>
  <c r="L160" i="6"/>
  <c r="L180" i="6" s="1"/>
  <c r="L137" i="6"/>
  <c r="L157" i="6"/>
  <c r="L177" i="6" s="1"/>
  <c r="J162" i="6"/>
  <c r="J182" i="6" s="1"/>
  <c r="J142" i="6"/>
  <c r="J146" i="6"/>
  <c r="J166" i="6"/>
  <c r="J186" i="6" s="1"/>
  <c r="L141" i="6"/>
  <c r="J161" i="6"/>
  <c r="J181" i="6" s="1"/>
  <c r="J141" i="6"/>
  <c r="L146" i="6"/>
  <c r="L166" i="6"/>
  <c r="L186" i="6" s="1"/>
  <c r="J144" i="6"/>
  <c r="J164" i="6"/>
  <c r="J184" i="6" s="1"/>
  <c r="C180" i="6"/>
  <c r="C160" i="6"/>
  <c r="B215" i="6"/>
  <c r="K80" i="6"/>
  <c r="K100" i="6" s="1"/>
  <c r="K120" i="6" s="1"/>
  <c r="L59" i="6"/>
  <c r="L79" i="6" s="1"/>
  <c r="B118" i="6"/>
  <c r="C118" i="6" s="1"/>
  <c r="L43" i="6"/>
  <c r="L42" i="6"/>
  <c r="K43" i="6"/>
  <c r="C12" i="6"/>
  <c r="B60" i="6"/>
  <c r="B40" i="6"/>
  <c r="B200" i="6"/>
  <c r="C203" i="6" s="1"/>
  <c r="C40" i="6"/>
  <c r="C60" i="6"/>
  <c r="C100" i="6"/>
  <c r="C38" i="6"/>
  <c r="B80" i="6"/>
  <c r="K44" i="6"/>
  <c r="K64" i="6" s="1"/>
  <c r="K84" i="6" s="1"/>
  <c r="C80" i="6"/>
  <c r="K42" i="6"/>
  <c r="K62" i="6" s="1"/>
  <c r="K82" i="6" s="1"/>
  <c r="K71" i="5"/>
  <c r="K73" i="5"/>
  <c r="K36" i="5"/>
  <c r="C54" i="5"/>
  <c r="C52" i="5"/>
  <c r="C32" i="5"/>
  <c r="K34" i="5"/>
  <c r="K75" i="5" s="1"/>
  <c r="K35" i="5"/>
  <c r="K76" i="5" s="1"/>
  <c r="K53" i="5"/>
  <c r="L53" i="5"/>
  <c r="L56" i="5"/>
  <c r="B87" i="5"/>
  <c r="L58" i="5"/>
  <c r="M56" i="5"/>
  <c r="J132" i="4"/>
  <c r="J154" i="4" s="1"/>
  <c r="J176" i="4" s="1"/>
  <c r="J198" i="4" s="1"/>
  <c r="J220" i="4" s="1"/>
  <c r="J242" i="4" s="1"/>
  <c r="J264" i="4" s="1"/>
  <c r="L134" i="4"/>
  <c r="L288" i="4" s="1"/>
  <c r="K136" i="4"/>
  <c r="K158" i="4" s="1"/>
  <c r="K180" i="4" s="1"/>
  <c r="K202" i="4" s="1"/>
  <c r="K224" i="4" s="1"/>
  <c r="K246" i="4" s="1"/>
  <c r="K268" i="4" s="1"/>
  <c r="L135" i="4"/>
  <c r="L289" i="4" s="1"/>
  <c r="J131" i="4"/>
  <c r="J134" i="4"/>
  <c r="J156" i="4" s="1"/>
  <c r="J178" i="4" s="1"/>
  <c r="J200" i="4" s="1"/>
  <c r="J222" i="4" s="1"/>
  <c r="J244" i="4" s="1"/>
  <c r="J266" i="4" s="1"/>
  <c r="M135" i="4"/>
  <c r="M157" i="4" s="1"/>
  <c r="M179" i="4" s="1"/>
  <c r="M201" i="4" s="1"/>
  <c r="M223" i="4" s="1"/>
  <c r="M245" i="4" s="1"/>
  <c r="M267" i="4" s="1"/>
  <c r="M136" i="4"/>
  <c r="L114" i="4"/>
  <c r="L136" i="4" s="1"/>
  <c r="L113" i="4"/>
  <c r="J111" i="4"/>
  <c r="J133" i="4" s="1"/>
  <c r="J110" i="4"/>
  <c r="K134" i="4"/>
  <c r="K288" i="4" s="1"/>
  <c r="J135" i="4"/>
  <c r="J157" i="4" s="1"/>
  <c r="J179" i="4" s="1"/>
  <c r="J201" i="4" s="1"/>
  <c r="J223" i="4" s="1"/>
  <c r="J245" i="4" s="1"/>
  <c r="J267" i="4" s="1"/>
  <c r="J136" i="4"/>
  <c r="J290" i="4" s="1"/>
  <c r="K114" i="4"/>
  <c r="K113" i="4"/>
  <c r="K135" i="4" s="1"/>
  <c r="L112" i="4"/>
  <c r="K280" i="4"/>
  <c r="M126" i="4"/>
  <c r="M280" i="4" s="1"/>
  <c r="K44" i="4"/>
  <c r="B62" i="4" s="1"/>
  <c r="C64" i="4" s="1"/>
  <c r="L44" i="4"/>
  <c r="L45" i="4"/>
  <c r="M44" i="4"/>
  <c r="M66" i="4" s="1"/>
  <c r="M88" i="4" s="1"/>
  <c r="C85" i="4"/>
  <c r="M45" i="4"/>
  <c r="M43" i="4"/>
  <c r="M65" i="4" s="1"/>
  <c r="M87" i="4" s="1"/>
  <c r="M109" i="4" s="1"/>
  <c r="L62" i="4"/>
  <c r="L84" i="4" s="1"/>
  <c r="L106" i="4" s="1"/>
  <c r="L128" i="4" s="1"/>
  <c r="L282" i="4" s="1"/>
  <c r="L283" i="4"/>
  <c r="L151" i="4"/>
  <c r="L173" i="4" s="1"/>
  <c r="L195" i="4" s="1"/>
  <c r="L217" i="4" s="1"/>
  <c r="L239" i="4" s="1"/>
  <c r="L261" i="4" s="1"/>
  <c r="L156" i="4"/>
  <c r="L178" i="4" s="1"/>
  <c r="L200" i="4" s="1"/>
  <c r="L222" i="4" s="1"/>
  <c r="L244" i="4" s="1"/>
  <c r="L266" i="4" s="1"/>
  <c r="K149" i="4"/>
  <c r="K171" i="4" s="1"/>
  <c r="K193" i="4" s="1"/>
  <c r="K215" i="4" s="1"/>
  <c r="K237" i="4" s="1"/>
  <c r="K259" i="4" s="1"/>
  <c r="K281" i="4"/>
  <c r="M283" i="4"/>
  <c r="M151" i="4"/>
  <c r="M173" i="4" s="1"/>
  <c r="M195" i="4" s="1"/>
  <c r="M217" i="4" s="1"/>
  <c r="M239" i="4" s="1"/>
  <c r="M261" i="4" s="1"/>
  <c r="L281" i="4"/>
  <c r="L149" i="4"/>
  <c r="L171" i="4" s="1"/>
  <c r="L193" i="4" s="1"/>
  <c r="L215" i="4" s="1"/>
  <c r="L237" i="4" s="1"/>
  <c r="L259" i="4" s="1"/>
  <c r="K290" i="4"/>
  <c r="M67" i="4"/>
  <c r="M89" i="4" s="1"/>
  <c r="M131" i="4"/>
  <c r="L148" i="4"/>
  <c r="L170" i="4" s="1"/>
  <c r="L192" i="4" s="1"/>
  <c r="L214" i="4" s="1"/>
  <c r="L236" i="4" s="1"/>
  <c r="L258" i="4" s="1"/>
  <c r="L280" i="4"/>
  <c r="J152" i="4"/>
  <c r="J174" i="4" s="1"/>
  <c r="J196" i="4" s="1"/>
  <c r="J218" i="4" s="1"/>
  <c r="J240" i="4" s="1"/>
  <c r="J262" i="4" s="1"/>
  <c r="J284" i="4"/>
  <c r="J153" i="4"/>
  <c r="J175" i="4" s="1"/>
  <c r="J197" i="4" s="1"/>
  <c r="J219" i="4" s="1"/>
  <c r="J241" i="4" s="1"/>
  <c r="J263" i="4" s="1"/>
  <c r="J285" i="4"/>
  <c r="M281" i="4"/>
  <c r="M149" i="4"/>
  <c r="M171" i="4" s="1"/>
  <c r="M193" i="4" s="1"/>
  <c r="M215" i="4" s="1"/>
  <c r="M237" i="4" s="1"/>
  <c r="M259" i="4" s="1"/>
  <c r="B300" i="4"/>
  <c r="K85" i="4"/>
  <c r="K107" i="4" s="1"/>
  <c r="K129" i="4" s="1"/>
  <c r="K284" i="4"/>
  <c r="K152" i="4"/>
  <c r="K174" i="4" s="1"/>
  <c r="K196" i="4" s="1"/>
  <c r="K218" i="4" s="1"/>
  <c r="K240" i="4" s="1"/>
  <c r="K262" i="4" s="1"/>
  <c r="M284" i="4"/>
  <c r="M152" i="4"/>
  <c r="M174" i="4" s="1"/>
  <c r="M196" i="4" s="1"/>
  <c r="M218" i="4" s="1"/>
  <c r="M240" i="4" s="1"/>
  <c r="M262" i="4" s="1"/>
  <c r="J288" i="4"/>
  <c r="J289" i="4"/>
  <c r="M158" i="4"/>
  <c r="M180" i="4" s="1"/>
  <c r="M202" i="4" s="1"/>
  <c r="M224" i="4" s="1"/>
  <c r="M246" i="4" s="1"/>
  <c r="M268" i="4" s="1"/>
  <c r="M290" i="4"/>
  <c r="K43" i="4"/>
  <c r="B215" i="4"/>
  <c r="C63" i="4"/>
  <c r="C61" i="4"/>
  <c r="K62" i="4"/>
  <c r="K84" i="4" s="1"/>
  <c r="K106" i="4" s="1"/>
  <c r="K128" i="4" s="1"/>
  <c r="K66" i="4"/>
  <c r="K88" i="4" s="1"/>
  <c r="L152" i="4"/>
  <c r="L174" i="4" s="1"/>
  <c r="L196" i="4" s="1"/>
  <c r="L218" i="4" s="1"/>
  <c r="L240" i="4" s="1"/>
  <c r="L262" i="4" s="1"/>
  <c r="L284" i="4"/>
  <c r="K148" i="4"/>
  <c r="K170" i="4" s="1"/>
  <c r="K192" i="4" s="1"/>
  <c r="K214" i="4" s="1"/>
  <c r="K236" i="4" s="1"/>
  <c r="K258" i="4" s="1"/>
  <c r="B171" i="4"/>
  <c r="K45" i="4"/>
  <c r="M62" i="4"/>
  <c r="M84" i="4" s="1"/>
  <c r="M106" i="4" s="1"/>
  <c r="M128" i="4" s="1"/>
  <c r="C83" i="4"/>
  <c r="M134" i="4"/>
  <c r="K156" i="4"/>
  <c r="K178" i="4" s="1"/>
  <c r="K200" i="4" s="1"/>
  <c r="K222" i="4" s="1"/>
  <c r="K244" i="4" s="1"/>
  <c r="K266" i="4" s="1"/>
  <c r="J283" i="4"/>
  <c r="C39" i="4"/>
  <c r="C41" i="4"/>
  <c r="J286" i="4"/>
  <c r="L43" i="4"/>
  <c r="L65" i="4" s="1"/>
  <c r="L87" i="4" s="1"/>
  <c r="L109" i="4" s="1"/>
  <c r="C204" i="2"/>
  <c r="C160" i="2"/>
  <c r="C182" i="2"/>
  <c r="C180" i="2"/>
  <c r="C158" i="2"/>
  <c r="K94" i="2"/>
  <c r="K116" i="2" s="1"/>
  <c r="K138" i="2" s="1"/>
  <c r="M54" i="2"/>
  <c r="M76" i="2" s="1"/>
  <c r="M98" i="2" s="1"/>
  <c r="M120" i="2" s="1"/>
  <c r="M142" i="2" s="1"/>
  <c r="M53" i="2"/>
  <c r="M52" i="2"/>
  <c r="M74" i="2" s="1"/>
  <c r="M96" i="2" s="1"/>
  <c r="M118" i="2" s="1"/>
  <c r="M140" i="2" s="1"/>
  <c r="M73" i="2"/>
  <c r="M95" i="2" s="1"/>
  <c r="M117" i="2" s="1"/>
  <c r="M139" i="2" s="1"/>
  <c r="C72" i="2"/>
  <c r="C118" i="3"/>
  <c r="C120" i="3"/>
  <c r="B60" i="3"/>
  <c r="C63" i="3" s="1"/>
  <c r="B40" i="3"/>
  <c r="C43" i="3" s="1"/>
  <c r="B140" i="3"/>
  <c r="C143" i="3" s="1"/>
  <c r="C40" i="3"/>
  <c r="C60" i="3"/>
  <c r="C100" i="3"/>
  <c r="C38" i="3"/>
  <c r="B80" i="3"/>
  <c r="C83" i="3" s="1"/>
  <c r="K44" i="3"/>
  <c r="C80" i="3"/>
  <c r="K42" i="3"/>
  <c r="C136" i="2"/>
  <c r="K53" i="2"/>
  <c r="C48" i="2"/>
  <c r="L52" i="2"/>
  <c r="L74" i="2" s="1"/>
  <c r="L96" i="2" s="1"/>
  <c r="K54" i="2"/>
  <c r="C94" i="2"/>
  <c r="C116" i="2"/>
  <c r="K52" i="2"/>
  <c r="K74" i="2" s="1"/>
  <c r="K96" i="2" s="1"/>
  <c r="K118" i="2" s="1"/>
  <c r="K140" i="2" s="1"/>
  <c r="L53" i="2"/>
  <c r="L54" i="2"/>
  <c r="L76" i="2" s="1"/>
  <c r="L98" i="2" s="1"/>
  <c r="L120" i="2" s="1"/>
  <c r="L142" i="2" s="1"/>
  <c r="C14" i="2"/>
  <c r="M330" i="13" l="1"/>
  <c r="C311" i="13"/>
  <c r="L352" i="13"/>
  <c r="C331" i="13"/>
  <c r="B349" i="13"/>
  <c r="K286" i="13"/>
  <c r="L163" i="11"/>
  <c r="L143" i="11"/>
  <c r="B159" i="11"/>
  <c r="B139" i="11"/>
  <c r="K82" i="11"/>
  <c r="C101" i="11"/>
  <c r="K124" i="11"/>
  <c r="C63" i="11"/>
  <c r="L84" i="11"/>
  <c r="L104" i="11" s="1"/>
  <c r="L124" i="11" s="1"/>
  <c r="C61" i="11"/>
  <c r="K83" i="11"/>
  <c r="K103" i="11" s="1"/>
  <c r="K123" i="11" s="1"/>
  <c r="B160" i="11"/>
  <c r="B140" i="11"/>
  <c r="L82" i="11"/>
  <c r="Z163" i="10"/>
  <c r="Z207" i="10" s="1"/>
  <c r="Z141" i="10"/>
  <c r="Z185" i="10" s="1"/>
  <c r="Q93" i="10"/>
  <c r="R95" i="10" s="1"/>
  <c r="AA119" i="10"/>
  <c r="R97" i="10"/>
  <c r="B159" i="10"/>
  <c r="C161" i="10" s="1"/>
  <c r="C183" i="10"/>
  <c r="K358" i="10"/>
  <c r="L164" i="10"/>
  <c r="L208" i="10" s="1"/>
  <c r="L362" i="10" s="1"/>
  <c r="L142" i="10"/>
  <c r="K163" i="10"/>
  <c r="K207" i="10" s="1"/>
  <c r="K361" i="10" s="1"/>
  <c r="K141" i="10"/>
  <c r="K185" i="10" s="1"/>
  <c r="C141" i="10"/>
  <c r="L119" i="10"/>
  <c r="C97" i="10"/>
  <c r="AB120" i="10"/>
  <c r="R99" i="10"/>
  <c r="Z229" i="10"/>
  <c r="Z361" i="10"/>
  <c r="AA228" i="10"/>
  <c r="AA360" i="10"/>
  <c r="Z208" i="10"/>
  <c r="AB360" i="10"/>
  <c r="AB228" i="10"/>
  <c r="Z118" i="10"/>
  <c r="Z140" i="10" s="1"/>
  <c r="Z184" i="10" s="1"/>
  <c r="C363" i="10"/>
  <c r="L228" i="10"/>
  <c r="C207" i="10"/>
  <c r="L360" i="10"/>
  <c r="M360" i="10"/>
  <c r="M228" i="10"/>
  <c r="C209" i="10"/>
  <c r="C165" i="10"/>
  <c r="K208" i="10"/>
  <c r="B225" i="10"/>
  <c r="K118" i="10"/>
  <c r="K140" i="10" s="1"/>
  <c r="K184" i="10" s="1"/>
  <c r="L88" i="9"/>
  <c r="L110" i="9" s="1"/>
  <c r="L132" i="9" s="1"/>
  <c r="B172" i="9"/>
  <c r="K109" i="9"/>
  <c r="K131" i="9" s="1"/>
  <c r="K111" i="9"/>
  <c r="K133" i="9" s="1"/>
  <c r="K154" i="9"/>
  <c r="K176" i="9" s="1"/>
  <c r="K198" i="9" s="1"/>
  <c r="K220" i="9" s="1"/>
  <c r="K242" i="9" s="1"/>
  <c r="K264" i="9" s="1"/>
  <c r="K286" i="9"/>
  <c r="L197" i="9"/>
  <c r="L219" i="9" s="1"/>
  <c r="L287" i="9"/>
  <c r="L155" i="9"/>
  <c r="L177" i="9" s="1"/>
  <c r="L199" i="9" s="1"/>
  <c r="L221" i="9" s="1"/>
  <c r="L243" i="9" s="1"/>
  <c r="L265" i="9" s="1"/>
  <c r="K120" i="8"/>
  <c r="M205" i="8"/>
  <c r="M227" i="8" s="1"/>
  <c r="M249" i="8" s="1"/>
  <c r="M271" i="8" s="1"/>
  <c r="M293" i="8" s="1"/>
  <c r="M315" i="8" s="1"/>
  <c r="M337" i="8"/>
  <c r="M341" i="8"/>
  <c r="M209" i="8"/>
  <c r="M231" i="8" s="1"/>
  <c r="M253" i="8" s="1"/>
  <c r="M275" i="8" s="1"/>
  <c r="M297" i="8" s="1"/>
  <c r="M319" i="8" s="1"/>
  <c r="B115" i="8"/>
  <c r="C117" i="8"/>
  <c r="L162" i="8"/>
  <c r="M339" i="8"/>
  <c r="M207" i="8"/>
  <c r="M229" i="8" s="1"/>
  <c r="M251" i="8" s="1"/>
  <c r="M273" i="8" s="1"/>
  <c r="M295" i="8" s="1"/>
  <c r="M317" i="8" s="1"/>
  <c r="M142" i="8"/>
  <c r="M186" i="8" s="1"/>
  <c r="M203" i="8"/>
  <c r="M225" i="8" s="1"/>
  <c r="M247" i="8" s="1"/>
  <c r="M269" i="8" s="1"/>
  <c r="M291" i="8" s="1"/>
  <c r="M313" i="8" s="1"/>
  <c r="M335" i="8"/>
  <c r="K163" i="8"/>
  <c r="K141" i="8"/>
  <c r="K185" i="8" s="1"/>
  <c r="K142" i="8"/>
  <c r="M184" i="8"/>
  <c r="B137" i="8"/>
  <c r="C139" i="8" s="1"/>
  <c r="L206" i="8"/>
  <c r="L338" i="8"/>
  <c r="K335" i="8"/>
  <c r="K203" i="8"/>
  <c r="K225" i="8" s="1"/>
  <c r="K247" i="8" s="1"/>
  <c r="K269" i="8" s="1"/>
  <c r="K291" i="8" s="1"/>
  <c r="K313" i="8" s="1"/>
  <c r="J209" i="7"/>
  <c r="J231" i="7" s="1"/>
  <c r="J253" i="7" s="1"/>
  <c r="J275" i="7" s="1"/>
  <c r="J297" i="7" s="1"/>
  <c r="J319" i="7" s="1"/>
  <c r="M211" i="7"/>
  <c r="M233" i="7" s="1"/>
  <c r="M255" i="7" s="1"/>
  <c r="M277" i="7" s="1"/>
  <c r="M299" i="7" s="1"/>
  <c r="M321" i="7" s="1"/>
  <c r="K75" i="7"/>
  <c r="K97" i="7" s="1"/>
  <c r="K141" i="7" s="1"/>
  <c r="K185" i="7" s="1"/>
  <c r="K339" i="7" s="1"/>
  <c r="C178" i="7"/>
  <c r="B336" i="7"/>
  <c r="C53" i="7"/>
  <c r="L98" i="7"/>
  <c r="L142" i="7" s="1"/>
  <c r="L186" i="7" s="1"/>
  <c r="C75" i="7"/>
  <c r="C312" i="7"/>
  <c r="M76" i="7"/>
  <c r="C55" i="7"/>
  <c r="K210" i="7"/>
  <c r="K232" i="7" s="1"/>
  <c r="K254" i="7" s="1"/>
  <c r="K276" i="7" s="1"/>
  <c r="K298" i="7" s="1"/>
  <c r="K320" i="7" s="1"/>
  <c r="J206" i="7"/>
  <c r="J228" i="7" s="1"/>
  <c r="J250" i="7" s="1"/>
  <c r="J272" i="7" s="1"/>
  <c r="J294" i="7" s="1"/>
  <c r="J316" i="7" s="1"/>
  <c r="K137" i="7"/>
  <c r="K181" i="7" s="1"/>
  <c r="K203" i="7" s="1"/>
  <c r="K225" i="7" s="1"/>
  <c r="K247" i="7" s="1"/>
  <c r="K269" i="7" s="1"/>
  <c r="K291" i="7" s="1"/>
  <c r="K313" i="7" s="1"/>
  <c r="K115" i="7"/>
  <c r="K159" i="7" s="1"/>
  <c r="M141" i="7"/>
  <c r="M185" i="7" s="1"/>
  <c r="M119" i="7"/>
  <c r="L143" i="7"/>
  <c r="L187" i="7" s="1"/>
  <c r="L121" i="7"/>
  <c r="L165" i="7" s="1"/>
  <c r="C117" i="7"/>
  <c r="B115" i="7"/>
  <c r="K138" i="7"/>
  <c r="K182" i="7" s="1"/>
  <c r="K336" i="7" s="1"/>
  <c r="K116" i="7"/>
  <c r="K160" i="7" s="1"/>
  <c r="L137" i="7"/>
  <c r="L181" i="7" s="1"/>
  <c r="L115" i="7"/>
  <c r="L159" i="7" s="1"/>
  <c r="M137" i="7"/>
  <c r="M181" i="7" s="1"/>
  <c r="M203" i="7" s="1"/>
  <c r="M225" i="7" s="1"/>
  <c r="M247" i="7" s="1"/>
  <c r="M269" i="7" s="1"/>
  <c r="M291" i="7" s="1"/>
  <c r="M313" i="7" s="1"/>
  <c r="M115" i="7"/>
  <c r="M159" i="7" s="1"/>
  <c r="K119" i="7"/>
  <c r="K163" i="7" s="1"/>
  <c r="M140" i="7"/>
  <c r="M184" i="7" s="1"/>
  <c r="M118" i="7"/>
  <c r="M162" i="7" s="1"/>
  <c r="B159" i="7" s="1"/>
  <c r="C161" i="7" s="1"/>
  <c r="C248" i="7"/>
  <c r="C246" i="7"/>
  <c r="C180" i="7"/>
  <c r="C182" i="7"/>
  <c r="B335" i="7"/>
  <c r="C337" i="7" s="1"/>
  <c r="K76" i="7"/>
  <c r="K98" i="7" s="1"/>
  <c r="C204" i="7"/>
  <c r="C202" i="7"/>
  <c r="L140" i="7"/>
  <c r="L184" i="7" s="1"/>
  <c r="C95" i="7"/>
  <c r="B93" i="7"/>
  <c r="C224" i="7"/>
  <c r="C226" i="7"/>
  <c r="C270" i="7"/>
  <c r="C268" i="7"/>
  <c r="L97" i="7"/>
  <c r="K74" i="7"/>
  <c r="B49" i="7"/>
  <c r="B181" i="7"/>
  <c r="C290" i="7"/>
  <c r="C292" i="7"/>
  <c r="M209" i="7"/>
  <c r="M231" i="7" s="1"/>
  <c r="M253" i="7" s="1"/>
  <c r="M275" i="7" s="1"/>
  <c r="M297" i="7" s="1"/>
  <c r="M319" i="7" s="1"/>
  <c r="M341" i="7"/>
  <c r="M335" i="7"/>
  <c r="K104" i="6"/>
  <c r="C81" i="6"/>
  <c r="B179" i="6"/>
  <c r="K102" i="6"/>
  <c r="K122" i="6" s="1"/>
  <c r="K140" i="6"/>
  <c r="K160" i="6"/>
  <c r="K180" i="6" s="1"/>
  <c r="B59" i="6"/>
  <c r="K63" i="6"/>
  <c r="K83" i="6" s="1"/>
  <c r="K103" i="6" s="1"/>
  <c r="K123" i="6" s="1"/>
  <c r="C120" i="6"/>
  <c r="B120" i="6"/>
  <c r="L62" i="6"/>
  <c r="L82" i="6" s="1"/>
  <c r="B100" i="6"/>
  <c r="L63" i="6"/>
  <c r="L83" i="6" s="1"/>
  <c r="L103" i="6" s="1"/>
  <c r="B119" i="6"/>
  <c r="B39" i="6"/>
  <c r="B99" i="6"/>
  <c r="B199" i="6"/>
  <c r="C201" i="6" s="1"/>
  <c r="B79" i="6"/>
  <c r="B72" i="5"/>
  <c r="C74" i="5" s="1"/>
  <c r="K77" i="5"/>
  <c r="K58" i="5"/>
  <c r="K57" i="5"/>
  <c r="B53" i="5"/>
  <c r="C55" i="5" s="1"/>
  <c r="C35" i="5"/>
  <c r="L57" i="5"/>
  <c r="K56" i="5"/>
  <c r="B31" i="5"/>
  <c r="C33" i="5"/>
  <c r="K289" i="4"/>
  <c r="K157" i="4"/>
  <c r="K179" i="4" s="1"/>
  <c r="K201" i="4" s="1"/>
  <c r="K223" i="4" s="1"/>
  <c r="K245" i="4" s="1"/>
  <c r="K267" i="4" s="1"/>
  <c r="L158" i="4"/>
  <c r="L180" i="4" s="1"/>
  <c r="L202" i="4" s="1"/>
  <c r="L224" i="4" s="1"/>
  <c r="L246" i="4" s="1"/>
  <c r="L268" i="4" s="1"/>
  <c r="L290" i="4"/>
  <c r="J287" i="4"/>
  <c r="J155" i="4"/>
  <c r="J177" i="4" s="1"/>
  <c r="J199" i="4" s="1"/>
  <c r="J221" i="4" s="1"/>
  <c r="J243" i="4" s="1"/>
  <c r="J265" i="4" s="1"/>
  <c r="M110" i="4"/>
  <c r="M132" i="4" s="1"/>
  <c r="J158" i="4"/>
  <c r="J180" i="4" s="1"/>
  <c r="J202" i="4" s="1"/>
  <c r="J224" i="4" s="1"/>
  <c r="J246" i="4" s="1"/>
  <c r="J268" i="4" s="1"/>
  <c r="M289" i="4"/>
  <c r="L150" i="4"/>
  <c r="L172" i="4" s="1"/>
  <c r="L194" i="4" s="1"/>
  <c r="L216" i="4" s="1"/>
  <c r="L238" i="4" s="1"/>
  <c r="L260" i="4" s="1"/>
  <c r="M148" i="4"/>
  <c r="M170" i="4" s="1"/>
  <c r="M192" i="4" s="1"/>
  <c r="M214" i="4" s="1"/>
  <c r="M236" i="4" s="1"/>
  <c r="M258" i="4" s="1"/>
  <c r="K110" i="4"/>
  <c r="K132" i="4" s="1"/>
  <c r="M111" i="4"/>
  <c r="M133" i="4" s="1"/>
  <c r="L66" i="4"/>
  <c r="L88" i="4" s="1"/>
  <c r="L110" i="4" s="1"/>
  <c r="L157" i="4"/>
  <c r="L179" i="4" s="1"/>
  <c r="L201" i="4" s="1"/>
  <c r="L223" i="4" s="1"/>
  <c r="L245" i="4" s="1"/>
  <c r="L267" i="4" s="1"/>
  <c r="B283" i="4"/>
  <c r="L67" i="4"/>
  <c r="L89" i="4" s="1"/>
  <c r="C44" i="4"/>
  <c r="B282" i="4"/>
  <c r="C284" i="4" s="1"/>
  <c r="K67" i="4"/>
  <c r="K89" i="4" s="1"/>
  <c r="K111" i="4" s="1"/>
  <c r="M285" i="4"/>
  <c r="M153" i="4"/>
  <c r="L131" i="4"/>
  <c r="C86" i="4"/>
  <c r="B84" i="4"/>
  <c r="C171" i="4"/>
  <c r="C173" i="4"/>
  <c r="K150" i="4"/>
  <c r="K172" i="4" s="1"/>
  <c r="K194" i="4" s="1"/>
  <c r="K216" i="4" s="1"/>
  <c r="K238" i="4" s="1"/>
  <c r="K260" i="4" s="1"/>
  <c r="K282" i="4"/>
  <c r="C217" i="4"/>
  <c r="C215" i="4"/>
  <c r="K65" i="4"/>
  <c r="B40" i="4"/>
  <c r="C42" i="4"/>
  <c r="M156" i="4"/>
  <c r="M178" i="4" s="1"/>
  <c r="M200" i="4" s="1"/>
  <c r="M222" i="4" s="1"/>
  <c r="M244" i="4" s="1"/>
  <c r="M266" i="4" s="1"/>
  <c r="M288" i="4"/>
  <c r="M282" i="4"/>
  <c r="M150" i="4"/>
  <c r="M172" i="4" s="1"/>
  <c r="M194" i="4" s="1"/>
  <c r="M216" i="4" s="1"/>
  <c r="M238" i="4" s="1"/>
  <c r="M260" i="4" s="1"/>
  <c r="K283" i="4"/>
  <c r="K151" i="4"/>
  <c r="K173" i="4" s="1"/>
  <c r="K195" i="4" s="1"/>
  <c r="K217" i="4" s="1"/>
  <c r="K239" i="4" s="1"/>
  <c r="K261" i="4" s="1"/>
  <c r="C202" i="2"/>
  <c r="C226" i="2"/>
  <c r="B116" i="2"/>
  <c r="L75" i="2"/>
  <c r="C75" i="2" s="1"/>
  <c r="C53" i="2"/>
  <c r="K76" i="2"/>
  <c r="K98" i="2" s="1"/>
  <c r="K120" i="2" s="1"/>
  <c r="K142" i="2" s="1"/>
  <c r="C95" i="2"/>
  <c r="L118" i="2"/>
  <c r="L140" i="2" s="1"/>
  <c r="B71" i="2"/>
  <c r="C73" i="2" s="1"/>
  <c r="K75" i="2"/>
  <c r="K97" i="2" s="1"/>
  <c r="K119" i="2" s="1"/>
  <c r="K141" i="2" s="1"/>
  <c r="M75" i="2"/>
  <c r="C55" i="2"/>
  <c r="B119" i="3"/>
  <c r="C121" i="3" s="1"/>
  <c r="B39" i="3"/>
  <c r="C41" i="3" s="1"/>
  <c r="B99" i="3"/>
  <c r="C101" i="3" s="1"/>
  <c r="B139" i="3"/>
  <c r="C141" i="3" s="1"/>
  <c r="B79" i="3"/>
  <c r="C81" i="3" s="1"/>
  <c r="C138" i="2"/>
  <c r="B49" i="2"/>
  <c r="B137" i="2"/>
  <c r="C117" i="2"/>
  <c r="B371" i="13" l="1"/>
  <c r="K308" i="13"/>
  <c r="C285" i="13"/>
  <c r="L374" i="13"/>
  <c r="C373" i="13" s="1"/>
  <c r="C353" i="13"/>
  <c r="C333" i="13"/>
  <c r="M352" i="13"/>
  <c r="K164" i="11"/>
  <c r="K184" i="11" s="1"/>
  <c r="K144" i="11"/>
  <c r="B180" i="11"/>
  <c r="C83" i="11"/>
  <c r="L102" i="11"/>
  <c r="L122" i="11" s="1"/>
  <c r="K163" i="11"/>
  <c r="K143" i="11"/>
  <c r="C141" i="11" s="1"/>
  <c r="L144" i="11"/>
  <c r="L164" i="11"/>
  <c r="L184" i="11" s="1"/>
  <c r="K102" i="11"/>
  <c r="K122" i="11" s="1"/>
  <c r="B179" i="11"/>
  <c r="L183" i="11"/>
  <c r="C183" i="11" s="1"/>
  <c r="C163" i="11"/>
  <c r="AA163" i="10"/>
  <c r="AA207" i="10" s="1"/>
  <c r="AA141" i="10"/>
  <c r="AA185" i="10" s="1"/>
  <c r="L230" i="10"/>
  <c r="L252" i="10" s="1"/>
  <c r="L274" i="10" s="1"/>
  <c r="L296" i="10" s="1"/>
  <c r="L318" i="10" s="1"/>
  <c r="L340" i="10" s="1"/>
  <c r="L186" i="10"/>
  <c r="B137" i="10"/>
  <c r="L163" i="10"/>
  <c r="L207" i="10" s="1"/>
  <c r="L141" i="10"/>
  <c r="L185" i="10" s="1"/>
  <c r="K229" i="10"/>
  <c r="K251" i="10" s="1"/>
  <c r="K273" i="10" s="1"/>
  <c r="K295" i="10" s="1"/>
  <c r="K317" i="10" s="1"/>
  <c r="K339" i="10" s="1"/>
  <c r="AA250" i="10"/>
  <c r="AB164" i="10"/>
  <c r="AB208" i="10" s="1"/>
  <c r="R119" i="10"/>
  <c r="AB250" i="10"/>
  <c r="Z251" i="10"/>
  <c r="Z273" i="10" s="1"/>
  <c r="Z295" i="10" s="1"/>
  <c r="Z317" i="10" s="1"/>
  <c r="Z339" i="10" s="1"/>
  <c r="Q247" i="10"/>
  <c r="Z162" i="10"/>
  <c r="Z230" i="10"/>
  <c r="Z252" i="10" s="1"/>
  <c r="Z274" i="10" s="1"/>
  <c r="Z296" i="10" s="1"/>
  <c r="Z318" i="10" s="1"/>
  <c r="Z340" i="10" s="1"/>
  <c r="Z362" i="10"/>
  <c r="B247" i="10"/>
  <c r="K162" i="10"/>
  <c r="C231" i="10"/>
  <c r="M250" i="10"/>
  <c r="L250" i="10"/>
  <c r="C229" i="10"/>
  <c r="K362" i="10"/>
  <c r="K230" i="10"/>
  <c r="K252" i="10" s="1"/>
  <c r="K274" i="10" s="1"/>
  <c r="K296" i="10" s="1"/>
  <c r="K318" i="10" s="1"/>
  <c r="K340" i="10" s="1"/>
  <c r="K287" i="9"/>
  <c r="K155" i="9"/>
  <c r="K177" i="9" s="1"/>
  <c r="K199" i="9" s="1"/>
  <c r="K221" i="9" s="1"/>
  <c r="K243" i="9" s="1"/>
  <c r="K265" i="9" s="1"/>
  <c r="L154" i="9"/>
  <c r="L176" i="9" s="1"/>
  <c r="L198" i="9" s="1"/>
  <c r="L220" i="9" s="1"/>
  <c r="L242" i="9" s="1"/>
  <c r="L264" i="9" s="1"/>
  <c r="L286" i="9"/>
  <c r="L241" i="9"/>
  <c r="L263" i="9" s="1"/>
  <c r="C220" i="9"/>
  <c r="K153" i="9"/>
  <c r="K175" i="9" s="1"/>
  <c r="K285" i="9"/>
  <c r="B216" i="9"/>
  <c r="M338" i="8"/>
  <c r="M206" i="8"/>
  <c r="K207" i="8"/>
  <c r="K339" i="8"/>
  <c r="M208" i="8"/>
  <c r="M230" i="8" s="1"/>
  <c r="M340" i="8"/>
  <c r="C341" i="8" s="1"/>
  <c r="K186" i="8"/>
  <c r="L164" i="8"/>
  <c r="L142" i="8"/>
  <c r="L186" i="8" s="1"/>
  <c r="K140" i="8"/>
  <c r="K162" i="8"/>
  <c r="L228" i="8"/>
  <c r="K164" i="8"/>
  <c r="L163" i="8"/>
  <c r="L141" i="8"/>
  <c r="L185" i="8" s="1"/>
  <c r="M164" i="8"/>
  <c r="C187" i="7"/>
  <c r="L120" i="7"/>
  <c r="L164" i="7" s="1"/>
  <c r="M338" i="7"/>
  <c r="B137" i="7"/>
  <c r="C139" i="7" s="1"/>
  <c r="M206" i="7"/>
  <c r="K207" i="7"/>
  <c r="C205" i="7" s="1"/>
  <c r="K120" i="7"/>
  <c r="C119" i="7" s="1"/>
  <c r="C97" i="7"/>
  <c r="M98" i="7"/>
  <c r="C77" i="7"/>
  <c r="K335" i="7"/>
  <c r="K204" i="7"/>
  <c r="K226" i="7" s="1"/>
  <c r="K248" i="7" s="1"/>
  <c r="K270" i="7" s="1"/>
  <c r="K292" i="7" s="1"/>
  <c r="K314" i="7" s="1"/>
  <c r="M163" i="7"/>
  <c r="L340" i="7"/>
  <c r="C339" i="7" s="1"/>
  <c r="L208" i="7"/>
  <c r="L230" i="7" s="1"/>
  <c r="L252" i="7" s="1"/>
  <c r="L274" i="7" s="1"/>
  <c r="L296" i="7" s="1"/>
  <c r="L318" i="7" s="1"/>
  <c r="L209" i="7"/>
  <c r="L231" i="7" s="1"/>
  <c r="L253" i="7" s="1"/>
  <c r="L275" i="7" s="1"/>
  <c r="L297" i="7" s="1"/>
  <c r="L319" i="7" s="1"/>
  <c r="L341" i="7"/>
  <c r="L141" i="7"/>
  <c r="L185" i="7" s="1"/>
  <c r="C185" i="7" s="1"/>
  <c r="L119" i="7"/>
  <c r="L163" i="7" s="1"/>
  <c r="L335" i="7"/>
  <c r="L203" i="7"/>
  <c r="L225" i="7" s="1"/>
  <c r="L247" i="7" s="1"/>
  <c r="L269" i="7" s="1"/>
  <c r="L291" i="7" s="1"/>
  <c r="L313" i="7" s="1"/>
  <c r="M339" i="7"/>
  <c r="M207" i="7"/>
  <c r="M229" i="7" s="1"/>
  <c r="M251" i="7" s="1"/>
  <c r="M273" i="7" s="1"/>
  <c r="M295" i="7" s="1"/>
  <c r="M317" i="7" s="1"/>
  <c r="L206" i="7"/>
  <c r="L338" i="7"/>
  <c r="K142" i="7"/>
  <c r="B203" i="7"/>
  <c r="K96" i="7"/>
  <c r="K118" i="7" s="1"/>
  <c r="K162" i="7" s="1"/>
  <c r="M228" i="7"/>
  <c r="K143" i="6"/>
  <c r="K163" i="6"/>
  <c r="C121" i="6"/>
  <c r="K162" i="6"/>
  <c r="K182" i="6" s="1"/>
  <c r="C181" i="6" s="1"/>
  <c r="K142" i="6"/>
  <c r="C83" i="6"/>
  <c r="L102" i="6"/>
  <c r="L122" i="6" s="1"/>
  <c r="B180" i="6"/>
  <c r="C103" i="6"/>
  <c r="L123" i="6"/>
  <c r="K124" i="6"/>
  <c r="C101" i="6"/>
  <c r="M287" i="4"/>
  <c r="M155" i="4"/>
  <c r="M177" i="4" s="1"/>
  <c r="M199" i="4" s="1"/>
  <c r="M221" i="4" s="1"/>
  <c r="M243" i="4" s="1"/>
  <c r="M265" i="4" s="1"/>
  <c r="K154" i="4"/>
  <c r="K176" i="4" s="1"/>
  <c r="K198" i="4" s="1"/>
  <c r="K220" i="4" s="1"/>
  <c r="K242" i="4" s="1"/>
  <c r="K264" i="4" s="1"/>
  <c r="K286" i="4"/>
  <c r="M154" i="4"/>
  <c r="M176" i="4" s="1"/>
  <c r="M198" i="4" s="1"/>
  <c r="M220" i="4" s="1"/>
  <c r="M242" i="4" s="1"/>
  <c r="M264" i="4" s="1"/>
  <c r="M286" i="4"/>
  <c r="L111" i="4"/>
  <c r="L133" i="4" s="1"/>
  <c r="C66" i="4"/>
  <c r="L153" i="4"/>
  <c r="L285" i="4"/>
  <c r="C90" i="4"/>
  <c r="K87" i="4"/>
  <c r="K109" i="4" s="1"/>
  <c r="L132" i="4"/>
  <c r="M175" i="4"/>
  <c r="C270" i="2"/>
  <c r="C224" i="2"/>
  <c r="M97" i="2"/>
  <c r="M119" i="2" s="1"/>
  <c r="M141" i="2" s="1"/>
  <c r="C77" i="2"/>
  <c r="L97" i="2"/>
  <c r="L119" i="2" s="1"/>
  <c r="L141" i="2" s="1"/>
  <c r="K330" i="13" l="1"/>
  <c r="C307" i="13"/>
  <c r="M374" i="13"/>
  <c r="C375" i="13" s="1"/>
  <c r="C355" i="13"/>
  <c r="K162" i="11"/>
  <c r="K182" i="11" s="1"/>
  <c r="C181" i="11" s="1"/>
  <c r="K142" i="11"/>
  <c r="C121" i="11"/>
  <c r="K183" i="11"/>
  <c r="C161" i="11"/>
  <c r="C123" i="11"/>
  <c r="L162" i="11"/>
  <c r="L182" i="11" s="1"/>
  <c r="L142" i="11"/>
  <c r="C143" i="11" s="1"/>
  <c r="AA361" i="10"/>
  <c r="R361" i="10" s="1"/>
  <c r="AA229" i="10"/>
  <c r="AA251" i="10" s="1"/>
  <c r="AA273" i="10" s="1"/>
  <c r="AA295" i="10" s="1"/>
  <c r="AA317" i="10" s="1"/>
  <c r="AA339" i="10" s="1"/>
  <c r="C163" i="10"/>
  <c r="C185" i="10"/>
  <c r="C227" i="10"/>
  <c r="L229" i="10"/>
  <c r="L251" i="10" s="1"/>
  <c r="L273" i="10" s="1"/>
  <c r="L295" i="10" s="1"/>
  <c r="L317" i="10" s="1"/>
  <c r="L339" i="10" s="1"/>
  <c r="L361" i="10"/>
  <c r="C361" i="10" s="1"/>
  <c r="Z206" i="10"/>
  <c r="AA272" i="10"/>
  <c r="R251" i="10"/>
  <c r="R253" i="10"/>
  <c r="AB272" i="10"/>
  <c r="AB362" i="10"/>
  <c r="R363" i="10" s="1"/>
  <c r="AB230" i="10"/>
  <c r="AB252" i="10" s="1"/>
  <c r="AB274" i="10" s="1"/>
  <c r="AB296" i="10" s="1"/>
  <c r="AB318" i="10" s="1"/>
  <c r="AB340" i="10" s="1"/>
  <c r="B269" i="10"/>
  <c r="K206" i="10"/>
  <c r="C251" i="10"/>
  <c r="L272" i="10"/>
  <c r="C253" i="10"/>
  <c r="M272" i="10"/>
  <c r="K197" i="9"/>
  <c r="K219" i="9" s="1"/>
  <c r="L250" i="8"/>
  <c r="L272" i="8" s="1"/>
  <c r="L340" i="8"/>
  <c r="C339" i="8" s="1"/>
  <c r="L208" i="8"/>
  <c r="L230" i="8" s="1"/>
  <c r="L252" i="8" s="1"/>
  <c r="K340" i="8"/>
  <c r="K208" i="8"/>
  <c r="K230" i="8" s="1"/>
  <c r="K252" i="8" s="1"/>
  <c r="K274" i="8" s="1"/>
  <c r="K296" i="8" s="1"/>
  <c r="K318" i="8" s="1"/>
  <c r="K229" i="8"/>
  <c r="K251" i="8" s="1"/>
  <c r="K273" i="8" s="1"/>
  <c r="K295" i="8" s="1"/>
  <c r="K317" i="8" s="1"/>
  <c r="M252" i="8"/>
  <c r="M274" i="8" s="1"/>
  <c r="M228" i="8"/>
  <c r="M250" i="8" s="1"/>
  <c r="L207" i="8"/>
  <c r="L339" i="8"/>
  <c r="B247" i="8"/>
  <c r="K184" i="8"/>
  <c r="C143" i="7"/>
  <c r="C141" i="7"/>
  <c r="K229" i="7"/>
  <c r="K251" i="7" s="1"/>
  <c r="K273" i="7" s="1"/>
  <c r="K295" i="7" s="1"/>
  <c r="K317" i="7" s="1"/>
  <c r="C207" i="7"/>
  <c r="C99" i="7"/>
  <c r="M142" i="7"/>
  <c r="M186" i="7" s="1"/>
  <c r="M120" i="7"/>
  <c r="C209" i="7"/>
  <c r="K164" i="7"/>
  <c r="L339" i="7"/>
  <c r="L207" i="7"/>
  <c r="L229" i="7" s="1"/>
  <c r="L251" i="7" s="1"/>
  <c r="L273" i="7" s="1"/>
  <c r="L295" i="7" s="1"/>
  <c r="L317" i="7" s="1"/>
  <c r="M250" i="7"/>
  <c r="B225" i="7"/>
  <c r="K140" i="7"/>
  <c r="K186" i="7"/>
  <c r="L228" i="7"/>
  <c r="C229" i="7" s="1"/>
  <c r="K144" i="6"/>
  <c r="K164" i="6"/>
  <c r="K184" i="6" s="1"/>
  <c r="L142" i="6"/>
  <c r="C143" i="6" s="1"/>
  <c r="C123" i="6"/>
  <c r="L162" i="6"/>
  <c r="L182" i="6" s="1"/>
  <c r="L143" i="6"/>
  <c r="L163" i="6"/>
  <c r="C161" i="6"/>
  <c r="K183" i="6"/>
  <c r="L155" i="4"/>
  <c r="L177" i="4" s="1"/>
  <c r="L199" i="4" s="1"/>
  <c r="L221" i="4" s="1"/>
  <c r="L243" i="4" s="1"/>
  <c r="L265" i="4" s="1"/>
  <c r="L287" i="4"/>
  <c r="K133" i="4"/>
  <c r="L175" i="4"/>
  <c r="L286" i="4"/>
  <c r="L154" i="4"/>
  <c r="L176" i="4" s="1"/>
  <c r="L198" i="4" s="1"/>
  <c r="L220" i="4" s="1"/>
  <c r="L242" i="4" s="1"/>
  <c r="L264" i="4" s="1"/>
  <c r="M197" i="4"/>
  <c r="B172" i="4"/>
  <c r="C248" i="2"/>
  <c r="C246" i="2"/>
  <c r="C268" i="2"/>
  <c r="C329" i="13" l="1"/>
  <c r="K352" i="13"/>
  <c r="AA294" i="10"/>
  <c r="AB294" i="10"/>
  <c r="Z360" i="10"/>
  <c r="Z228" i="10"/>
  <c r="Q291" i="10"/>
  <c r="M294" i="10"/>
  <c r="C275" i="10"/>
  <c r="K360" i="10"/>
  <c r="C205" i="10"/>
  <c r="K228" i="10"/>
  <c r="B291" i="10"/>
  <c r="L294" i="10"/>
  <c r="C273" i="10"/>
  <c r="C218" i="9"/>
  <c r="K241" i="9"/>
  <c r="K263" i="9" s="1"/>
  <c r="M296" i="8"/>
  <c r="M318" i="8" s="1"/>
  <c r="L274" i="8"/>
  <c r="L296" i="8" s="1"/>
  <c r="K338" i="8"/>
  <c r="K206" i="8"/>
  <c r="L229" i="8"/>
  <c r="M272" i="8"/>
  <c r="M294" i="8" s="1"/>
  <c r="L294" i="8"/>
  <c r="L316" i="8" s="1"/>
  <c r="M164" i="7"/>
  <c r="C121" i="7"/>
  <c r="M208" i="7"/>
  <c r="M230" i="7" s="1"/>
  <c r="M252" i="7" s="1"/>
  <c r="M274" i="7" s="1"/>
  <c r="M296" i="7" s="1"/>
  <c r="M318" i="7" s="1"/>
  <c r="M340" i="7"/>
  <c r="C341" i="7" s="1"/>
  <c r="C165" i="7"/>
  <c r="C163" i="7"/>
  <c r="K208" i="7"/>
  <c r="K230" i="7" s="1"/>
  <c r="K252" i="7" s="1"/>
  <c r="K274" i="7" s="1"/>
  <c r="K296" i="7" s="1"/>
  <c r="K318" i="7" s="1"/>
  <c r="K340" i="7"/>
  <c r="M272" i="7"/>
  <c r="K184" i="7"/>
  <c r="B247" i="7"/>
  <c r="L250" i="7"/>
  <c r="C163" i="6"/>
  <c r="L183" i="6"/>
  <c r="C183" i="6" s="1"/>
  <c r="C286" i="4"/>
  <c r="K131" i="4"/>
  <c r="K155" i="4"/>
  <c r="K177" i="4" s="1"/>
  <c r="K199" i="4" s="1"/>
  <c r="K221" i="4" s="1"/>
  <c r="K243" i="4" s="1"/>
  <c r="K265" i="4" s="1"/>
  <c r="K287" i="4"/>
  <c r="M219" i="4"/>
  <c r="L197" i="4"/>
  <c r="C176" i="4"/>
  <c r="C351" i="13" l="1"/>
  <c r="K374" i="13"/>
  <c r="R297" i="10"/>
  <c r="AB316" i="10"/>
  <c r="Z250" i="10"/>
  <c r="AA316" i="10"/>
  <c r="R295" i="10"/>
  <c r="B313" i="10"/>
  <c r="K250" i="10"/>
  <c r="C297" i="10"/>
  <c r="M316" i="10"/>
  <c r="L316" i="10"/>
  <c r="C295" i="10"/>
  <c r="M316" i="8"/>
  <c r="L318" i="8"/>
  <c r="B291" i="8"/>
  <c r="K228" i="8"/>
  <c r="L251" i="8"/>
  <c r="L273" i="8" s="1"/>
  <c r="M294" i="7"/>
  <c r="L272" i="7"/>
  <c r="B269" i="7"/>
  <c r="C183" i="7"/>
  <c r="K338" i="7"/>
  <c r="K206" i="7"/>
  <c r="L219" i="4"/>
  <c r="M241" i="4"/>
  <c r="B216" i="4"/>
  <c r="K285" i="4"/>
  <c r="K153" i="4"/>
  <c r="AA338" i="10" l="1"/>
  <c r="Z272" i="10"/>
  <c r="R249" i="10"/>
  <c r="AB338" i="10"/>
  <c r="K272" i="10"/>
  <c r="C249" i="10"/>
  <c r="B335" i="10"/>
  <c r="L338" i="10"/>
  <c r="C337" i="10" s="1"/>
  <c r="C317" i="10"/>
  <c r="M338" i="10"/>
  <c r="C339" i="10" s="1"/>
  <c r="C319" i="10"/>
  <c r="L295" i="8"/>
  <c r="L317" i="8" s="1"/>
  <c r="K250" i="8"/>
  <c r="K228" i="7"/>
  <c r="B291" i="7"/>
  <c r="L294" i="7"/>
  <c r="M316" i="7"/>
  <c r="K175" i="4"/>
  <c r="M263" i="4"/>
  <c r="L241" i="4"/>
  <c r="C220" i="4"/>
  <c r="Z294" i="10" l="1"/>
  <c r="C271" i="10"/>
  <c r="K294" i="10"/>
  <c r="K272" i="8"/>
  <c r="C249" i="8"/>
  <c r="B313" i="7"/>
  <c r="K250" i="7"/>
  <c r="L316" i="7"/>
  <c r="L263" i="4"/>
  <c r="C174" i="4"/>
  <c r="K197" i="4"/>
  <c r="R293" i="10" l="1"/>
  <c r="Z316" i="10"/>
  <c r="C293" i="10"/>
  <c r="K316" i="10"/>
  <c r="K294" i="8"/>
  <c r="K272" i="7"/>
  <c r="C249" i="7"/>
  <c r="K219" i="4"/>
  <c r="Z338" i="10" l="1"/>
  <c r="K338" i="10"/>
  <c r="C315" i="10"/>
  <c r="C293" i="8"/>
  <c r="K316" i="8"/>
  <c r="C271" i="7"/>
  <c r="K294" i="7"/>
  <c r="C218" i="4"/>
  <c r="K241" i="4"/>
  <c r="C293" i="7" l="1"/>
  <c r="K316" i="7"/>
  <c r="K263" i="4"/>
</calcChain>
</file>

<file path=xl/sharedStrings.xml><?xml version="1.0" encoding="utf-8"?>
<sst xmlns="http://schemas.openxmlformats.org/spreadsheetml/2006/main" count="2697" uniqueCount="379">
  <si>
    <t>Type</t>
  </si>
  <si>
    <t>Value</t>
  </si>
  <si>
    <t>Paragraph</t>
  </si>
  <si>
    <t>Gene</t>
  </si>
  <si>
    <t>MTHFR</t>
  </si>
  <si>
    <t>Intro</t>
  </si>
  <si>
    <t>Chromosome</t>
  </si>
  <si>
    <t>Item</t>
  </si>
  <si>
    <t>enzyme</t>
  </si>
  <si>
    <t>Interval</t>
  </si>
  <si>
    <t>NC_000001.11 :g.11785730_11806103</t>
  </si>
  <si>
    <t>Variant Number</t>
  </si>
  <si>
    <t>two</t>
  </si>
  <si>
    <t xml:space="preserve"> </t>
  </si>
  <si>
    <t>Gene Location</t>
  </si>
  <si>
    <t>Name</t>
  </si>
  <si>
    <t>C677T</t>
  </si>
  <si>
    <t>Original</t>
  </si>
  <si>
    <t>cytosine (C)</t>
  </si>
  <si>
    <t>Change</t>
  </si>
  <si>
    <t>thymine (T)</t>
  </si>
  <si>
    <t>Variant</t>
  </si>
  <si>
    <t>[C677T](http://gnomad.broadinstitute.org/variant/1-11856378-G-A)</t>
  </si>
  <si>
    <t>A1298C</t>
  </si>
  <si>
    <t>adenine (A)</t>
  </si>
  <si>
    <t>[A1298C](https://www.ncbi.nlm.nih.gov/projects/SNP/snp_ref.cgi?rs=1801131)</t>
  </si>
  <si>
    <t xml:space="preserve">    # What does this mean?</t>
  </si>
  <si>
    <t>het meaning</t>
  </si>
  <si>
    <t>het effect</t>
  </si>
  <si>
    <t xml:space="preserve">    # What is the effect of this variant?</t>
  </si>
  <si>
    <t xml:space="preserve">    # How common is this genotype in the general population?</t>
  </si>
  <si>
    <t>The effect is unknown.</t>
  </si>
  <si>
    <t>Symptoms</t>
  </si>
  <si>
    <t>fatigue D005221 memory problems D008569 inflamation D007249</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</si>
  <si>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</si>
  <si>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Gene_Name</t>
  </si>
  <si>
    <t>CHRNA3</t>
  </si>
  <si>
    <t>GeneName_full</t>
  </si>
  <si>
    <t>Neuronal acetylcholine receptor subunit alpha-3</t>
  </si>
  <si>
    <t>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t>
  </si>
  <si>
    <t>protein</t>
  </si>
  <si>
    <t>C78606381T</t>
  </si>
  <si>
    <t>[C78606381T](https://www.ncbi.nlm.nih.gov/projects/SNP/snp_ref.cgi?rs=12914385)</t>
  </si>
  <si>
    <t xml:space="preserve">C645T </t>
  </si>
  <si>
    <t>guanine (G)</t>
  </si>
  <si>
    <t>[C645T](https://www.ncbi.nlm.nih.gov/clinvar/variation/17503/)</t>
  </si>
  <si>
    <t>fatigue D005221 inflamation D007249 anxiety D001007 depression D003863</t>
  </si>
  <si>
    <t xml:space="preserve">brain D001921 bone marrow and immune system D007107 </t>
  </si>
  <si>
    <t>Diseases</t>
  </si>
  <si>
    <t>cancer;  COPD; anxiety disorder; ME/CFS; nicotine dependency; autoimmune disorder; Disease susceptibility - increased susceptibility to viral, bacterial, and parasitical infections; cocaine dependence; schizophrenia, Major depression; coronary heart disease;</t>
  </si>
  <si>
    <t>Methylenetetrahydrofolate reductase</t>
  </si>
  <si>
    <t>Variant Location</t>
  </si>
  <si>
    <t>Wildtype</t>
  </si>
  <si>
    <t>rs1801131</t>
  </si>
  <si>
    <t>rs1801133</t>
  </si>
  <si>
    <t>NC_000001.10:g.11854476T&gt;G</t>
  </si>
  <si>
    <t>[11854476T&gt;G]</t>
  </si>
  <si>
    <t>[11854476=]</t>
  </si>
  <si>
    <t>NC_000001.10:g.11856378G&gt;A</t>
  </si>
  <si>
    <t>[11856378G&gt;A]</t>
  </si>
  <si>
    <t>[11856378=]</t>
  </si>
  <si>
    <t>&lt;/GeneMap&gt;</t>
  </si>
  <si>
    <t>Het</t>
  </si>
  <si>
    <t>Homo</t>
  </si>
  <si>
    <t>Place</t>
  </si>
  <si>
    <t>NC_000001.10:g.</t>
  </si>
  <si>
    <t>Het%</t>
  </si>
  <si>
    <t>Homo%</t>
  </si>
  <si>
    <t>Wildtype%</t>
  </si>
  <si>
    <t xml:space="preserve">Name </t>
  </si>
  <si>
    <t xml:space="preserve">                    and</t>
  </si>
  <si>
    <t>Second Gene</t>
  </si>
  <si>
    <t>Percentage</t>
  </si>
  <si>
    <t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t>
  </si>
  <si>
    <t>homo meaning</t>
  </si>
  <si>
    <t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</si>
  <si>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xml:space="preserve">
    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 What should I do about this?
    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</si>
  <si>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Tissues</t>
  </si>
  <si>
    <t>endocrineSystem and pancreas</t>
  </si>
  <si>
    <t>endocrineSystem pancreas</t>
  </si>
  <si>
    <t>mesh_D005221 mesh_D008569 mesh_D007249</t>
  </si>
  <si>
    <t xml:space="preserve">depression D003866 hypothyroid D007037 </t>
  </si>
  <si>
    <t xml:space="preserve">mesh_D003866 mesh_D007037 </t>
  </si>
  <si>
    <t>Wild type</t>
  </si>
  <si>
    <t>Unknown</t>
  </si>
  <si>
    <t>GRIK3</t>
  </si>
  <si>
    <t>Glutamate receptor ionotropic, kainate 3</t>
  </si>
  <si>
    <t>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t>
  </si>
  <si>
    <t>NC000001_1.11:g.1111_9999</t>
  </si>
  <si>
    <t>three</t>
  </si>
  <si>
    <t>T928G</t>
  </si>
  <si>
    <t>[T928G](https://www.ncbi.nlm.nih.gov/projects/SNP/snp_ref.cgi?rs=6691840)[(Ser310Ala)](https://www.ncbi.nlm.nih.gov/pubmed/11986986)</t>
  </si>
  <si>
    <t>C36983994T</t>
  </si>
  <si>
    <t>[C36983994T](https://www.ncbi.nlm.nih.gov/projects/SNP/snp_ref.cgi?rs=3913434)</t>
  </si>
  <si>
    <t>A7783504C</t>
  </si>
  <si>
    <t>[A7783504C](https://www.ncbi.nlm.nih.gov/projects/SNP/snp_ref.cgi?rs=270838)</t>
  </si>
  <si>
    <t>NC_000001.10:g.37325477A&gt;G</t>
  </si>
  <si>
    <t>[37325477A&gt;G]</t>
  </si>
  <si>
    <t>[37325477=]</t>
  </si>
  <si>
    <t>NC_000002.11:g.7783504A&gt;C</t>
  </si>
  <si>
    <t>NC_000001.10:g.37449595C&gt;T</t>
  </si>
  <si>
    <t>[37449595C&gt;T]</t>
  </si>
  <si>
    <t>[37449595=]</t>
  </si>
  <si>
    <t>NC_000002.11:g.</t>
  </si>
  <si>
    <t>[7783504A&gt;C]</t>
  </si>
  <si>
    <t>[7783504=]</t>
  </si>
  <si>
    <t>rs6691840</t>
  </si>
  <si>
    <t>rs270838</t>
  </si>
  <si>
    <t>rs3913434</t>
  </si>
  <si>
    <t>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</si>
  <si>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t>
  </si>
  <si>
    <t>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</si>
  <si>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</si>
  <si>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</si>
  <si>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</si>
  <si>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</si>
  <si>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</si>
  <si>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</si>
  <si>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t>
  </si>
  <si>
    <t>depression, stress, problems with thinking or memory, brain fog, pain</t>
  </si>
  <si>
    <t>mesh_D003863 mesh_D040701 mesh_D008569 mesh_D010146</t>
  </si>
  <si>
    <t xml:space="preserve">schizophrenia D012559; major depressive disorder D003866; ME/CFS D015673; </t>
  </si>
  <si>
    <t>mesh_D012559 mesh_D003866 mesh_D015673</t>
  </si>
  <si>
    <t>brain D001921</t>
  </si>
  <si>
    <t>brain</t>
  </si>
  <si>
    <t>CLYBL</t>
  </si>
  <si>
    <t>Citramalyl-CoA lyase, mitochondrial</t>
  </si>
  <si>
    <t>[CLYBL](http://www.uniprot.org/uniprot/Q8N0X4)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t>
  </si>
  <si>
    <t>mitochondrial enzyme</t>
  </si>
  <si>
    <t>one</t>
  </si>
  <si>
    <t>C775T</t>
  </si>
  <si>
    <t>[C775T (Arg259Ter)](https://www.ncbi.nlm.nih.gov/pubmed/29100069)</t>
  </si>
  <si>
    <t>NC_000013.10:g.100258919_100549388</t>
  </si>
  <si>
    <t>rs41281112 </t>
  </si>
  <si>
    <t>NC_000013.10:g.100518634C&gt;T</t>
  </si>
  <si>
    <t>NC_000013.10:g.</t>
  </si>
  <si>
    <t>[100518634C&gt;T]</t>
  </si>
  <si>
    <t>[100518634=]</t>
  </si>
  <si>
    <t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t>
  </si>
  <si>
    <t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t>
  </si>
  <si>
    <t>fatigue D005221 memory problems D008569 inflamation D007249 muscle aches and pain D063806</t>
  </si>
  <si>
    <t xml:space="preserve">[kidney, liver](https://www.ncbi.nlm.nih.gov/gene/171425#gene-expression), and blood; circulatory and cardiovascular system D002319 Kidney and urinary bladder D005221 liver D008099 </t>
  </si>
  <si>
    <t>anemia D000740 neurodegenerative disorder D000752 cardiovascular disease D002318 gastrointestinal disease D005767 ME/CFS D015673 coronary heart disease D003327 stroke  D016491</t>
  </si>
  <si>
    <t>mesh_D000740 mesh_D000752 mesh_D002318 mesh_D005767 mesh_D015673 mesh_D003327 mesh_D016491</t>
  </si>
  <si>
    <t>mesh_D005221 mesh_D008569 mesh_D007249 mesh_D063806</t>
  </si>
  <si>
    <t xml:space="preserve">mesh_D002319 mesh_D005221 mesh_D008099 </t>
  </si>
  <si>
    <t>NC_000015.9:g.78885394_78913637</t>
  </si>
  <si>
    <t>rs12914385</t>
  </si>
  <si>
    <t>rs1051730</t>
  </si>
  <si>
    <t>NC_000015.9:g.78898723C&gt;T</t>
  </si>
  <si>
    <t>NC_000015.9:g.78894339G&gt;A</t>
  </si>
  <si>
    <t>NC_000015.9:g.</t>
  </si>
  <si>
    <t>[78898723C&gt;T]</t>
  </si>
  <si>
    <t>[78898723=]</t>
  </si>
  <si>
    <t>[78894339G&gt;A]</t>
  </si>
  <si>
    <t>[78894339=]</t>
  </si>
  <si>
    <t xml:space="preserve">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t>
  </si>
  <si>
    <t xml:space="preserve">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</si>
  <si>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</si>
  <si>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</si>
  <si>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</si>
  <si>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There is currently no data on the interaction between these variants.  However, some information exists on the individual variants.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</si>
  <si>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t>
  </si>
  <si>
    <t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t>
  </si>
  <si>
    <t xml:space="preserve">mesh_D001921 mesh_D007107 </t>
  </si>
  <si>
    <t>mesh_D005221 mesh_D007249 mesh_D001007 mesh_D003863</t>
  </si>
  <si>
    <t xml:space="preserve">mesh_D009369 mesh_D029424 mesh_D001008 mesh_D015673 mesh_D014029 mesh_D001327 mesh_D004198 mesh_D019970 mesh_D012559 mesh_D003866 mesh_D003327 </t>
  </si>
  <si>
    <t>CHRNA5</t>
  </si>
  <si>
    <t>neuronal acetylcholine receptor subunit alpha-5</t>
  </si>
  <si>
    <t>anxiety; pain; inflammation;</t>
  </si>
  <si>
    <t>brain D001921  respiratory system and lung D012137  bone marrow and immune system D007107</t>
  </si>
  <si>
    <t>cancer; COPD; anxiety; ME/CFS; nicotine dependency; autoimmune disorder; Disease susceptibility - increased susceptibility to viral, bacterial, and parasitic infections; mood disorder</t>
  </si>
  <si>
    <t>mesh_D001921 mesh_D012137 mesh_D007107</t>
  </si>
  <si>
    <t>mesh_D001007 mesh_D010146  mesh_D007249</t>
  </si>
  <si>
    <t>mesh_D009369 mesh_D029424 mesh_D001008 mesh_D015673 mesh_D014029 mesh_D001327 mesh_D004198 mesh_D019964</t>
  </si>
  <si>
    <t>NC_000015.9:g.78857862_78887611</t>
  </si>
  <si>
    <t>G1192A</t>
  </si>
  <si>
    <t>[G1192A (Asp398Asn)](https://www.ncbi.nlm.nih.gov/clinvar/variation/17497/)</t>
  </si>
  <si>
    <t>A78573551G</t>
  </si>
  <si>
    <t>[A78573551G](https://www.ncbi.nlm.nih.gov/projects/SNP/snp_ref.cgi?rs=6495306)</t>
  </si>
  <si>
    <t>A78581651T</t>
  </si>
  <si>
    <t>[A78581651T](https://www.ncbi.nlm.nih.gov/projects/SNP/snp_ref.cgi?rs=7180002)</t>
  </si>
  <si>
    <t>NC_000015.9:g.78882925G&gt;A</t>
  </si>
  <si>
    <t>rs16969968</t>
  </si>
  <si>
    <t>[78882925G&gt;A]</t>
  </si>
  <si>
    <t>[78882925=]</t>
  </si>
  <si>
    <t>NC_000015.9:g.78865893G&gt;A</t>
  </si>
  <si>
    <t>[78865893G&gt;A]</t>
  </si>
  <si>
    <t>[78865893=]</t>
  </si>
  <si>
    <t>NC_000015.9:g.78873993A&gt;T</t>
  </si>
  <si>
    <t>[78873993A&gt;T]</t>
  </si>
  <si>
    <t>[78873993=]</t>
  </si>
  <si>
    <t>[CHRNA5](https://www.genecards.org/cgi-bin/carddisp.pl?gene=CHRNA5)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t>
  </si>
  <si>
    <t xml:space="preserve">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</si>
  <si>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Pregnant women should consider [supplemental vitamin C](https://www.ncbi.nlm.nih.gov/pubmed/24838476).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</si>
  <si>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</si>
  <si>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avoid smoking, and proactively check for lung cancer if they smoke.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</si>
  <si>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</si>
  <si>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</si>
  <si>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</si>
  <si>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</si>
  <si>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</si>
  <si>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t>
  </si>
  <si>
    <t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t>
  </si>
  <si>
    <t>NC_000015.9:g.78916636_78933587</t>
  </si>
  <si>
    <t>CHRNB4</t>
  </si>
  <si>
    <t>neuronal acetylcholine receptor subunit beta-4</t>
  </si>
  <si>
    <t>C78631645T</t>
  </si>
  <si>
    <t>[C78631645T](https://www.ncbi.nlm.nih.gov/projects/SNP/snp_ref.cgi?rs=17487223)</t>
  </si>
  <si>
    <t>G78635922T</t>
  </si>
  <si>
    <t>[G78635922T](http://journals.sagepub.com/doi/10.4137/III.S25147)</t>
  </si>
  <si>
    <t>A78638168G</t>
  </si>
  <si>
    <t>[A78638168G](http://journals.sagepub.com/doi/10.4137/III.S25147)</t>
  </si>
  <si>
    <t>The [CHRNB4](http://www.uniprot.org/uniprot/P30926) gene creates a protein that is part of [nicotine receptor](https://www.ncbi.nlm.nih.gov/gene/1143). It also affects muscle contraction and the function of neurons. Variants in CHRNB4 have been linked to an increased risk of [lung cancer](https://www.ncbi.nlm.nih.gov/pubmed/18385738?dopt=Abstract) and [nicotine dependence](https://www.ncbi.nlm.nih.gov/pubmed/19443489). For ME/CFS patients, variants are associated with [severe cognitive and sleep symptoms](https://www.ncbi.nlm.nih.gov/pubmed/28633629) and decreased function of [natural killer cells (NKC)](https://www.ncbi.nlm.nih.gov/pubmed/27099524), a type of white blood cell that helps the body respond to viral infections.</t>
  </si>
  <si>
    <t>NC_000015.9:g.78923987C&gt;T</t>
  </si>
  <si>
    <t>[78923987C&gt;T]</t>
  </si>
  <si>
    <t>[78923987=]</t>
  </si>
  <si>
    <t>NC_000015.9:g.78928264G&gt;T</t>
  </si>
  <si>
    <t>[78928264G&gt;T]</t>
  </si>
  <si>
    <t>[78928264=]</t>
  </si>
  <si>
    <t>NC_000015.9:g.78930510A&gt;G</t>
  </si>
  <si>
    <t>[78930510A&gt;G]</t>
  </si>
  <si>
    <t>[78930510=]</t>
  </si>
  <si>
    <t xml:space="preserve">    CHRN genes play a large role in the risk for nicotine dependence, smoking, and lung cancer. This homozygous CHRNB4 variant is associated with:
    - A [much higher risk of habitual smoking in Caucasians](https://www.ncbi.nlm.nih.gov/pubmed/18519524?dopt=Abstract) 
    - [1.64X higher](https://www.ncbi.nlm.nih.gov/pubmed/19259974?dopt=Abstract) risk of heavy smoking 
    - [1.33X higher risk](https://www.ncbi.nlm.nih.gov/pubmed/19259974?dopt=Abstract) of [nicotine dependence](https://www.ncbi.nlm.nih.gov/pubmed/19443489?dopt=Abstract) 
    - 1.28X greater risk of [lung cancer](https://www.ncbi.nlm.nih.gov/pubmed/18385738?dopt=Abstract). 
    For ME/CFS patients, [previous and current smoking](https://www.ncbi.nlm.nih.gov/pubmed/25811400) are associated with [3X higher risk of severe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such as [abdominal pain, stress, fainting, depression, muscle weakness, muscle twitching, headache, and dizziness](https://medlineplus.gov/ency/article/002510.htm), and smoking may lead to a worsening of these symptoms.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t>
  </si>
  <si>
    <t xml:space="preserve">    CHRN genes play a large role in the risk for nicotine dependence, smoking, and lung cancer. This CHRNB4 variant is associated:
    - [Higher risk of habitual smoking in Caucasians](https://www.ncbi.nlm.nih.gov/pubmed/18519524?dopt=Abstract) 
    - [1.45X](https://www.ncbi.nlm.nih.gov/pubmed/19259974?dopt=Abstract) higher risk for a risk of heavy smoking 
    - [1.33 higher risk](https://www.ncbi.nlm.nih.gov/pubmed/19259974?dopt=Abstract) of [nicotine dependence](https://www.ncbi.nlm.nih.gov/pubmed/19443489?dopt=Abstract) 
    - Increased susceptibility to [lung cancer](https://www.ncbi.nlm.nih.gov/pubmed/18385738?dopt=Abstract). 
    For ME/CFS patients, [previous and current smoking](https://www.ncbi.nlm.nih.gov/pubmed/25811400) are associated with a [3X higher risk of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including [abdominal pain, stress, fainting, depression, muscle weakness, muscle twitching, headache, and dizziness](https://medlineplus.gov/ency/article/002510.htm), which may be worsened by smoking.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t>
  </si>
  <si>
    <t xml:space="preserve">    Your variant is [2.5X](http://journals.sagepub.com/doi/10.4137/III.S25147)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</si>
  <si>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rs17487223</t>
  </si>
  <si>
    <t>rs12441088</t>
  </si>
  <si>
    <t>rs1316971</t>
  </si>
  <si>
    <t xml:space="preserve">    Your variant is [1.2X](https://www.ncbi.nlm.nih.gov/pubmed/27099524)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</si>
  <si>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inflammation</t>
  </si>
  <si>
    <t>mesh_D007249</t>
  </si>
  <si>
    <t>male tissue, endocrine tissues</t>
  </si>
  <si>
    <t>mesh_D005837 mesh_D004703</t>
  </si>
  <si>
    <t>cancer; ME/CFS; nicotine dependency;  Disease susceptibility - increased susceptibility to viral, bacterial, and parasitic infections</t>
  </si>
  <si>
    <t>mesh_D009369 mesh_D014029 mesh_D015673 mesh_D014029  mesh_D004198</t>
  </si>
  <si>
    <t>CHRNE</t>
  </si>
  <si>
    <t>rs33383</t>
  </si>
  <si>
    <t>C10927T</t>
  </si>
  <si>
    <t>NC_000005.9:g.142709986C&gt;T</t>
  </si>
  <si>
    <t>rs33970119</t>
  </si>
  <si>
    <t>C519T</t>
  </si>
  <si>
    <t>G1074A</t>
  </si>
  <si>
    <t>NC_000017.10:g.4804902G&gt;A</t>
  </si>
  <si>
    <t>[G1074A](https://www.ncbi.nlm.nih.gov/clinvar/variation/128767/)</t>
  </si>
  <si>
    <t>C865T</t>
  </si>
  <si>
    <t>[C865T](https://www.ncbi.nlm.nih.gov/clinvar/variation/18344/)</t>
  </si>
  <si>
    <t>NC_000017.10:g.</t>
  </si>
  <si>
    <t>[4804902G&gt;A]</t>
  </si>
  <si>
    <t>[4804902=]</t>
  </si>
  <si>
    <t>NC_000005.9:g.</t>
  </si>
  <si>
    <t>[142709986C&gt;T]</t>
  </si>
  <si>
    <t>[142709986=]</t>
  </si>
  <si>
    <t>NC_000017.10:g.4801064_4806369</t>
  </si>
  <si>
    <t>The [CHRNE](https://www.uniprot.org/uniprot/Q04844) gene encodes a protein found in the connection between motor neurons and muscle fibers. It is involved in [muscle contractions, response to nicotine, synaptic transmission, and the transport of electrically charged particles (ions) essential for proper cellular function.](http://www.uniprot.org/uniprot/Q04844#function) Variants in CHRNE are associated with [autoimmune disorders](https://www.omim.org/entry/254200) and [progressive](https://www.omim.org/entry/605809)[muscle](https://www.omim.org/entry/616324)[weakness](https://www.omim.org/entry/608931). Other variants are associated with decreased function of [natural killer cells (NKC)](https://www.ncbi.nlm.nih.gov/pubmed/27099524), a type of white blood cell that helps the body respond to viral infections.</t>
  </si>
  <si>
    <t>cholinergic receptor nicotinic epsilon subunit</t>
  </si>
  <si>
    <t xml:space="preserve">    Your variant is [4.36X more common in ME/CFS patients.](https://www.ncbi.nlm.nih.gov/pubmed/27099524)The malformed CHRME receptors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</si>
  <si>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xml:space="preserve">    Congenital myasthenic syndromes (CMS) are a group of rare disorders that affects the proteins at the neuromuscular junctions and may cause [abnormalities in the CHRME receptors](https://www.ncbi.nlm.nih.gov/pubmed/16156017). CMS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
    # What should I do about this?
    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</si>
  <si>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catechol-O-methyltransferase</t>
  </si>
  <si>
    <t>COMT</t>
  </si>
  <si>
    <t>NC_000022.10:g.19929263_19957498</t>
  </si>
  <si>
    <t>five</t>
  </si>
  <si>
    <t>The COMT gene creates an enzyme that helps break down and balance levels of dopamine and [norepinephrine](https://www.britannica.com/science/norepinephrine) in nerve cells. It also helps balance levels of [estrogen](https://www.ncbi.nlm.nih.gov/pubmed/18324659?dopt=Abstract) in the liver, kidneys, and blood. Variants may cause [anxiety](https://www.ncbi.nlm.nih.gov/pubmed/16232322?dopt=Abstract), [depression](https://www.ncbi.nlm.nih.gov/pubmed/19520435?dopt=Abstract), muscle pain and fatigue, oxidative stress,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</si>
  <si>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G158A</t>
  </si>
  <si>
    <t>[G158A](https://www.ncbi.nlm.nih.gov/pubmed/21059181)</t>
  </si>
  <si>
    <t>C62T</t>
  </si>
  <si>
    <t>[C62T](https://www.ncbi.nlm.nih.gov/pubmed/26891941)</t>
  </si>
  <si>
    <t>T19943884C</t>
  </si>
  <si>
    <t>[T19943884C](https://www.ncbi.nlm.nih.gov/pubmed/19540336)</t>
  </si>
  <si>
    <t>T19960814C</t>
  </si>
  <si>
    <t>[T19960814C](https://www.ncbi.nlm.nih.gov/pubmed/19772600)</t>
  </si>
  <si>
    <t>T19950010G</t>
  </si>
  <si>
    <t>[T19950010G](https://www.ncbi.nlm.nih.gov/pubmed/19540336)</t>
  </si>
  <si>
    <t>NC_000022.10:g.19931407T&gt;C</t>
  </si>
  <si>
    <t>NC_000022.10:g.19948337T&gt;C</t>
  </si>
  <si>
    <t>NC_000022.10:g.</t>
  </si>
  <si>
    <t>[19948337T&gt;C]</t>
  </si>
  <si>
    <t>[19948337=]</t>
  </si>
  <si>
    <t>NC_000022.10:g.19937533T&gt;G</t>
  </si>
  <si>
    <t>[19937533T&gt;G]</t>
  </si>
  <si>
    <t>[19931407T&gt;C]</t>
  </si>
  <si>
    <t>[19931407=]</t>
  </si>
  <si>
    <t>[19950235C&gt;T]</t>
  </si>
  <si>
    <t>[19950235=]</t>
  </si>
  <si>
    <t>NC_000022.10:g.19951271G&gt;A</t>
  </si>
  <si>
    <t>[19951271G&gt;A]</t>
  </si>
  <si>
    <t>[19951271=]</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</si>
  <si>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[clozapine](https://www.ncbi.nlm.nih.gov/pubmed/24448899?dopt=Abstract) 
    - [Intermediate response to antidepressant paroxetine](https://www.ncbi.nlm.nih.gov/pubmed/18989660?dopt=Abstract) 
    - [Increased susceptibility for cocaine dependence](https://www.ncbi.nlm.nih.gov/pubmed/18704099?dopt=Abstract) 
    - Greater risk for [nicotine dependence](https://www.ncbi.nlm.nih.gov/pubmed/16395295?dopt=Abstract) in Asian males and African American females 
    - [1.3X increased risk of breast cancer](https://www.ncbi.nlm.nih.gov/pubmed/18194538?dopt=Abstract) 
    # What should I do about this?
    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</si>
  <si>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The double adenine (A) missense variant reduces enzyme activity by 25% and greatly increases dopamine levels. [78% of people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[ME/CFS patients](https://www.ncbi.nlm.nih.gov/pubmed/21059181) and has many effects.
    -  After exercise, the COMT gene showed [more activation](https://www.ncbi.nlm.nih.gov/pubmed/22110941) than healthy patients, [causing muscle fatigue and pain](https://www.ncbi.nlm.nih.gov/pubmed/19647494) 
    -  CFS patients have [higher cortisol levels, enhanced IgE, diminished IgG3 levels, and an increased susceptibility to respiratory tract infections](https://www.ncbi.nlm.nih.gov/pubmed/26272340) 
    - Increased postural orthostatic tachycardia syndrome ([POTS](https://www.ncbi.nlm.nih.gov/pubmed/21059181)) during tilt table testing 
    - Daytime [sleepiness](https://www.ncbi.nlm.nih.gov/pubmed/23728717?dopt=Abstract) 
    - Increased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dependence](https://www.ncbi.nlm.nih.gov/pubmed/18704099?dopt=Abstract) 
    - Greatest chance of [nicotine dependence](https://www.ncbi.nlm.nih.gov/pubmed/16395295?dopt=Abstract) in Asian males and African American females 
    # What should I do about this?
    - Avoid all stress and moderate exercise to improve pain sensitivity, muscle fatigue and thinking. Consider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antibiotics](http://www.piduk.org/static/media/up/IgG%20subclass%20Patient%20Information%20Sheet.pdf) may prevent development of infections. 
    - Check [cortisol levels](https://www.ncbi.nlm.nih.gov/pubmed/26272340). If elevated, consider [magnesium](https://www.ncbi.nlm.nih.gov/pubmed/18500945), [omega-3 fish oil](https://www.ncbi.nlm.nih.gov/pubmed/12909818), [massage](https://www.ncbi.nlm.nih.gov/pubmed/16162447) therapy,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</si>
  <si>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COMT’s estrogen detoxification function is slightly impaired, causing higher than normal levels of estrogen in the body. This may increase the risk for [endometrial](https://www.ncbi.nlm.nih.gov/pubmed/18324659?dopt=Abstract) and [breast cancer](https://www.ncbi.nlm.nih.gov/pubmed/18194538?dopt=Abstract). Slightly high [estrogen levels](https://medlineplus.gov/druginfo/meds/a682922.html) may increase the risk for heart problems and memory problems, and [symptoms](https://medlineplus.gov/druginfo/meds/a682922.html) may include headaches, dizziness, and problems with thinking or memory.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ensure you maintain normal estrogen levels. 
    - Drinking green tea may [reduce risk of breast cancer.](https://www.ncbi.nlm.nih.gov/pubmed/19074205?dopt=Abstract) 
    Medications related to COMT include: [Clonidine, BIA, Diethylstilbestrol, Dobutamine, Dopamine, Entacapone, Methyldopa, Micafungin, Nialamide, S-Adenosylmethionine, Testosterone Propionate, and Tolcapone.](http://www.uniprot.org/uniprot/P21964#pathology_and_biotech)</t>
  </si>
  <si>
    <t xml:space="preserve">    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[Alcohol-dependency](https://www.ncbi.nlm.nih.gov/pubmed/22208661?dopt=Abstract) 
    - [Greater risk of psychotic symptoms and schizophrenia when using cannabis](https://www.ncbi.nlm.nih.gov/pubmed/22208661?dopt=Abstract) 
    - [Poor response to the antidepressant paroxetine](https://www.ncbi.nlm.nih.gov/pubmed/18989660?dopt=Abstract) 
    # What should I do about this?
    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</si>
  <si>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</si>
  <si>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t>
  </si>
  <si>
    <t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t>
  </si>
  <si>
    <t xml:space="preserve">    This variant is associated with an increased risk of [ME/CFS](https://www.ncbi.nlm.nih.gov/pubmed/19540336)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t>
  </si>
  <si>
    <t xml:space="preserve">    This variant is associated with an increased risk of [ME/CFS](https://www.ncbi.nlm.nih.gov/pubmed/19540336)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t>
  </si>
  <si>
    <t>[19937533=]</t>
  </si>
  <si>
    <t>CRHR1</t>
  </si>
  <si>
    <t xml:space="preserve">    [CRHR1](http://www.uniprot.org/uniprot/P34998) encodes a protein that binds to a neurotransmitter for hormones. These hormones are necessary for normal embryonic development and act in the hypothalamic-pituitary-adrenal (HPA) pathway, controlling [stress, reproduction, immune response, and obesity](https://www.ncbi.nlm.nih.gov/gene/1394). CRHR1 also helps activate enzymes to help transfer the effects of hormones into cells and activate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 </t>
  </si>
  <si>
    <t>Corticotropin-releasing factor receptor 1</t>
  </si>
  <si>
    <t>NC_000017.10:g.43697710_43913194</t>
  </si>
  <si>
    <t>A45815234G</t>
  </si>
  <si>
    <t>[A45815234G](https://www.ncbi.nlm.nih.gov/projects/SNP/snp_ref.cgi?rs=242940)</t>
  </si>
  <si>
    <t>G45825631A</t>
  </si>
  <si>
    <t>[G45825631A](https://www.ncbi.nlm.nih.gov/projects/SNP/snp_ref.cgi?rs=1396862)</t>
  </si>
  <si>
    <t>NC_000017.10:g.43902997G&gt;A</t>
  </si>
  <si>
    <t>[43902997G&gt;A]</t>
  </si>
  <si>
    <t>[43902997=]</t>
  </si>
  <si>
    <t>NC_000017.10:g.43892600A&gt;G</t>
  </si>
  <si>
    <t>[43892600A&gt;G]</t>
  </si>
  <si>
    <t>[43892600=]</t>
  </si>
  <si>
    <t>rs242940</t>
  </si>
  <si>
    <t>rs1396862</t>
  </si>
  <si>
    <t>symptoms fatigue D005221; depression D003863; stress D040701; orthostatic intolerance (POTS) D054971; pain D010146; inflamation D007249</t>
  </si>
  <si>
    <t>mesh_D005221 mesh_D003863 mesh_D040701 mesh_D054971 mesh_D010146 mesh_D007249</t>
  </si>
  <si>
    <t xml:space="preserve"> brain; female tissue</t>
  </si>
  <si>
    <t>mesh_D001921 mesh_D005836</t>
  </si>
  <si>
    <t>Diseases depression D003866; ME/CFS D015673; hypothyroid D007037; Parkinson Disease D010300;</t>
  </si>
  <si>
    <t>mesh_D003866 mesh_D015673 mesh_D007037 mesh_D010300</t>
  </si>
  <si>
    <t xml:space="preserve">    Your variant may cause a change in the hypothalamic-pituitary-adrenal (HPA) pathway and is mildly associated with [increased severity of ME/CFS](https://www.ncbi.nlm.nih.gov/pubmed/18986552).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t>
  </si>
  <si>
    <t xml:space="preserve">    Your variant is one of the [top 10 genetic markers](https://www.ncbi.nlm.nih.gov/pubmed/26063326) with the highest chance of being associated with ME/CFS and may affect the hypothalamic-pituitary-adrenal (HPA).  It may also act alongside another variant associated with [Parkinson’s disease](https://www.ncbi.nlm.nih.gov/pubmed/20070850/).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t>
  </si>
  <si>
    <t xml:space="preserve">    There is currently no data on the interaction between these variants.  However, some information exists on the individual variants. 
    # What is the effect of these variants?
    Your variants are associated with increased incidence and severity of [ME](https://www.ncbi.nlm.nih.gov/pubmed/26063326)/[CFS](https://www.ncbi.nlm.nih.gov/pubmed/18986552).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t>
  </si>
  <si>
    <t>GRIK2</t>
  </si>
  <si>
    <t>glutamate ionotropic receptor kainate type subunit 2</t>
  </si>
  <si>
    <t>NC_000006.11:g.101841584_102517958</t>
  </si>
  <si>
    <t>NC_000006.11:g.101966454A&gt;G</t>
  </si>
  <si>
    <t>NC_000006.11:g.</t>
  </si>
  <si>
    <t>[101966454A&gt;G]</t>
  </si>
  <si>
    <t>[101966454A&gt;G=]</t>
  </si>
  <si>
    <t>A101518578G</t>
  </si>
  <si>
    <t>[A101518578G](https://www.ncbi.nlm.nih.gov/projects/SNP/snp_ref.cgi?rs=2247215)</t>
  </si>
  <si>
    <t>rs2247215</t>
  </si>
  <si>
    <t>CHRNA2</t>
  </si>
  <si>
    <t>Cholinergic Receptor Nicotinic Alpha 2 Subunit</t>
  </si>
  <si>
    <t>[CHRNA2](http://www.uniprot.org/uniprot/Q15822)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t>
  </si>
  <si>
    <t>NC_000008.11:g.27459761_27479296</t>
  </si>
  <si>
    <t>C65T</t>
  </si>
  <si>
    <t>[C65T (p.Thr22Ile)](https://www.ncbi.nlm.nih.gov/clinvar/variation/128740/)</t>
  </si>
  <si>
    <t>A27468610G</t>
  </si>
  <si>
    <t>[A27468610G](https://www.ncbi.nlm.nih.gov/projects/SNP/snp_ref.cgi?rs=2741343)</t>
  </si>
  <si>
    <t>A373G</t>
  </si>
  <si>
    <t>[A373G (p.Thr125Ala)](https://www.ncbi.nlm.nih.gov/clinvar/variation/128739/)</t>
  </si>
  <si>
    <t>T836A</t>
  </si>
  <si>
    <t>[T836A (p.Ile279Asn)](https://www.ncbi.nlm.nih.gov/clinvar/variation/17504/)</t>
  </si>
  <si>
    <t>T889A</t>
  </si>
  <si>
    <t>[889A&gt;T (p.Ile297Phe)](https://www.ncbi.nlm.nih.gov/clinvar/variation/522582/)</t>
  </si>
  <si>
    <t>epilepsy  D004827; febrile seizures D003294; ME/CFS D015673; nicotine dependency D014029;</t>
  </si>
  <si>
    <t>male tissue; brain;</t>
  </si>
  <si>
    <t>male-tissue brain</t>
  </si>
  <si>
    <t>anxiety D001007 inflammation D007249</t>
  </si>
  <si>
    <t>anxiety inflammation sleep-problems</t>
  </si>
  <si>
    <t>epilepsy seizures ME-CFS nicotine-dependency</t>
  </si>
  <si>
    <t>NC_000008.10:g.27328511G&gt;A</t>
  </si>
  <si>
    <t>NC_000008.10:g.</t>
  </si>
  <si>
    <t>[27328511G&gt;A]</t>
  </si>
  <si>
    <t>[27328511=]</t>
  </si>
  <si>
    <t>NC_000008.10:g.27326127A&gt;G</t>
  </si>
  <si>
    <t>[27326127A&gt;G]</t>
  </si>
  <si>
    <t>[27326127=]</t>
  </si>
  <si>
    <t>NC_000008.10:g.27324822T&gt;C</t>
  </si>
  <si>
    <t>[27324822T&gt;C]</t>
  </si>
  <si>
    <t>[27324822=]</t>
  </si>
  <si>
    <t>NC_000008.10:g.27321124A&gt;T</t>
  </si>
  <si>
    <t>[27321124A&gt;T]</t>
  </si>
  <si>
    <t>[27321124=]</t>
  </si>
  <si>
    <t>NC_000006.11:g.12727715A&gt;G</t>
  </si>
  <si>
    <t>[12727715A&gt;G]</t>
  </si>
  <si>
    <t>[12727715=]</t>
  </si>
  <si>
    <t>&lt;AnalysisPanel&gt;</t>
  </si>
  <si>
    <t>&lt;/AnalysisPanel&gt;</t>
  </si>
  <si>
    <t>rs3913434 CC</t>
  </si>
  <si>
    <t>AA</t>
  </si>
  <si>
    <t>rs6691840 TT</t>
  </si>
  <si>
    <t>rs270838 CC</t>
  </si>
  <si>
    <t>Your variant is associated with nicotine dependency, especially in East Asians. Your nicotine receptors are malformed and less sensitive to nicotine, which may lead to addiction. For ME/CFS patients, [previous and current smoking](https://www.ncbi.nlm.nih.gov/pubmed/25811400) are associated with a [3X higher risk of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including [abdominal pain, stress, fainting, depression, muscle weakness, muscle twitching, headache, and dizziness](https://medlineplus.gov/ency/article/002510.htm), which may be worsened by smoking.
    # What should I do about this?
    People should not smoke. If you do smoke, be aware of your risk for dependency or increased difficulty of quitting smoking.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t>
  </si>
  <si>
    <t>Your homozygous variant may affect your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A27468610G (C;C) variant decreases gene expression in both the DNA and RNA, causing significant reduction in NKC activity. This variant was [11X more common in CFS patients at 91.7% compared to 8.3% of the normal population.](https://www.ncbi.nlm.nih.gov/pubmed/27099524)
    # What should I do about this?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t>
  </si>
  <si>
    <t>Your homozygous variant may affect your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A373G (C;C) variant decreases gene expression in both the DNA and RNA, causing significant reduction in NKC activity. This variant was [11X more common in CFS patients at 91.7% compared to 8.3% of the normal population.](https://www.ncbi.nlm.nih.gov/pubmed/27099524)
    # What should I do about this?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t>
  </si>
  <si>
    <t>Epilepsy is a brain disorder that causes people to have recurring seizures. The brain sends wrong signals and may cause uncontrollable muscle spasms or fainting. Your homozygous [T836A (p.Ile279Asn) (A;A)](https://www.ncbi.nlm.nih.gov/clinvar/variation/17504/)
variant is associated with nocturnal frontal lobe epilepsy, which means epileptic attacks caused by sleep. These attacks may include feelings of fear, tongue movements, and sleepwalking, which closely resembles nightmares and sleep walking, and may mimic sleep issues associated with ME/CFS.
# What should I do about this?
Doctors use brain scans and other tests to diagnose epilepsy. It is important to start treatment right away. There is no cure for epilepsy, but it can be controlled by medication.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
Other treatments may include surgery, Vagus Nerve Stimulation, or special diets.  Lifestyle changes include:
* Recognize seizure triggers (such as stress), and lower your risk
* Keep a record of your seizures to help identify patterns
* Get enough sleep
* Maintain a strong social support network
ME/CFS patients should consider a brain scan or sleep study to rule out if nocturnal epilepsy is causing sleep issues.</t>
  </si>
  <si>
    <t>Epilepsy is a brain disorder that causes people to have recurring seizures. The brain sends wrong signals and may cause uncontrollable muscle spasms or fainting. Your homozygous A889T (p.Ile297Phe) variant is associated with nocturnal frontal lobe epilepsy, which means epileptic attacks caused by sleep. These attacks may include feelings of fear, tongue movements, and sleepwalking, which closely resembles nightmares and sleep walking, and may mimic sleep issues associated with ME/CFS.
# What should I do about this?
Doctors use brain scans and other tests to diagnose epilepsy. It is important to start treatment right away. There is no cure for epilepsy, but it can be controlled by medication. For your specific variant, Oxcarbazepine may be an effective medication.
Other treatments may include surgery, Vagus Nerve Stimulation, or special diets.  Lifestyle changes include:
* Recognize seizure triggers (such as stress), and lower your risk
* Keep a record of your seizures to help identify patterns
* Get enough sleep
* Maintain a strong social support network
ME/CFS patients should consider a brain scan or sleep study to rule out if nocturnal epilepsy is causing sleep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</si>
</sst>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0"/>
      <color rgb="FF24292E"/>
      <name val="Consolas"/>
      <family val="3"/>
    </font>
    <font>
      <sz val="12"/>
      <color theme="1"/>
      <name val="Calibri"/>
      <family val="2"/>
    </font>
    <font>
      <sz val="12"/>
      <color rgb="FF24292E"/>
      <name val="Segoe UI"/>
      <family val="2"/>
    </font>
    <font>
      <sz val="10"/>
      <color rgb="FF000000"/>
      <name val="Arial"/>
      <family val="2"/>
    </font>
    <font>
      <sz val="10"/>
      <color theme="1"/>
      <name val="Arial"/>
      <family val="2"/>
    </font>
    <font>
      <b/>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1"/>
      <color rgb="FF000000"/>
      <name val="Calibri"/>
      <family val="2"/>
    </font>
    <font>
      <sz val="12"/>
      <color rgb="FF000000"/>
      <name val="Calibri"/>
      <family val="2"/>
    </font>
    <font>
      <sz val="10"/>
      <color rgb="FF000000"/>
      <name val="Courier New"/>
      <family val="3"/>
    </font>
    <font>
      <b/>
      <sz val="10"/>
      <color rgb="FF000000"/>
      <name val="Arial"/>
      <family val="2"/>
    </font>
    <font>
      <sz val="11"/>
      <color rgb="FF000000"/>
      <name val="Arial"/>
      <family val="2"/>
    </font>
    <font>
      <sz val="12"/>
      <color rgb="FF24292E"/>
      <name val="Arial"/>
      <family val="2"/>
    </font>
    <font>
      <sz val="10"/>
      <color rgb="FF000000"/>
      <name val="Arial Unicode MS"/>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0">
    <xf numFmtId="0" fontId="0" fillId="0" borderId="0" xfId="0"/>
    <xf numFmtId="0" fontId="1" fillId="0" borderId="0" xfId="0" applyFont="1" applyAlignment="1">
      <alignment horizontal="left" vertical="center" indent="1"/>
    </xf>
    <xf numFmtId="0" fontId="0" fillId="0" borderId="0" xfId="0" applyAlignment="1">
      <alignment horizontal="left"/>
    </xf>
    <xf numFmtId="0" fontId="2" fillId="0" borderId="0" xfId="0" applyFont="1" applyAlignment="1"/>
    <xf numFmtId="0" fontId="3" fillId="0" borderId="0" xfId="0" applyFont="1" applyAlignment="1">
      <alignment horizontal="left"/>
    </xf>
    <xf numFmtId="0" fontId="0" fillId="0" borderId="0" xfId="0" applyAlignment="1">
      <alignment horizontal="left" vertical="center" indent="1"/>
    </xf>
    <xf numFmtId="0" fontId="4" fillId="0" borderId="0" xfId="0" applyFont="1"/>
    <xf numFmtId="0" fontId="5" fillId="0" borderId="0" xfId="0" applyFont="1"/>
    <xf numFmtId="0" fontId="6" fillId="0" borderId="0" xfId="0" applyFont="1" applyAlignment="1"/>
    <xf numFmtId="0" fontId="6" fillId="0" borderId="0" xfId="0" applyFont="1" applyAlignment="1">
      <alignment horizontal="left"/>
    </xf>
    <xf numFmtId="0" fontId="2" fillId="0" borderId="0" xfId="0" applyFont="1" applyFill="1" applyAlignment="1"/>
    <xf numFmtId="0" fontId="0" fillId="0" borderId="0" xfId="0" applyFont="1" applyFill="1"/>
    <xf numFmtId="0" fontId="7" fillId="0" borderId="0" xfId="0" applyFont="1"/>
    <xf numFmtId="0" fontId="8" fillId="0" borderId="0" xfId="0" applyFont="1"/>
    <xf numFmtId="0" fontId="9" fillId="0" borderId="0" xfId="0" applyFont="1" applyAlignment="1">
      <alignment horizontal="left" vertical="center"/>
    </xf>
    <xf numFmtId="0" fontId="2" fillId="0" borderId="0" xfId="0" applyFont="1" applyAlignment="1">
      <alignment horizontal="left"/>
    </xf>
    <xf numFmtId="0" fontId="7" fillId="0" borderId="0" xfId="0" applyFont="1" applyAlignment="1">
      <alignment vertical="center" wrapText="1"/>
    </xf>
    <xf numFmtId="0" fontId="0" fillId="0" borderId="0" xfId="0" applyFont="1"/>
    <xf numFmtId="0" fontId="2" fillId="0" borderId="0" xfId="0" applyFont="1" applyAlignment="1">
      <alignment wrapText="1"/>
    </xf>
    <xf numFmtId="0" fontId="9"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4" fillId="0" borderId="0" xfId="0" applyFont="1" applyAlignment="1"/>
    <xf numFmtId="0" fontId="10" fillId="0" borderId="0" xfId="0" applyFont="1"/>
    <xf numFmtId="0" fontId="11" fillId="0" borderId="1" xfId="0" applyFont="1" applyBorder="1" applyAlignment="1"/>
    <xf numFmtId="0" fontId="12" fillId="2" borderId="0" xfId="0" applyFont="1" applyFill="1" applyAlignment="1"/>
    <xf numFmtId="0" fontId="2" fillId="0" borderId="0" xfId="0" applyFont="1" applyAlignment="1">
      <alignment horizontal="left" vertical="center"/>
    </xf>
    <xf numFmtId="0" fontId="5" fillId="0" borderId="0" xfId="0" applyFont="1" applyAlignment="1"/>
    <xf numFmtId="0" fontId="2" fillId="2" borderId="0" xfId="0" applyFont="1" applyFill="1" applyAlignment="1">
      <alignment horizontal="left" vertical="center"/>
    </xf>
    <xf numFmtId="0" fontId="12" fillId="0" borderId="0" xfId="0" applyFont="1" applyAlignment="1">
      <alignment horizontal="left"/>
    </xf>
    <xf numFmtId="0" fontId="2" fillId="0" borderId="0" xfId="0" applyFont="1" applyAlignment="1">
      <alignment vertical="center"/>
    </xf>
    <xf numFmtId="0" fontId="13" fillId="0" borderId="0" xfId="0" applyFont="1" applyAlignment="1">
      <alignment vertical="center"/>
    </xf>
    <xf numFmtId="0" fontId="2" fillId="0" borderId="0" xfId="0" applyFont="1" applyFill="1" applyAlignment="1">
      <alignment horizontal="left" vertical="center"/>
    </xf>
    <xf numFmtId="0" fontId="2" fillId="0" borderId="0" xfId="0" applyFont="1" applyFill="1" applyAlignment="1">
      <alignment horizontal="left"/>
    </xf>
    <xf numFmtId="0" fontId="13" fillId="0" borderId="0" xfId="0" applyFont="1" applyFill="1" applyAlignment="1">
      <alignment vertical="center"/>
    </xf>
    <xf numFmtId="0" fontId="13" fillId="2" borderId="0" xfId="0" applyFont="1" applyFill="1" applyAlignment="1">
      <alignment vertical="center"/>
    </xf>
    <xf numFmtId="0" fontId="2" fillId="0" borderId="0" xfId="0" applyFont="1" applyAlignment="1">
      <alignment horizontal="left" wrapText="1"/>
    </xf>
    <xf numFmtId="0" fontId="0" fillId="0" borderId="0" xfId="0" applyFill="1"/>
    <xf numFmtId="0" fontId="2" fillId="0" borderId="0" xfId="0" applyFont="1" applyFill="1" applyAlignment="1">
      <alignment wrapText="1"/>
    </xf>
    <xf numFmtId="0" fontId="14" fillId="0" borderId="0" xfId="0" applyFont="1"/>
    <xf numFmtId="0" fontId="15" fillId="0" borderId="0" xfId="0" applyFont="1"/>
    <xf numFmtId="0" fontId="4" fillId="0" borderId="0" xfId="0" applyFont="1" applyAlignment="1">
      <alignment vertical="center" wrapText="1"/>
    </xf>
    <xf numFmtId="0" fontId="5" fillId="0" borderId="0" xfId="0" applyFont="1" applyAlignment="1">
      <alignment wrapText="1"/>
    </xf>
    <xf numFmtId="0" fontId="0" fillId="0" borderId="0" xfId="0" applyAlignment="1">
      <alignment horizontal="left" wrapText="1"/>
    </xf>
    <xf numFmtId="0" fontId="12" fillId="0" borderId="0" xfId="0" applyFont="1" applyAlignment="1">
      <alignment horizontal="left" wrapText="1"/>
    </xf>
    <xf numFmtId="0" fontId="4" fillId="0" borderId="1" xfId="0" applyFont="1" applyBorder="1" applyAlignment="1">
      <alignment wrapText="1"/>
    </xf>
    <xf numFmtId="0" fontId="11" fillId="0" borderId="1" xfId="0" applyFont="1" applyBorder="1" applyAlignment="1">
      <alignment wrapText="1"/>
    </xf>
    <xf numFmtId="0" fontId="16" fillId="0" borderId="0" xfId="0" applyFont="1"/>
    <xf numFmtId="0" fontId="0" fillId="0" borderId="0" xfId="0" applyAlignment="1">
      <alignment vertical="center"/>
    </xf>
    <xf numFmtId="0" fontId="1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1F1-CA0D-4BC2-89E6-247F284FC918}">
  <dimension ref="A1:AJ2519"/>
  <sheetViews>
    <sheetView topLeftCell="E54" zoomScaleNormal="100" workbookViewId="0">
      <selection activeCell="A48" sqref="A48:M68"/>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t="s">
        <v>85</v>
      </c>
      <c r="C2" s="3" t="str">
        <f>CONCATENATE("&lt;",A2," ",B2," /&gt;")</f>
        <v>&lt;Gene_Name GRIK3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86</v>
      </c>
      <c r="C4" s="3" t="str">
        <f>CONCATENATE("&lt;",A4," ",B4," /&gt;")</f>
        <v>&lt;GeneName_full Glutamate receptor ionotropic, kainate 3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GRIK3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87</v>
      </c>
      <c r="C8" s="3" t="str">
        <f>CONCATENATE(B8," This gene is located on chromosome ",B9,".")</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I8" s="17"/>
      <c r="X8" s="18"/>
      <c r="Y8" s="16"/>
      <c r="Z8" s="16"/>
      <c r="AA8" s="16"/>
      <c r="AC8" s="16"/>
    </row>
    <row r="9" spans="1:36">
      <c r="A9" s="14" t="s">
        <v>6</v>
      </c>
      <c r="B9" s="2">
        <v>1</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t="s">
        <v>85</v>
      </c>
      <c r="C12" s="3" t="str">
        <f>CONCATENATE("&lt;GeneMap name= ",CHAR(34),B12,CHAR(34)," interval=",CHAR(34),B13,"=",CHAR(34),"&gt;")</f>
        <v>&lt;GeneMap name= "GRIK3" interval="NC000001_1.11:g.1111_9999="&gt;</v>
      </c>
      <c r="J12" s="23"/>
      <c r="K12" s="23"/>
      <c r="L12" s="23"/>
      <c r="M12" s="23"/>
      <c r="N12" s="23"/>
      <c r="O12" s="24"/>
      <c r="P12" s="25"/>
      <c r="Q12" s="24"/>
      <c r="R12" s="24"/>
      <c r="S12" s="25"/>
      <c r="T12" s="25"/>
      <c r="U12" s="24"/>
      <c r="V12" s="24"/>
      <c r="W12" s="25"/>
      <c r="X12" s="25"/>
      <c r="Y12" s="25"/>
      <c r="Z12" s="25"/>
    </row>
    <row r="13" spans="1:36">
      <c r="A13" s="14" t="s">
        <v>9</v>
      </c>
      <c r="B13" t="s">
        <v>88</v>
      </c>
      <c r="J13" s="15"/>
      <c r="K13" s="15"/>
      <c r="L13" s="15"/>
      <c r="M13" s="15"/>
      <c r="N13" s="15"/>
      <c r="O13" s="15"/>
      <c r="P13" s="15"/>
      <c r="Q13" s="15"/>
      <c r="R13" s="15"/>
      <c r="S13" s="15"/>
      <c r="T13" s="15"/>
      <c r="U13" s="15"/>
      <c r="V13" s="15"/>
      <c r="W13" s="15"/>
      <c r="X13" s="15"/>
      <c r="Y13" s="15"/>
      <c r="Z13" s="15"/>
    </row>
    <row r="14" spans="1:36">
      <c r="A14" s="14" t="s">
        <v>11</v>
      </c>
      <c r="B14" t="s">
        <v>89</v>
      </c>
      <c r="C14" s="3" t="str">
        <f>CONCATENATE("# What are some common variants of ",B12,"?")</f>
        <v># What are some common variants of GRIK3?</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",B31,", and ",B40,".")</f>
        <v>A variant is a change at a specific point in the gene from the expected nucleotide sequence to another, resulting in incorrect protein function. There are three common variants in GRIK3: [T928G](https://www.ncbi.nlm.nih.gov/projects/SNP/snp_ref.cgi?rs=6691840)[(Ser310Ala)](https://www.ncbi.nlm.nih.gov/pubmed/11986986), [C36983994T](https://www.ncbi.nlm.nih.gov/projects/SNP/snp_ref.cgi?rs=3913434), and [A7783504C](https://www.ncbi.nlm.nih.gov/projects/SNP/snp_ref.cgi?rs=270838).</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6" t="s">
        <v>96</v>
      </c>
      <c r="C18" s="3" t="str">
        <f>CONCATENATE("&lt;# ",B19," #&gt;")</f>
        <v>&lt;# T928G #&gt;</v>
      </c>
      <c r="J18" s="15"/>
      <c r="K18" s="15"/>
      <c r="L18" s="15"/>
      <c r="M18" s="15"/>
      <c r="N18" s="15"/>
      <c r="O18" s="15"/>
      <c r="P18" s="15"/>
      <c r="Q18" s="15"/>
      <c r="R18" s="15"/>
      <c r="S18" s="15"/>
      <c r="T18" s="15"/>
      <c r="U18" s="15"/>
      <c r="V18" s="15"/>
      <c r="W18" s="15"/>
      <c r="X18" s="15"/>
      <c r="Y18" s="15"/>
      <c r="Z18" s="15"/>
    </row>
    <row r="19" spans="1:26">
      <c r="A19" s="26" t="s">
        <v>15</v>
      </c>
      <c r="B19" t="s">
        <v>90</v>
      </c>
      <c r="J19" s="6"/>
      <c r="K19" s="15"/>
      <c r="L19" s="15"/>
      <c r="M19" s="15"/>
      <c r="N19" s="15"/>
      <c r="O19" s="15"/>
      <c r="P19" s="15"/>
      <c r="Q19" s="15"/>
      <c r="R19" s="15"/>
      <c r="S19" s="15"/>
      <c r="T19" s="15"/>
      <c r="U19" s="15"/>
      <c r="V19" s="15"/>
      <c r="W19" s="15"/>
      <c r="X19" s="15"/>
      <c r="Y19" s="15"/>
      <c r="Z19" s="15"/>
    </row>
    <row r="20" spans="1:26">
      <c r="A20" s="26" t="s">
        <v>17</v>
      </c>
      <c r="B20" t="s">
        <v>20</v>
      </c>
      <c r="C20" s="3" t="str">
        <f>CONCATENATE("  &lt;Variant hgvs=",CHAR(34),B18,CHAR(34)," name=",CHAR(34),B19,CHAR(34),"&gt; ")</f>
        <v xml:space="preserve">  &lt;Variant hgvs="NC_000001.10:g.37325477A&gt;G" name="T928G"&gt; </v>
      </c>
      <c r="J20" s="2"/>
      <c r="K20" s="15"/>
      <c r="L20" s="15"/>
      <c r="M20" s="15"/>
      <c r="N20" s="15"/>
      <c r="O20" s="15"/>
      <c r="P20" s="15"/>
      <c r="Q20" s="15"/>
      <c r="R20" s="15"/>
      <c r="S20" s="15"/>
      <c r="T20" s="15"/>
      <c r="U20" s="15"/>
      <c r="V20" s="15"/>
      <c r="W20" s="15"/>
      <c r="X20" s="15"/>
      <c r="Y20" s="15"/>
      <c r="Z20" s="15"/>
    </row>
    <row r="21" spans="1:26">
      <c r="A21" s="26" t="s">
        <v>19</v>
      </c>
      <c r="B21" t="s">
        <v>44</v>
      </c>
      <c r="H21" s="15"/>
      <c r="I21" s="15"/>
      <c r="J21" s="2"/>
      <c r="K21" s="15"/>
      <c r="L21" s="15"/>
      <c r="M21" s="15"/>
      <c r="N21" s="15"/>
      <c r="O21" s="15"/>
      <c r="P21" s="15"/>
      <c r="Q21" s="15"/>
      <c r="R21" s="15"/>
      <c r="S21" s="15"/>
      <c r="T21" s="15"/>
      <c r="U21" s="15"/>
      <c r="V21" s="15"/>
      <c r="W21" s="15"/>
      <c r="X21" s="15"/>
      <c r="Y21" s="15"/>
      <c r="Z21" s="15"/>
    </row>
    <row r="22" spans="1:26">
      <c r="A22" s="26" t="s">
        <v>21</v>
      </c>
      <c r="B22" t="s">
        <v>91</v>
      </c>
      <c r="C22" s="3" t="str">
        <f>CONCATENATE("    Instead of ",B20,", there is a ",B21," nucleotide.")</f>
        <v xml:space="preserve">    Instead of thymine (T), there is a guanine (G) nucleotide.</v>
      </c>
      <c r="H22" s="15"/>
      <c r="I22" s="15"/>
      <c r="J22" s="7"/>
      <c r="K22" s="15"/>
      <c r="L22" s="15"/>
      <c r="M22" s="15"/>
      <c r="N22" s="15"/>
      <c r="O22" s="15"/>
      <c r="P22" s="15"/>
      <c r="Q22" s="15"/>
      <c r="R22" s="15"/>
      <c r="S22" s="15"/>
      <c r="T22" s="15"/>
      <c r="U22" s="15"/>
      <c r="V22" s="15"/>
      <c r="W22" s="15"/>
      <c r="X22" s="15"/>
      <c r="Y22" s="15"/>
      <c r="Z22" s="15"/>
    </row>
    <row r="23" spans="1:26">
      <c r="A23" s="3" t="s">
        <v>64</v>
      </c>
      <c r="B23" s="3" t="s">
        <v>65</v>
      </c>
      <c r="H23" s="2"/>
      <c r="I23" s="2"/>
      <c r="J23" s="15"/>
      <c r="K23" s="15"/>
      <c r="L23" s="15"/>
      <c r="M23" s="15"/>
      <c r="N23" s="15"/>
      <c r="O23" s="15"/>
      <c r="P23" s="15"/>
      <c r="Q23" s="15"/>
      <c r="R23" s="15"/>
      <c r="S23" s="15"/>
      <c r="T23" s="15"/>
      <c r="U23" s="15"/>
      <c r="V23" s="15"/>
      <c r="W23" s="15"/>
      <c r="X23" s="15"/>
      <c r="Y23" s="15"/>
      <c r="Z23" s="15"/>
    </row>
    <row r="24" spans="1:26">
      <c r="A24" s="3" t="s">
        <v>51</v>
      </c>
      <c r="B24" s="7" t="s">
        <v>97</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98</v>
      </c>
      <c r="J25" s="6"/>
    </row>
    <row r="26" spans="1:26">
      <c r="A26" s="26"/>
      <c r="B26" s="7"/>
      <c r="J26" s="6"/>
    </row>
    <row r="27" spans="1:26">
      <c r="A27" s="14" t="s">
        <v>14</v>
      </c>
      <c r="B27" s="6" t="s">
        <v>100</v>
      </c>
      <c r="C27" s="3" t="str">
        <f>CONCATENATE("&lt;# ",B28," #&gt;")</f>
        <v>&lt;# C36983994T #&gt;</v>
      </c>
      <c r="J27" s="6"/>
    </row>
    <row r="28" spans="1:26">
      <c r="A28" s="26" t="s">
        <v>15</v>
      </c>
      <c r="B28" t="s">
        <v>92</v>
      </c>
      <c r="J28" s="2"/>
    </row>
    <row r="29" spans="1:26">
      <c r="A29" s="26" t="s">
        <v>17</v>
      </c>
      <c r="B29" t="str">
        <f>"cytosine (C)"</f>
        <v>cytosine (C)</v>
      </c>
      <c r="C29" s="3" t="str">
        <f>CONCATENATE("  &lt;Variant hgvs=",CHAR(34),B27,CHAR(34)," name=",CHAR(34),B28,CHAR(34),"&gt; ")</f>
        <v xml:space="preserve">  &lt;Variant hgvs="NC_000001.10:g.37449595C&gt;T" name="C36983994T"&gt; </v>
      </c>
      <c r="J29" s="2"/>
    </row>
    <row r="30" spans="1:26">
      <c r="A30" s="26" t="s">
        <v>19</v>
      </c>
      <c r="B30" t="s">
        <v>20</v>
      </c>
      <c r="J30" s="7"/>
    </row>
    <row r="31" spans="1:26">
      <c r="A31" s="26" t="s">
        <v>21</v>
      </c>
      <c r="B31" t="s">
        <v>93</v>
      </c>
      <c r="C31" s="3" t="str">
        <f>CONCATENATE("    Instead of ",B29,", there is a ",B30," nucleotide.")</f>
        <v xml:space="preserve">    Instead of cytosine (C), there is a thymine (T) nucleotide.</v>
      </c>
    </row>
    <row r="32" spans="1:26">
      <c r="A32" s="3" t="s">
        <v>64</v>
      </c>
      <c r="B32" s="3" t="s">
        <v>65</v>
      </c>
      <c r="J32" s="7"/>
    </row>
    <row r="33" spans="1:13">
      <c r="A33" s="3" t="s">
        <v>51</v>
      </c>
      <c r="B33" s="3" t="s">
        <v>101</v>
      </c>
      <c r="C33" s="3" t="str">
        <f>"  &lt;/Variant&gt;"</f>
        <v xml:space="preserve">  &lt;/Variant&gt;</v>
      </c>
      <c r="J33" s="7"/>
    </row>
    <row r="34" spans="1:13">
      <c r="A34" s="26" t="s">
        <v>52</v>
      </c>
      <c r="B34" s="7" t="s">
        <v>102</v>
      </c>
    </row>
    <row r="35" spans="1:13">
      <c r="B35" s="3"/>
    </row>
    <row r="36" spans="1:13">
      <c r="A36" s="14" t="s">
        <v>14</v>
      </c>
      <c r="B36" s="6" t="s">
        <v>99</v>
      </c>
      <c r="C36" s="3" t="str">
        <f>CONCATENATE("&lt;# ",B37," #&gt;")</f>
        <v>&lt;# A7783504C #&gt;</v>
      </c>
      <c r="J36" s="6"/>
    </row>
    <row r="37" spans="1:13">
      <c r="A37" s="26" t="s">
        <v>15</v>
      </c>
      <c r="B37" t="s">
        <v>94</v>
      </c>
      <c r="J37" s="2"/>
    </row>
    <row r="38" spans="1:13">
      <c r="A38" s="26" t="s">
        <v>17</v>
      </c>
      <c r="B38" t="s">
        <v>24</v>
      </c>
      <c r="C38" s="3" t="str">
        <f>CONCATENATE("  &lt;Variant hgvs=",CHAR(34),B36,CHAR(34)," name=",CHAR(34),B37,CHAR(34),"&gt; ")</f>
        <v xml:space="preserve">  &lt;Variant hgvs="NC_000002.11:g.7783504A&gt;C" name="A7783504C"&gt; </v>
      </c>
      <c r="J38" s="2"/>
    </row>
    <row r="39" spans="1:13">
      <c r="A39" s="26" t="s">
        <v>19</v>
      </c>
      <c r="B39" t="str">
        <f>"cytosine (C)"</f>
        <v>cytosine (C)</v>
      </c>
      <c r="J39" s="7"/>
    </row>
    <row r="40" spans="1:13">
      <c r="A40" s="26" t="s">
        <v>21</v>
      </c>
      <c r="B40" t="s">
        <v>95</v>
      </c>
      <c r="C40" s="3" t="str">
        <f>CONCATENATE("    Instead of ",B38,", there is a ",B39," nucleotide.")</f>
        <v xml:space="preserve">    Instead of adenine (A), there is a cytosine (C) nucleotide.</v>
      </c>
    </row>
    <row r="41" spans="1:13">
      <c r="A41" s="3" t="s">
        <v>64</v>
      </c>
      <c r="B41" s="3" t="s">
        <v>103</v>
      </c>
      <c r="J41" s="7"/>
    </row>
    <row r="42" spans="1:13">
      <c r="A42" s="3" t="s">
        <v>51</v>
      </c>
      <c r="B42" s="3" t="s">
        <v>104</v>
      </c>
      <c r="C42" s="3" t="str">
        <f>"  &lt;/Variant&gt;"</f>
        <v xml:space="preserve">  &lt;/Variant&gt;</v>
      </c>
      <c r="J42" s="7"/>
    </row>
    <row r="43" spans="1:13">
      <c r="A43" s="26" t="s">
        <v>52</v>
      </c>
      <c r="B43" s="7" t="s">
        <v>105</v>
      </c>
    </row>
    <row r="44" spans="1:13">
      <c r="B44" s="3"/>
    </row>
    <row r="45" spans="1:13" s="21" customFormat="1">
      <c r="A45" s="28"/>
      <c r="B45" s="20"/>
    </row>
    <row r="46" spans="1:13" s="10" customFormat="1">
      <c r="A46" s="32"/>
      <c r="B46" s="33"/>
      <c r="C46" s="34" t="s">
        <v>368</v>
      </c>
      <c r="L46" s="38"/>
    </row>
    <row r="47" spans="1:13" s="10" customFormat="1">
      <c r="A47" s="32"/>
      <c r="B47" s="33"/>
      <c r="K47" s="10" t="s">
        <v>106</v>
      </c>
      <c r="L47" s="38" t="s">
        <v>108</v>
      </c>
      <c r="M47" s="11" t="s">
        <v>107</v>
      </c>
    </row>
    <row r="48" spans="1:13" s="21" customFormat="1">
      <c r="A48" s="28" t="s">
        <v>69</v>
      </c>
      <c r="B48" s="20" t="str">
        <f>CONCATENATE(B19," (T;G)")</f>
        <v>T928G (T;G)</v>
      </c>
      <c r="C48" s="21" t="str">
        <f>CONCATENATE("&lt;# ",B48," #&gt;")</f>
        <v>&lt;# T928G (T;G) #&gt;</v>
      </c>
      <c r="K48" s="21" t="str">
        <f>B19</f>
        <v>T928G</v>
      </c>
      <c r="L48" s="21" t="str">
        <f>B28</f>
        <v>C36983994T</v>
      </c>
      <c r="M48" s="21" t="str">
        <f>B37</f>
        <v>A7783504C</v>
      </c>
    </row>
    <row r="49" spans="1:13" s="10" customFormat="1">
      <c r="A49" s="3" t="s">
        <v>21</v>
      </c>
      <c r="B49" s="29" t="str">
        <f>K52</f>
        <v>NC_000001.10:g.[37325477A&gt;G];[37325477=]</v>
      </c>
      <c r="J49" s="3"/>
      <c r="K49" s="22" t="str">
        <f>B23</f>
        <v>NC_000001.10:g.</v>
      </c>
      <c r="L49" s="22" t="str">
        <f>B32</f>
        <v>NC_000001.10:g.</v>
      </c>
      <c r="M49" s="10" t="str">
        <f>B41</f>
        <v>NC_000002.11:g.</v>
      </c>
    </row>
    <row r="50" spans="1:13">
      <c r="B50" s="29"/>
      <c r="C50" s="3" t="str">
        <f>CONCATENATE("  &lt;Analysis name=",CHAR(34),B48,CHAR(34))</f>
        <v xml:space="preserve">  &lt;Analysis name="T928G (T;G)"</v>
      </c>
      <c r="J50" s="3" t="s">
        <v>21</v>
      </c>
      <c r="K50" s="15" t="str">
        <f>B24</f>
        <v>[37325477A&gt;G]</v>
      </c>
      <c r="L50" s="22" t="str">
        <f>B33</f>
        <v>[37449595C&gt;T]</v>
      </c>
      <c r="M50" s="10" t="str">
        <f t="shared" ref="M50:M51" si="0">B42</f>
        <v>[7783504A&gt;C]</v>
      </c>
    </row>
    <row r="51" spans="1:13">
      <c r="A51" s="5" t="s">
        <v>27</v>
      </c>
      <c r="B51" s="2" t="str">
        <f>CONCATENATE("People with this variant have one copy of the ",B22,"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C51" s="3" t="str">
        <f>CONCATENATE("            case={  variantCall ",CHAR(40),CHAR(34),K52,CHAR(34),CHAR(41))</f>
        <v xml:space="preserve">            case={  variantCall ("NC_000001.10:g.[37325477A&gt;G];[37325477=]")</v>
      </c>
      <c r="J51" s="3" t="s">
        <v>52</v>
      </c>
      <c r="K51" s="15" t="str">
        <f>B25</f>
        <v>[37325477=]</v>
      </c>
      <c r="L51" s="22" t="str">
        <f>B34</f>
        <v>[37449595=]</v>
      </c>
      <c r="M51" s="10" t="str">
        <f t="shared" si="0"/>
        <v>[7783504=]</v>
      </c>
    </row>
    <row r="52" spans="1:13">
      <c r="A52" s="1" t="s">
        <v>28</v>
      </c>
      <c r="B52" s="29" t="s">
        <v>110</v>
      </c>
      <c r="C52" s="3" t="s">
        <v>70</v>
      </c>
      <c r="J52" s="3" t="s">
        <v>62</v>
      </c>
      <c r="K52" s="15" t="str">
        <f>CONCATENATE(K49,K50,";",K51)</f>
        <v>NC_000001.10:g.[37325477A&gt;G];[37325477=]</v>
      </c>
      <c r="L52" s="15" t="str">
        <f>CONCATENATE(L49,L50,";",L51)</f>
        <v>NC_000001.10:g.[37449595C&gt;T];[37449595=]</v>
      </c>
      <c r="M52" s="15" t="str">
        <f>CONCATENATE(M49,M50,";",M51)</f>
        <v>NC_000002.11:g.[7783504A&gt;C];[7783504=]</v>
      </c>
    </row>
    <row r="53" spans="1:13">
      <c r="A53" s="3" t="s">
        <v>72</v>
      </c>
      <c r="B53" s="29">
        <f>K55</f>
        <v>43</v>
      </c>
      <c r="C53" s="3" t="str">
        <f>CONCATENATE("                    ",CHAR(40),"variantCall ",CHAR(40),CHAR(34),L53,CHAR(34),CHAR(41)," or variantCall ",CHAR(40),CHAR(34),L54,CHAR(34),CHAR(41),CHAR(41))</f>
        <v xml:space="preserve">                    (variantCall ("NC_000001.10:g.[37449595C&gt;T];[37449595C&gt;T]") or variantCall ("NC_000001.10:g.[37449595=];[37449595=]"))</v>
      </c>
      <c r="J53" s="3" t="s">
        <v>63</v>
      </c>
      <c r="K53" s="15" t="str">
        <f>CONCATENATE(K49,K50,";",K50)</f>
        <v>NC_000001.10:g.[37325477A&gt;G];[37325477A&gt;G]</v>
      </c>
      <c r="L53" s="15" t="str">
        <f>CONCATENATE(L49,L50,";",L50)</f>
        <v>NC_000001.10:g.[37449595C&gt;T];[37449595C&gt;T]</v>
      </c>
      <c r="M53" s="15" t="str">
        <f>CONCATENATE(M49,M50,";",M50)</f>
        <v>NC_000002.11:g.[7783504A&gt;C];[7783504A&gt;C]</v>
      </c>
    </row>
    <row r="54" spans="1:13">
      <c r="C54" s="3" t="s">
        <v>70</v>
      </c>
      <c r="J54" s="3" t="s">
        <v>52</v>
      </c>
      <c r="K54" s="2" t="str">
        <f>CONCATENATE(K49,K51,";",K51)</f>
        <v>NC_000001.10:g.[37325477=];[37325477=]</v>
      </c>
      <c r="L54" s="2" t="str">
        <f>CONCATENATE(L49,L51,";",L51)</f>
        <v>NC_000001.10:g.[37449595=];[37449595=]</v>
      </c>
      <c r="M54" s="2" t="str">
        <f>CONCATENATE(M49,M51,";",M51)</f>
        <v>NC_000002.11:g.[7783504=];[7783504=]</v>
      </c>
    </row>
    <row r="55" spans="1:13">
      <c r="C55" s="3" t="str">
        <f>CONCATENATE("                    ",CHAR(40),"variantCall ",CHAR(40),CHAR(34),M53,CHAR(34),CHAR(41)," or variantCall ",CHAR(40),CHAR(34),M54,CHAR(34),CHAR(41),CHAR(41))</f>
        <v xml:space="preserve">                    (variantCall ("NC_000002.11:g.[7783504A&gt;C];[7783504A&gt;C]") or variantCall ("NC_000002.11:g.[7783504=];[7783504=]"))</v>
      </c>
      <c r="J55" s="3" t="s">
        <v>66</v>
      </c>
      <c r="K55">
        <v>43</v>
      </c>
      <c r="L55" s="2">
        <v>1.8</v>
      </c>
      <c r="M55" s="2">
        <v>15.8</v>
      </c>
    </row>
    <row r="56" spans="1:13">
      <c r="A56" s="14"/>
      <c r="C56" s="3" t="str">
        <f>CONCATENATE("                  } &gt; ")</f>
        <v xml:space="preserve">                  } &gt; </v>
      </c>
      <c r="J56" s="3" t="s">
        <v>67</v>
      </c>
      <c r="K56">
        <v>19.899999999999999</v>
      </c>
      <c r="L56" s="2">
        <v>0.5</v>
      </c>
      <c r="M56" s="2">
        <v>4.7</v>
      </c>
    </row>
    <row r="57" spans="1:13">
      <c r="A57" s="26"/>
      <c r="J57" s="3" t="s">
        <v>68</v>
      </c>
      <c r="K57" s="2">
        <v>37.1</v>
      </c>
      <c r="L57" s="2">
        <v>97.8</v>
      </c>
      <c r="M57" s="2">
        <v>79.5</v>
      </c>
    </row>
    <row r="58" spans="1:13">
      <c r="A58" s="14"/>
      <c r="C58" s="3" t="s">
        <v>26</v>
      </c>
      <c r="K58"/>
      <c r="L58" s="2"/>
      <c r="M58" s="2"/>
    </row>
    <row r="59" spans="1:13">
      <c r="A59" s="14"/>
      <c r="K59" s="15"/>
      <c r="L59" s="15"/>
      <c r="M59" s="15"/>
    </row>
    <row r="60" spans="1:13">
      <c r="A60" s="26"/>
      <c r="C60" s="3" t="str">
        <f>CONCATENATE("    ",B51)</f>
        <v xml:space="preserve">    People with this variant have one copy of the [T928G](https://www.ncbi.nlm.nih.gov/projects/SNP/snp_ref.cgi?rs=6691840)[(Ser310Ala)](https://www.ncbi.nlm.nih.gov/pubmed/11986986) variant. This substitution of a single nucleotide is known as a missense mutation.</v>
      </c>
      <c r="K60" s="15"/>
      <c r="L60" s="15"/>
      <c r="M60" s="15"/>
    </row>
    <row r="61" spans="1:13">
      <c r="A61" s="14"/>
      <c r="K61" s="2"/>
      <c r="L61" s="2"/>
      <c r="M61" s="2"/>
    </row>
    <row r="62" spans="1:13">
      <c r="A62" s="14"/>
      <c r="C62" s="3" t="s">
        <v>29</v>
      </c>
    </row>
    <row r="63" spans="1:13">
      <c r="A63" s="14"/>
    </row>
    <row r="64" spans="1:13">
      <c r="A64" s="14"/>
      <c r="C64" s="3" t="str">
        <f>CONCATENATE(B52)</f>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65" spans="1:13">
      <c r="A65" s="26"/>
    </row>
    <row r="66" spans="1:13">
      <c r="A66" s="26"/>
      <c r="C66" s="3" t="s">
        <v>30</v>
      </c>
    </row>
    <row r="67" spans="1:13">
      <c r="A67" s="26"/>
    </row>
    <row r="68" spans="1:13">
      <c r="A68" s="26"/>
      <c r="C68" s="3" t="str">
        <f>CONCATENATE( "    &lt;piechart percentage=",B53," /&gt;")</f>
        <v xml:space="preserve">    &lt;piechart percentage=43 /&gt;</v>
      </c>
    </row>
    <row r="69" spans="1:13">
      <c r="A69" s="26"/>
      <c r="C69" s="3" t="str">
        <f>"  &lt;/Analysis&gt;"</f>
        <v xml:space="preserve">  &lt;/Analysis&gt;</v>
      </c>
      <c r="K69" s="3" t="str">
        <f t="shared" ref="K69:M69" si="1">K47</f>
        <v>rs6691840</v>
      </c>
      <c r="L69" s="3" t="str">
        <f t="shared" si="1"/>
        <v>rs3913434</v>
      </c>
      <c r="M69" s="3" t="str">
        <f t="shared" si="1"/>
        <v>rs270838</v>
      </c>
    </row>
    <row r="70" spans="1:13" s="21" customFormat="1">
      <c r="A70" s="28" t="s">
        <v>69</v>
      </c>
      <c r="B70" s="20" t="str">
        <f>CONCATENATE(B19," (G;G)")</f>
        <v>T928G (G;G)</v>
      </c>
      <c r="C70" s="21" t="str">
        <f>CONCATENATE("&lt;# ",B70," #&gt;")</f>
        <v>&lt;# T928G (G;G) #&gt;</v>
      </c>
      <c r="K70" s="21" t="str">
        <f t="shared" ref="K70:M71" si="2">K48</f>
        <v>T928G</v>
      </c>
      <c r="L70" s="21" t="str">
        <f t="shared" si="2"/>
        <v>C36983994T</v>
      </c>
      <c r="M70" s="21" t="str">
        <f t="shared" si="2"/>
        <v>A7783504C</v>
      </c>
    </row>
    <row r="71" spans="1:13">
      <c r="A71" s="3" t="s">
        <v>21</v>
      </c>
      <c r="B71" s="29" t="str">
        <f>K53</f>
        <v>NC_000001.10:g.[37325477A&gt;G];[37325477A&gt;G]</v>
      </c>
      <c r="C71" s="10"/>
      <c r="K71" s="3" t="str">
        <f t="shared" si="2"/>
        <v>NC_000001.10:g.</v>
      </c>
      <c r="L71" s="3" t="str">
        <f t="shared" si="2"/>
        <v>NC_000001.10:g.</v>
      </c>
      <c r="M71" s="3" t="str">
        <f t="shared" si="2"/>
        <v>NC_000002.11:g.</v>
      </c>
    </row>
    <row r="72" spans="1:13">
      <c r="B72" s="29"/>
      <c r="C72" s="3" t="str">
        <f>CONCATENATE("  &lt;Analysis name=",CHAR(34),B70,CHAR(34))</f>
        <v xml:space="preserve">  &lt;Analysis name="T928G (G;G)"</v>
      </c>
      <c r="J72" s="3" t="str">
        <f t="shared" ref="J72:M72" si="3">J50</f>
        <v>Variant</v>
      </c>
      <c r="K72" s="3" t="str">
        <f t="shared" si="3"/>
        <v>[37325477A&gt;G]</v>
      </c>
      <c r="L72" s="3" t="str">
        <f t="shared" si="3"/>
        <v>[37449595C&gt;T]</v>
      </c>
      <c r="M72" s="3" t="str">
        <f t="shared" si="3"/>
        <v>[7783504A&gt;C]</v>
      </c>
    </row>
    <row r="73" spans="1:13">
      <c r="A73" s="5" t="s">
        <v>74</v>
      </c>
      <c r="B73" s="2" t="str">
        <f>CONCATENATE("People with this variant have two copies of the ",B22,"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C73" s="3" t="str">
        <f>CONCATENATE("            case={  variantCall ",CHAR(40),CHAR(34),B71,CHAR(34),CHAR(41))</f>
        <v xml:space="preserve">            case={  variantCall ("NC_000001.10:g.[37325477A&gt;G];[37325477A&gt;G]")</v>
      </c>
      <c r="J73" s="3" t="str">
        <f t="shared" ref="J73:M73" si="4">J51</f>
        <v>Wildtype</v>
      </c>
      <c r="K73" s="3" t="str">
        <f t="shared" si="4"/>
        <v>[37325477=]</v>
      </c>
      <c r="L73" s="3" t="str">
        <f t="shared" si="4"/>
        <v>[37449595=]</v>
      </c>
      <c r="M73" s="3" t="str">
        <f t="shared" si="4"/>
        <v>[7783504=]</v>
      </c>
    </row>
    <row r="74" spans="1:13">
      <c r="A74" s="1" t="s">
        <v>28</v>
      </c>
      <c r="B74" s="29" t="s">
        <v>109</v>
      </c>
      <c r="C74" s="3" t="s">
        <v>70</v>
      </c>
      <c r="J74" s="3" t="str">
        <f t="shared" ref="J74:M74" si="5">J52</f>
        <v>Het</v>
      </c>
      <c r="K74" s="3" t="str">
        <f t="shared" si="5"/>
        <v>NC_000001.10:g.[37325477A&gt;G];[37325477=]</v>
      </c>
      <c r="L74" s="3" t="str">
        <f t="shared" si="5"/>
        <v>NC_000001.10:g.[37449595C&gt;T];[37449595=]</v>
      </c>
      <c r="M74" s="3" t="str">
        <f t="shared" si="5"/>
        <v>NC_000002.11:g.[7783504A&gt;C];[7783504=]</v>
      </c>
    </row>
    <row r="75" spans="1:13">
      <c r="A75" s="3" t="s">
        <v>72</v>
      </c>
      <c r="B75" s="29">
        <f>K56</f>
        <v>19.899999999999999</v>
      </c>
      <c r="C75" s="3" t="str">
        <f>CONCATENATE("                    ",CHAR(40),"variantCall ",CHAR(40),CHAR(34),L75,CHAR(34),CHAR(41)," or variantCall ",CHAR(40),CHAR(34),L76,CHAR(34),CHAR(41),CHAR(41))</f>
        <v xml:space="preserve">                    (variantCall ("NC_000001.10:g.[37449595C&gt;T];[37449595C&gt;T]") or variantCall ("NC_000001.10:g.[37449595=];[37449595=]"))</v>
      </c>
      <c r="J75" s="3" t="str">
        <f t="shared" ref="J75:M75" si="6">J53</f>
        <v>Homo</v>
      </c>
      <c r="K75" s="3" t="str">
        <f t="shared" si="6"/>
        <v>NC_000001.10:g.[37325477A&gt;G];[37325477A&gt;G]</v>
      </c>
      <c r="L75" s="3" t="str">
        <f t="shared" si="6"/>
        <v>NC_000001.10:g.[37449595C&gt;T];[37449595C&gt;T]</v>
      </c>
      <c r="M75" s="3" t="str">
        <f t="shared" si="6"/>
        <v>NC_000002.11:g.[7783504A&gt;C];[7783504A&gt;C]</v>
      </c>
    </row>
    <row r="76" spans="1:13">
      <c r="C76" s="3" t="s">
        <v>70</v>
      </c>
      <c r="J76" s="3" t="str">
        <f t="shared" ref="J76:M76" si="7">J54</f>
        <v>Wildtype</v>
      </c>
      <c r="K76" s="3" t="str">
        <f t="shared" si="7"/>
        <v>NC_000001.10:g.[37325477=];[37325477=]</v>
      </c>
      <c r="L76" s="3" t="str">
        <f t="shared" si="7"/>
        <v>NC_000001.10:g.[37449595=];[37449595=]</v>
      </c>
      <c r="M76" s="3" t="str">
        <f t="shared" si="7"/>
        <v>NC_000002.11:g.[7783504=];[7783504=]</v>
      </c>
    </row>
    <row r="77" spans="1:13">
      <c r="C77" s="3" t="str">
        <f>CONCATENATE("                    ",CHAR(40),"variantCall ",CHAR(40),CHAR(34),M75,CHAR(34),CHAR(41)," or variantCall ",CHAR(40),CHAR(34),M76,CHAR(34),CHAR(41),CHAR(41))</f>
        <v xml:space="preserve">                    (variantCall ("NC_000002.11:g.[7783504A&gt;C];[7783504A&gt;C]") or variantCall ("NC_000002.11:g.[7783504=];[7783504=]"))</v>
      </c>
      <c r="J77" s="3" t="str">
        <f t="shared" ref="J77:M77" si="8">J55</f>
        <v>Het%</v>
      </c>
      <c r="K77" s="3">
        <f t="shared" si="8"/>
        <v>43</v>
      </c>
      <c r="L77" s="3">
        <f t="shared" si="8"/>
        <v>1.8</v>
      </c>
      <c r="M77" s="3">
        <f t="shared" si="8"/>
        <v>15.8</v>
      </c>
    </row>
    <row r="78" spans="1:13">
      <c r="A78" s="14"/>
      <c r="C78" s="3" t="str">
        <f>CONCATENATE("                  } &gt; ")</f>
        <v xml:space="preserve">                  } &gt; </v>
      </c>
      <c r="J78" s="3" t="str">
        <f t="shared" ref="J78:M78" si="9">J56</f>
        <v>Homo%</v>
      </c>
      <c r="K78" s="3">
        <f t="shared" si="9"/>
        <v>19.899999999999999</v>
      </c>
      <c r="L78" s="3">
        <f t="shared" si="9"/>
        <v>0.5</v>
      </c>
      <c r="M78" s="3">
        <f t="shared" si="9"/>
        <v>4.7</v>
      </c>
    </row>
    <row r="79" spans="1:13">
      <c r="A79" s="26"/>
      <c r="J79" s="3" t="str">
        <f t="shared" ref="J79:M79" si="10">J57</f>
        <v>Wildtype%</v>
      </c>
      <c r="K79" s="3">
        <f t="shared" si="10"/>
        <v>37.1</v>
      </c>
      <c r="L79" s="3">
        <f t="shared" si="10"/>
        <v>97.8</v>
      </c>
      <c r="M79" s="3">
        <f t="shared" si="10"/>
        <v>79.5</v>
      </c>
    </row>
    <row r="80" spans="1:13">
      <c r="A80" s="14"/>
      <c r="C80" s="3" t="s">
        <v>26</v>
      </c>
    </row>
    <row r="81" spans="1:13">
      <c r="A81" s="14"/>
    </row>
    <row r="82" spans="1:13">
      <c r="A82" s="26"/>
      <c r="C82" s="3" t="str">
        <f>CONCATENATE("    ",B73)</f>
        <v xml:space="preserve">    People with this variant have two copies of the [T928G](https://www.ncbi.nlm.nih.gov/projects/SNP/snp_ref.cgi?rs=6691840)[(Ser310Ala)](https://www.ncbi.nlm.nih.gov/pubmed/11986986) variant. This substitution of a single nucleotide is known as a missense mutation.</v>
      </c>
    </row>
    <row r="83" spans="1:13">
      <c r="A83" s="14"/>
    </row>
    <row r="84" spans="1:13">
      <c r="A84" s="14"/>
      <c r="C84" s="3" t="s">
        <v>29</v>
      </c>
    </row>
    <row r="85" spans="1:13">
      <c r="A85" s="14"/>
    </row>
    <row r="86" spans="1:13">
      <c r="A86" s="14"/>
      <c r="C86" s="3" t="str">
        <f>CONCATENATE(B74)</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87" spans="1:13">
      <c r="A87" s="26"/>
    </row>
    <row r="88" spans="1:13">
      <c r="A88" s="26"/>
      <c r="C88" s="3" t="s">
        <v>30</v>
      </c>
    </row>
    <row r="89" spans="1:13">
      <c r="A89" s="26"/>
    </row>
    <row r="90" spans="1:13">
      <c r="A90" s="26"/>
      <c r="C90" s="3" t="str">
        <f>CONCATENATE( "    &lt;piechart percentage=",B75," /&gt;")</f>
        <v xml:space="preserve">    &lt;piechart percentage=19.9 /&gt;</v>
      </c>
    </row>
    <row r="91" spans="1:13">
      <c r="A91" s="26"/>
      <c r="C91" s="3" t="str">
        <f>"  &lt;/Analysis&gt;"</f>
        <v xml:space="preserve">  &lt;/Analysis&gt;</v>
      </c>
      <c r="K91" s="3" t="str">
        <f t="shared" ref="K91:M91" si="11">K69</f>
        <v>rs6691840</v>
      </c>
      <c r="L91" s="3" t="str">
        <f t="shared" si="11"/>
        <v>rs3913434</v>
      </c>
      <c r="M91" s="3" t="str">
        <f t="shared" si="11"/>
        <v>rs270838</v>
      </c>
    </row>
    <row r="92" spans="1:13" s="21" customFormat="1">
      <c r="A92" s="28" t="s">
        <v>69</v>
      </c>
      <c r="B92" s="20" t="str">
        <f>CONCATENATE(B28," (C;T)")</f>
        <v>C36983994T (C;T)</v>
      </c>
      <c r="C92" s="21" t="str">
        <f>CONCATENATE("&lt;# ",B92," #&gt;")</f>
        <v>&lt;# C36983994T (C;T) #&gt;</v>
      </c>
      <c r="K92" s="21" t="str">
        <f t="shared" ref="K92:M92" si="12">K70</f>
        <v>T928G</v>
      </c>
      <c r="L92" s="21" t="str">
        <f t="shared" si="12"/>
        <v>C36983994T</v>
      </c>
      <c r="M92" s="21" t="str">
        <f t="shared" si="12"/>
        <v>A7783504C</v>
      </c>
    </row>
    <row r="93" spans="1:13" s="10" customFormat="1">
      <c r="A93" s="3" t="s">
        <v>21</v>
      </c>
      <c r="B93" s="29" t="str">
        <f>L96</f>
        <v>NC_000001.10:g.[37449595C&gt;T];[37449595=]</v>
      </c>
      <c r="J93" s="3"/>
      <c r="K93" s="22" t="str">
        <f t="shared" ref="K93:M93" si="13">K71</f>
        <v>NC_000001.10:g.</v>
      </c>
      <c r="L93" s="22" t="str">
        <f t="shared" si="13"/>
        <v>NC_000001.10:g.</v>
      </c>
      <c r="M93" s="10" t="str">
        <f t="shared" si="13"/>
        <v>NC_000002.11:g.</v>
      </c>
    </row>
    <row r="94" spans="1:13">
      <c r="A94" s="3" t="s">
        <v>71</v>
      </c>
      <c r="B94" s="29"/>
      <c r="C94" s="3" t="str">
        <f>CONCATENATE("  &lt;Analysis name=",CHAR(34),B92,CHAR(34))</f>
        <v xml:space="preserve">  &lt;Analysis name="C36983994T (C;T)"</v>
      </c>
      <c r="J94" s="3" t="str">
        <f t="shared" ref="J94:M94" si="14">J72</f>
        <v>Variant</v>
      </c>
      <c r="K94" s="15" t="str">
        <f t="shared" si="14"/>
        <v>[37325477A&gt;G]</v>
      </c>
      <c r="L94" s="22" t="str">
        <f t="shared" si="14"/>
        <v>[37449595C&gt;T]</v>
      </c>
      <c r="M94" s="3" t="str">
        <f t="shared" si="14"/>
        <v>[7783504A&gt;C]</v>
      </c>
    </row>
    <row r="95" spans="1:13">
      <c r="A95" s="5" t="s">
        <v>27</v>
      </c>
      <c r="B95" s="2"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C95" s="3" t="str">
        <f>CONCATENATE("            case={  variantCall ",CHAR(40),CHAR(34),L96,CHAR(34),CHAR(41))</f>
        <v xml:space="preserve">            case={  variantCall ("NC_000001.10:g.[37449595C&gt;T];[37449595=]")</v>
      </c>
      <c r="J95" s="3" t="str">
        <f t="shared" ref="J95:M95" si="15">J73</f>
        <v>Wildtype</v>
      </c>
      <c r="K95" s="15" t="str">
        <f t="shared" si="15"/>
        <v>[37325477=]</v>
      </c>
      <c r="L95" s="22" t="str">
        <f t="shared" si="15"/>
        <v>[37449595=]</v>
      </c>
      <c r="M95" s="3" t="str">
        <f t="shared" si="15"/>
        <v>[7783504=]</v>
      </c>
    </row>
    <row r="96" spans="1:13">
      <c r="A96" s="1" t="s">
        <v>28</v>
      </c>
      <c r="B96" s="15" t="s">
        <v>111</v>
      </c>
      <c r="C96" s="3" t="s">
        <v>70</v>
      </c>
      <c r="J96" s="3" t="str">
        <f t="shared" ref="J96:M96" si="16">J74</f>
        <v>Het</v>
      </c>
      <c r="K96" s="15" t="str">
        <f t="shared" si="16"/>
        <v>NC_000001.10:g.[37325477A&gt;G];[37325477=]</v>
      </c>
      <c r="L96" s="15" t="str">
        <f t="shared" si="16"/>
        <v>NC_000001.10:g.[37449595C&gt;T];[37449595=]</v>
      </c>
      <c r="M96" s="3" t="str">
        <f t="shared" si="16"/>
        <v>NC_000002.11:g.[7783504A&gt;C];[7783504=]</v>
      </c>
    </row>
    <row r="97" spans="1:13">
      <c r="A97" s="3" t="s">
        <v>72</v>
      </c>
      <c r="B97" s="29">
        <f>L55</f>
        <v>1.8</v>
      </c>
      <c r="C97" s="3" t="str">
        <f>CONCATENATE("                    ",CHAR(40),"variantCall ",CHAR(40),CHAR(34),M97,CHAR(34),CHAR(41)," or variantCall ",CHAR(40),CHAR(34),M98,CHAR(34),CHAR(41),CHAR(41))</f>
        <v xml:space="preserve">                    (variantCall ("NC_000002.11:g.[7783504A&gt;C];[7783504A&gt;C]") or variantCall ("NC_000002.11:g.[7783504=];[7783504=]"))</v>
      </c>
      <c r="J97" s="3" t="str">
        <f t="shared" ref="J97:M97" si="17">J75</f>
        <v>Homo</v>
      </c>
      <c r="K97" s="15" t="str">
        <f t="shared" si="17"/>
        <v>NC_000001.10:g.[37325477A&gt;G];[37325477A&gt;G]</v>
      </c>
      <c r="L97" s="15" t="str">
        <f t="shared" si="17"/>
        <v>NC_000001.10:g.[37449595C&gt;T];[37449595C&gt;T]</v>
      </c>
      <c r="M97" s="3" t="str">
        <f t="shared" si="17"/>
        <v>NC_000002.11:g.[7783504A&gt;C];[7783504A&gt;C]</v>
      </c>
    </row>
    <row r="98" spans="1:13">
      <c r="B98" s="29"/>
      <c r="C98" s="3" t="s">
        <v>70</v>
      </c>
      <c r="J98" s="3" t="str">
        <f t="shared" ref="J98:M101" si="18">J76</f>
        <v>Wildtype</v>
      </c>
      <c r="K98" s="2" t="str">
        <f t="shared" si="18"/>
        <v>NC_000001.10:g.[37325477=];[37325477=]</v>
      </c>
      <c r="L98" s="2" t="str">
        <f t="shared" si="18"/>
        <v>NC_000001.10:g.[37449595=];[37449595=]</v>
      </c>
      <c r="M98" s="3" t="str">
        <f t="shared" si="18"/>
        <v>NC_000002.11:g.[7783504=];[7783504=]</v>
      </c>
    </row>
    <row r="99" spans="1:13">
      <c r="B99" s="29"/>
      <c r="C99" s="3" t="str">
        <f>CONCATENATE("                    variantCall ",CHAR(40),CHAR(34),K98,CHAR(34),CHAR(41))</f>
        <v xml:space="preserve">                    variantCall ("NC_000001.10:g.[37325477=];[37325477=]")</v>
      </c>
      <c r="J99" s="3" t="str">
        <f t="shared" si="18"/>
        <v>Het%</v>
      </c>
      <c r="K99" s="15">
        <f t="shared" si="18"/>
        <v>43</v>
      </c>
      <c r="L99" s="15">
        <f t="shared" si="18"/>
        <v>1.8</v>
      </c>
      <c r="M99" s="3">
        <f t="shared" si="18"/>
        <v>15.8</v>
      </c>
    </row>
    <row r="100" spans="1:13">
      <c r="C100" s="3" t="str">
        <f>CONCATENATE("                  } &gt; ")</f>
        <v xml:space="preserve">                  } &gt; </v>
      </c>
      <c r="J100" s="3" t="str">
        <f t="shared" si="18"/>
        <v>Homo%</v>
      </c>
      <c r="K100" s="2">
        <f t="shared" si="18"/>
        <v>19.899999999999999</v>
      </c>
      <c r="L100" s="2">
        <f t="shared" si="18"/>
        <v>0.5</v>
      </c>
      <c r="M100" s="3">
        <f t="shared" si="18"/>
        <v>4.7</v>
      </c>
    </row>
    <row r="101" spans="1:13">
      <c r="J101" s="3" t="str">
        <f t="shared" si="18"/>
        <v>Wildtype%</v>
      </c>
      <c r="K101" s="2">
        <f t="shared" si="18"/>
        <v>37.1</v>
      </c>
      <c r="L101" s="2">
        <f t="shared" si="18"/>
        <v>97.8</v>
      </c>
      <c r="M101" s="3">
        <f t="shared" si="18"/>
        <v>79.5</v>
      </c>
    </row>
    <row r="102" spans="1:13">
      <c r="A102" s="14"/>
      <c r="C102" s="3" t="s">
        <v>26</v>
      </c>
    </row>
    <row r="103" spans="1:13">
      <c r="A103" s="26"/>
    </row>
    <row r="104" spans="1:13">
      <c r="A104" s="14"/>
      <c r="C104" s="3" t="str">
        <f>CONCATENATE("    ",B95)</f>
        <v xml:space="preserve">    People with this variant have one copy of the [C36983994T](https://www.ncbi.nlm.nih.gov/projects/SNP/snp_ref.cgi?rs=3913434) variant. This substitution of a single nucleotide is known as a missense mutation.</v>
      </c>
    </row>
    <row r="105" spans="1:13">
      <c r="A105" s="14"/>
    </row>
    <row r="106" spans="1:13">
      <c r="A106" s="26"/>
      <c r="C106" s="3" t="s">
        <v>29</v>
      </c>
    </row>
    <row r="107" spans="1:13">
      <c r="A107" s="14"/>
    </row>
    <row r="108" spans="1:13">
      <c r="A108" s="14"/>
      <c r="C108" s="3" t="str">
        <f>CONCATENATE(B96)</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09" spans="1:13">
      <c r="A109" s="14"/>
    </row>
    <row r="110" spans="1:13">
      <c r="A110" s="14"/>
      <c r="C110" s="3" t="s">
        <v>30</v>
      </c>
    </row>
    <row r="111" spans="1:13">
      <c r="A111" s="26"/>
    </row>
    <row r="112" spans="1:13">
      <c r="A112" s="26"/>
      <c r="C112" s="3" t="str">
        <f>CONCATENATE( "    &lt;piechart percentage=",B97," /&gt;")</f>
        <v xml:space="preserve">    &lt;piechart percentage=1.8 /&gt;</v>
      </c>
    </row>
    <row r="113" spans="1:13">
      <c r="A113" s="26"/>
      <c r="C113" s="3" t="str">
        <f>"  &lt;/Analysis&gt;"</f>
        <v xml:space="preserve">  &lt;/Analysis&gt;</v>
      </c>
      <c r="K113" s="3" t="str">
        <f t="shared" ref="K113:M123" si="19">K91</f>
        <v>rs6691840</v>
      </c>
      <c r="L113" s="3" t="str">
        <f t="shared" si="19"/>
        <v>rs3913434</v>
      </c>
      <c r="M113" s="3" t="str">
        <f t="shared" si="19"/>
        <v>rs270838</v>
      </c>
    </row>
    <row r="114" spans="1:13" s="21" customFormat="1">
      <c r="A114" s="28" t="s">
        <v>69</v>
      </c>
      <c r="B114" s="20" t="str">
        <f>CONCATENATE(B37," (A;C)")</f>
        <v>A7783504C (A;C)</v>
      </c>
      <c r="C114" s="21" t="str">
        <f>CONCATENATE("&lt;# ",B114," #&gt;")</f>
        <v>&lt;# A7783504C (A;C) #&gt;</v>
      </c>
      <c r="K114" s="21" t="str">
        <f t="shared" si="19"/>
        <v>T928G</v>
      </c>
      <c r="L114" s="21" t="str">
        <f t="shared" si="19"/>
        <v>C36983994T</v>
      </c>
      <c r="M114" s="21" t="str">
        <f t="shared" si="19"/>
        <v>A7783504C</v>
      </c>
    </row>
    <row r="115" spans="1:13">
      <c r="A115" s="3" t="s">
        <v>21</v>
      </c>
      <c r="B115" s="29" t="str">
        <f>M118</f>
        <v>NC_000002.11:g.[7783504A&gt;C];[7783504=]</v>
      </c>
      <c r="C115" s="10"/>
      <c r="K115" s="3" t="str">
        <f t="shared" si="19"/>
        <v>NC_000001.10:g.</v>
      </c>
      <c r="L115" s="3" t="str">
        <f t="shared" si="19"/>
        <v>NC_000001.10:g.</v>
      </c>
      <c r="M115" s="3" t="str">
        <f t="shared" si="19"/>
        <v>NC_000002.11:g.</v>
      </c>
    </row>
    <row r="116" spans="1:13">
      <c r="A116" s="3" t="s">
        <v>71</v>
      </c>
      <c r="B116" s="29" t="str">
        <f>L53</f>
        <v>NC_000001.10:g.[37449595C&gt;T];[37449595C&gt;T]</v>
      </c>
      <c r="C116" s="3" t="str">
        <f>CONCATENATE("  &lt;Analysis name=",CHAR(34),B114,CHAR(34))</f>
        <v xml:space="preserve">  &lt;Analysis name="A7783504C (A;C)"</v>
      </c>
      <c r="J116" s="3" t="str">
        <f t="shared" ref="J116:J123" si="20">J94</f>
        <v>Variant</v>
      </c>
      <c r="K116" s="3" t="str">
        <f t="shared" si="19"/>
        <v>[37325477A&gt;G]</v>
      </c>
      <c r="L116" s="3" t="str">
        <f t="shared" si="19"/>
        <v>[37449595C&gt;T]</v>
      </c>
      <c r="M116" s="3" t="str">
        <f t="shared" si="19"/>
        <v>[7783504A&gt;C]</v>
      </c>
    </row>
    <row r="117" spans="1:13">
      <c r="A117" s="5" t="s">
        <v>74</v>
      </c>
      <c r="B117" s="2" t="str">
        <f>CONCATENATE("People with this variant have one copy of the ",B40," variant. This substitution of a single nucleotide is known as a missense mutation.")</f>
        <v>People with this variant have one copy of the [A7783504C](https://www.ncbi.nlm.nih.gov/projects/SNP/snp_ref.cgi?rs=270838) variant. This substitution of a single nucleotide is known as a missense mutation.</v>
      </c>
      <c r="C117" s="3" t="str">
        <f>CONCATENATE("            case={  variantCall ",CHAR(40),CHAR(34),B115,CHAR(34),CHAR(41))</f>
        <v xml:space="preserve">            case={  variantCall ("NC_000002.11:g.[7783504A&gt;C];[7783504=]")</v>
      </c>
      <c r="J117" s="3" t="str">
        <f t="shared" si="20"/>
        <v>Wildtype</v>
      </c>
      <c r="K117" s="3" t="str">
        <f t="shared" si="19"/>
        <v>[37325477=]</v>
      </c>
      <c r="L117" s="3" t="str">
        <f t="shared" si="19"/>
        <v>[37449595=]</v>
      </c>
      <c r="M117" s="3" t="str">
        <f t="shared" si="19"/>
        <v>[7783504=]</v>
      </c>
    </row>
    <row r="118" spans="1:13">
      <c r="A118" s="1" t="s">
        <v>28</v>
      </c>
      <c r="B118" s="15" t="s">
        <v>112</v>
      </c>
      <c r="C118" s="3" t="s">
        <v>70</v>
      </c>
      <c r="J118" s="3" t="str">
        <f t="shared" si="20"/>
        <v>Het</v>
      </c>
      <c r="K118" s="3" t="str">
        <f t="shared" si="19"/>
        <v>NC_000001.10:g.[37325477A&gt;G];[37325477=]</v>
      </c>
      <c r="L118" s="3" t="str">
        <f t="shared" si="19"/>
        <v>NC_000001.10:g.[37449595C&gt;T];[37449595=]</v>
      </c>
      <c r="M118" s="3" t="str">
        <f t="shared" si="19"/>
        <v>NC_000002.11:g.[7783504A&gt;C];[7783504=]</v>
      </c>
    </row>
    <row r="119" spans="1:13">
      <c r="A119" s="3" t="s">
        <v>72</v>
      </c>
      <c r="B119" s="29">
        <f>M121</f>
        <v>15.8</v>
      </c>
      <c r="C119" s="3" t="str">
        <f>CONCATENATE("                    ",CHAR(40),"variantCall ",CHAR(40),CHAR(34),L119,CHAR(34),CHAR(41)," or variantCall ",CHAR(40),CHAR(34),L120,CHAR(34),CHAR(41),CHAR(41))</f>
        <v xml:space="preserve">                    (variantCall ("NC_000001.10:g.[37449595C&gt;T];[37449595C&gt;T]") or variantCall ("NC_000001.10:g.[37449595=];[37449595=]"))</v>
      </c>
      <c r="J119" s="3" t="str">
        <f t="shared" si="20"/>
        <v>Homo</v>
      </c>
      <c r="K119" s="3" t="str">
        <f t="shared" si="19"/>
        <v>NC_000001.10:g.[37325477A&gt;G];[37325477A&gt;G]</v>
      </c>
      <c r="L119" s="3" t="str">
        <f t="shared" si="19"/>
        <v>NC_000001.10:g.[37449595C&gt;T];[37449595C&gt;T]</v>
      </c>
      <c r="M119" s="3" t="str">
        <f t="shared" si="19"/>
        <v>NC_000002.11:g.[7783504A&gt;C];[7783504A&gt;C]</v>
      </c>
    </row>
    <row r="120" spans="1:13">
      <c r="C120" s="3" t="s">
        <v>70</v>
      </c>
      <c r="J120" s="3" t="str">
        <f t="shared" si="20"/>
        <v>Wildtype</v>
      </c>
      <c r="K120" s="3" t="str">
        <f t="shared" si="19"/>
        <v>NC_000001.10:g.[37325477=];[37325477=]</v>
      </c>
      <c r="L120" s="3" t="str">
        <f t="shared" si="19"/>
        <v>NC_000001.10:g.[37449595=];[37449595=]</v>
      </c>
      <c r="M120" s="3" t="str">
        <f t="shared" si="19"/>
        <v>NC_000002.11:g.[7783504=];[7783504=]</v>
      </c>
    </row>
    <row r="121" spans="1:13">
      <c r="C121" s="3" t="str">
        <f>CONCATENATE("                    variantCall ",CHAR(40),CHAR(34),K120,CHAR(34),CHAR(41))</f>
        <v xml:space="preserve">                    variantCall ("NC_000001.10:g.[37325477=];[37325477=]")</v>
      </c>
      <c r="J121" s="3" t="str">
        <f t="shared" si="20"/>
        <v>Het%</v>
      </c>
      <c r="K121" s="3">
        <f t="shared" si="19"/>
        <v>43</v>
      </c>
      <c r="L121" s="3">
        <f t="shared" si="19"/>
        <v>1.8</v>
      </c>
      <c r="M121" s="3">
        <f t="shared" si="19"/>
        <v>15.8</v>
      </c>
    </row>
    <row r="122" spans="1:13">
      <c r="A122" s="14"/>
      <c r="C122" s="3" t="str">
        <f>CONCATENATE("                  } &gt; ")</f>
        <v xml:space="preserve">                  } &gt; </v>
      </c>
      <c r="J122" s="3" t="str">
        <f t="shared" si="20"/>
        <v>Homo%</v>
      </c>
      <c r="K122" s="3">
        <f t="shared" si="19"/>
        <v>19.899999999999999</v>
      </c>
      <c r="L122" s="3">
        <f t="shared" si="19"/>
        <v>0.5</v>
      </c>
      <c r="M122" s="3">
        <f t="shared" si="19"/>
        <v>4.7</v>
      </c>
    </row>
    <row r="123" spans="1:13">
      <c r="A123" s="26"/>
      <c r="J123" s="3" t="str">
        <f t="shared" si="20"/>
        <v>Wildtype%</v>
      </c>
      <c r="K123" s="3">
        <f t="shared" si="19"/>
        <v>37.1</v>
      </c>
      <c r="L123" s="3">
        <f t="shared" si="19"/>
        <v>97.8</v>
      </c>
      <c r="M123" s="3">
        <f t="shared" si="19"/>
        <v>79.5</v>
      </c>
    </row>
    <row r="124" spans="1:13">
      <c r="A124" s="14"/>
      <c r="C124" s="3" t="s">
        <v>26</v>
      </c>
    </row>
    <row r="125" spans="1:13">
      <c r="A125" s="14"/>
    </row>
    <row r="126" spans="1:13">
      <c r="A126" s="26"/>
      <c r="C126" s="3" t="str">
        <f>CONCATENATE("    ",B117)</f>
        <v xml:space="preserve">    People with this variant have one copy of the [A7783504C](https://www.ncbi.nlm.nih.gov/projects/SNP/snp_ref.cgi?rs=270838) variant. This substitution of a single nucleotide is known as a missense mutation.</v>
      </c>
    </row>
    <row r="127" spans="1:13">
      <c r="A127" s="14"/>
    </row>
    <row r="128" spans="1:13">
      <c r="A128" s="14"/>
      <c r="C128" s="3" t="s">
        <v>29</v>
      </c>
    </row>
    <row r="129" spans="1:13">
      <c r="A129" s="14"/>
    </row>
    <row r="130" spans="1:13">
      <c r="A130" s="14"/>
      <c r="C130" s="3" t="str">
        <f>CONCATENATE(B118)</f>
        <v>This variant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31" spans="1:13">
      <c r="A131" s="26"/>
    </row>
    <row r="132" spans="1:13">
      <c r="A132" s="26"/>
      <c r="C132" s="3" t="s">
        <v>30</v>
      </c>
    </row>
    <row r="133" spans="1:13">
      <c r="A133" s="26"/>
    </row>
    <row r="134" spans="1:13">
      <c r="A134" s="26"/>
      <c r="C134" s="3" t="str">
        <f>CONCATENATE( "    &lt;piechart percentage=",B119," /&gt;")</f>
        <v xml:space="preserve">    &lt;piechart percentage=15.8 /&gt;</v>
      </c>
    </row>
    <row r="135" spans="1:13">
      <c r="A135" s="26"/>
      <c r="C135" s="3" t="str">
        <f>"  &lt;/Analysis&gt;"</f>
        <v xml:space="preserve">  &lt;/Analysis&gt;</v>
      </c>
      <c r="K135" s="3" t="str">
        <f t="shared" ref="K135:M135" si="21">K113</f>
        <v>rs6691840</v>
      </c>
      <c r="L135" s="3" t="str">
        <f t="shared" si="21"/>
        <v>rs3913434</v>
      </c>
      <c r="M135" s="3" t="str">
        <f t="shared" si="21"/>
        <v>rs270838</v>
      </c>
    </row>
    <row r="136" spans="1:13" s="21" customFormat="1">
      <c r="A136" s="28" t="s">
        <v>69</v>
      </c>
      <c r="B136" s="20" t="str">
        <f>CONCATENATE(B48," and ",B92," and ",B114)</f>
        <v>T928G (T;G) and C36983994T (C;T) and A7783504C (A;C)</v>
      </c>
      <c r="C136" s="21" t="str">
        <f>CONCATENATE("&lt;# ",B136," #&gt;")</f>
        <v>&lt;# T928G (T;G) and C36983994T (C;T) and A7783504C (A;C) #&gt;</v>
      </c>
      <c r="K136" s="21" t="str">
        <f t="shared" ref="K136:M136" si="22">K114</f>
        <v>T928G</v>
      </c>
      <c r="L136" s="21" t="str">
        <f t="shared" si="22"/>
        <v>C36983994T</v>
      </c>
      <c r="M136" s="21" t="str">
        <f t="shared" si="22"/>
        <v>A7783504C</v>
      </c>
    </row>
    <row r="137" spans="1:13">
      <c r="A137" s="14" t="s">
        <v>21</v>
      </c>
      <c r="B137" s="15" t="str">
        <f>K52</f>
        <v>NC_000001.10:g.[37325477A&gt;G];[37325477=]</v>
      </c>
      <c r="K137" s="3" t="str">
        <f t="shared" ref="K137:M137" si="23">K115</f>
        <v>NC_000001.10:g.</v>
      </c>
      <c r="L137" s="3" t="str">
        <f t="shared" si="23"/>
        <v>NC_000001.10:g.</v>
      </c>
      <c r="M137" s="3" t="str">
        <f t="shared" si="23"/>
        <v>NC_000002.11:g.</v>
      </c>
    </row>
    <row r="138" spans="1:13">
      <c r="A138" s="14" t="s">
        <v>71</v>
      </c>
      <c r="C138" s="3" t="str">
        <f>CONCATENATE("  &lt;Analysis name=",CHAR(34),B136,CHAR(34))</f>
        <v xml:space="preserve">  &lt;Analysis name="T928G (T;G) and C36983994T (C;T) and A7783504C (A;C)"</v>
      </c>
      <c r="J138" s="3" t="str">
        <f t="shared" ref="J138:M138" si="24">J116</f>
        <v>Variant</v>
      </c>
      <c r="K138" s="3" t="str">
        <f t="shared" si="24"/>
        <v>[37325477A&gt;G]</v>
      </c>
      <c r="L138" s="3" t="str">
        <f t="shared" si="24"/>
        <v>[37449595C&gt;T]</v>
      </c>
      <c r="M138" s="3" t="str">
        <f t="shared" si="24"/>
        <v>[7783504A&gt;C]</v>
      </c>
    </row>
    <row r="139" spans="1:13">
      <c r="A139" s="26" t="s">
        <v>74</v>
      </c>
      <c r="B139" s="15" t="str">
        <f>CONCATENATE("People with this variant have one copy of the ",B22,", ",B31, ", and ",B40," variants. This substitution of a single nucleotide is known as a missense mutation.")</f>
        <v>People with this variant have one copy of the [T928G](https://www.ncbi.nlm.nih.gov/projects/SNP/snp_ref.cgi?rs=6691840)[(Ser310Ala)](https://www.ncbi.nlm.nih.gov/pubmed/11986986), [C36983994T](https://www.ncbi.nlm.nih.gov/projects/SNP/snp_ref.cgi?rs=3913434), and [A7783504C](https://www.ncbi.nlm.nih.gov/projects/SNP/snp_ref.cgi?rs=270838) variants. This substitution of a single nucleotide is known as a missense mutation.</v>
      </c>
      <c r="C139" s="3" t="str">
        <f>CONCATENATE("            case={  variantCall ",CHAR(40),CHAR(34),K140,CHAR(34),CHAR(41))</f>
        <v xml:space="preserve">            case={  variantCall ("NC_000001.10:g.[37325477A&gt;G];[37325477=]")</v>
      </c>
      <c r="J139" s="3" t="str">
        <f t="shared" ref="J139:M139" si="25">J117</f>
        <v>Wildtype</v>
      </c>
      <c r="K139" s="3" t="str">
        <f t="shared" si="25"/>
        <v>[37325477=]</v>
      </c>
      <c r="L139" s="3" t="str">
        <f t="shared" si="25"/>
        <v>[37449595=]</v>
      </c>
      <c r="M139" s="3" t="str">
        <f t="shared" si="25"/>
        <v>[7783504=]</v>
      </c>
    </row>
    <row r="140" spans="1:13">
      <c r="A140" s="26" t="s">
        <v>28</v>
      </c>
      <c r="B140" s="15" t="s">
        <v>118</v>
      </c>
      <c r="C140" s="3" t="s">
        <v>70</v>
      </c>
      <c r="J140" s="3" t="str">
        <f t="shared" ref="J140:M140" si="26">J118</f>
        <v>Het</v>
      </c>
      <c r="K140" s="3" t="str">
        <f t="shared" si="26"/>
        <v>NC_000001.10:g.[37325477A&gt;G];[37325477=]</v>
      </c>
      <c r="L140" s="3" t="str">
        <f t="shared" si="26"/>
        <v>NC_000001.10:g.[37449595C&gt;T];[37449595=]</v>
      </c>
      <c r="M140" s="3" t="str">
        <f t="shared" si="26"/>
        <v>NC_000002.11:g.[7783504A&gt;C];[7783504=]</v>
      </c>
    </row>
    <row r="141" spans="1:13">
      <c r="A141" s="26" t="s">
        <v>72</v>
      </c>
      <c r="C141" s="3" t="str">
        <f>CONCATENATE("                    variantCall ",CHAR(40),CHAR(34),L140,CHAR(34),CHAR(41))</f>
        <v xml:space="preserve">                    variantCall ("NC_000001.10:g.[37449595C&gt;T];[37449595=]")</v>
      </c>
      <c r="J141" s="3" t="str">
        <f t="shared" ref="J141:M141" si="27">J119</f>
        <v>Homo</v>
      </c>
      <c r="K141" s="3" t="str">
        <f t="shared" si="27"/>
        <v>NC_000001.10:g.[37325477A&gt;G];[37325477A&gt;G]</v>
      </c>
      <c r="L141" s="3" t="str">
        <f t="shared" si="27"/>
        <v>NC_000001.10:g.[37449595C&gt;T];[37449595C&gt;T]</v>
      </c>
      <c r="M141" s="3" t="str">
        <f t="shared" si="27"/>
        <v>NC_000002.11:g.[7783504A&gt;C];[7783504A&gt;C]</v>
      </c>
    </row>
    <row r="142" spans="1:13">
      <c r="A142" s="26"/>
      <c r="C142" s="3" t="s">
        <v>70</v>
      </c>
      <c r="J142" s="3" t="str">
        <f t="shared" ref="J142:M142" si="28">J120</f>
        <v>Wildtype</v>
      </c>
      <c r="K142" s="3" t="str">
        <f t="shared" si="28"/>
        <v>NC_000001.10:g.[37325477=];[37325477=]</v>
      </c>
      <c r="L142" s="3" t="str">
        <f t="shared" si="28"/>
        <v>NC_000001.10:g.[37449595=];[37449595=]</v>
      </c>
      <c r="M142" s="3" t="str">
        <f t="shared" si="28"/>
        <v>NC_000002.11:g.[7783504=];[7783504=]</v>
      </c>
    </row>
    <row r="143" spans="1:13">
      <c r="A143" s="26"/>
      <c r="C143" s="3" t="str">
        <f>CONCATENATE("                    variantCall ",CHAR(40),CHAR(34),M140,CHAR(34),CHAR(41))</f>
        <v xml:space="preserve">                    variantCall ("NC_000002.11:g.[7783504A&gt;C];[7783504=]")</v>
      </c>
      <c r="J143" s="3" t="str">
        <f t="shared" ref="J143:M143" si="29">J121</f>
        <v>Het%</v>
      </c>
      <c r="K143" s="3">
        <f t="shared" si="29"/>
        <v>43</v>
      </c>
      <c r="L143" s="3">
        <f t="shared" si="29"/>
        <v>1.8</v>
      </c>
      <c r="M143" s="3">
        <f t="shared" si="29"/>
        <v>15.8</v>
      </c>
    </row>
    <row r="144" spans="1:13">
      <c r="A144" s="26"/>
      <c r="C144" s="3" t="str">
        <f>CONCATENATE("                  } &gt; ")</f>
        <v xml:space="preserve">                  } &gt; </v>
      </c>
      <c r="J144" s="3" t="str">
        <f t="shared" ref="J144:M144" si="30">J122</f>
        <v>Homo%</v>
      </c>
      <c r="K144" s="3">
        <f t="shared" si="30"/>
        <v>19.899999999999999</v>
      </c>
      <c r="L144" s="3">
        <f t="shared" si="30"/>
        <v>0.5</v>
      </c>
      <c r="M144" s="3">
        <f t="shared" si="30"/>
        <v>4.7</v>
      </c>
    </row>
    <row r="145" spans="1:13">
      <c r="A145" s="14"/>
      <c r="J145" s="3" t="str">
        <f t="shared" ref="J145:M145" si="31">J123</f>
        <v>Wildtype%</v>
      </c>
      <c r="K145" s="3">
        <f t="shared" si="31"/>
        <v>37.1</v>
      </c>
      <c r="L145" s="3">
        <f t="shared" si="31"/>
        <v>97.8</v>
      </c>
      <c r="M145" s="3">
        <f t="shared" si="31"/>
        <v>79.5</v>
      </c>
    </row>
    <row r="146" spans="1:13">
      <c r="A146" s="14"/>
      <c r="C146" s="3" t="s">
        <v>26</v>
      </c>
    </row>
    <row r="147" spans="1:13">
      <c r="A147" s="14"/>
    </row>
    <row r="148" spans="1:13">
      <c r="A148" s="14"/>
      <c r="C148" s="3" t="str">
        <f>CONCATENATE("    ",B139)</f>
        <v xml:space="preserve">    People with this variant have one copy of the [T928G](https://www.ncbi.nlm.nih.gov/projects/SNP/snp_ref.cgi?rs=6691840)[(Ser310Ala)](https://www.ncbi.nlm.nih.gov/pubmed/11986986), [C36983994T](https://www.ncbi.nlm.nih.gov/projects/SNP/snp_ref.cgi?rs=3913434), and [A7783504C](https://www.ncbi.nlm.nih.gov/projects/SNP/snp_ref.cgi?rs=270838) variants. This substitution of a single nucleotide is known as a missense mutation.</v>
      </c>
    </row>
    <row r="149" spans="1:13">
      <c r="A149" s="14"/>
    </row>
    <row r="150" spans="1:13">
      <c r="A150" s="26"/>
      <c r="C150" s="3" t="s">
        <v>29</v>
      </c>
    </row>
    <row r="151" spans="1:13">
      <c r="A151" s="26"/>
    </row>
    <row r="152" spans="1:13">
      <c r="A152" s="26"/>
      <c r="C152" s="3" t="str">
        <f>CONCATENATE(B140)</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53" spans="1:13">
      <c r="A153" s="26"/>
    </row>
    <row r="154" spans="1:13">
      <c r="A154" s="26"/>
      <c r="C154" s="3" t="s">
        <v>30</v>
      </c>
    </row>
    <row r="155" spans="1:13">
      <c r="A155" s="26"/>
    </row>
    <row r="156" spans="1:13">
      <c r="A156" s="26"/>
      <c r="C156" s="3" t="str">
        <f>CONCATENATE( "    &lt;piechart percentage=",B141," /&gt;")</f>
        <v xml:space="preserve">    &lt;piechart percentage= /&gt;</v>
      </c>
    </row>
    <row r="157" spans="1:13">
      <c r="A157" s="26"/>
      <c r="C157" s="3" t="str">
        <f>"  &lt;/Analysis&gt;"</f>
        <v xml:space="preserve">  &lt;/Analysis&gt;</v>
      </c>
      <c r="K157" s="3" t="str">
        <f t="shared" ref="K157:M157" si="32">K135</f>
        <v>rs6691840</v>
      </c>
      <c r="L157" s="3" t="str">
        <f t="shared" si="32"/>
        <v>rs3913434</v>
      </c>
      <c r="M157" s="3" t="str">
        <f t="shared" si="32"/>
        <v>rs270838</v>
      </c>
    </row>
    <row r="158" spans="1:13" s="21" customFormat="1">
      <c r="A158" s="28" t="s">
        <v>69</v>
      </c>
      <c r="B158" s="20" t="str">
        <f>CONCATENATE(B70," and ",B92," and ",B114)</f>
        <v>T928G (G;G) and C36983994T (C;T) and A7783504C (A;C)</v>
      </c>
      <c r="C158" s="21" t="str">
        <f>CONCATENATE("&lt;# ",B158," #&gt;")</f>
        <v>&lt;# T928G (G;G) and C36983994T (C;T) and A7783504C (A;C) #&gt;</v>
      </c>
      <c r="K158" s="21" t="str">
        <f t="shared" ref="K158:M158" si="33">K136</f>
        <v>T928G</v>
      </c>
      <c r="L158" s="21" t="str">
        <f t="shared" si="33"/>
        <v>C36983994T</v>
      </c>
      <c r="M158" s="21" t="str">
        <f t="shared" si="33"/>
        <v>A7783504C</v>
      </c>
    </row>
    <row r="159" spans="1:13">
      <c r="A159" s="14" t="s">
        <v>21</v>
      </c>
      <c r="B159" s="15" t="str">
        <f>K74</f>
        <v>NC_000001.10:g.[37325477A&gt;G];[37325477=]</v>
      </c>
      <c r="K159" s="3" t="str">
        <f t="shared" ref="K159:M159" si="34">K137</f>
        <v>NC_000001.10:g.</v>
      </c>
      <c r="L159" s="3" t="str">
        <f t="shared" si="34"/>
        <v>NC_000001.10:g.</v>
      </c>
      <c r="M159" s="3" t="str">
        <f t="shared" si="34"/>
        <v>NC_000002.11:g.</v>
      </c>
    </row>
    <row r="160" spans="1:13">
      <c r="A160" s="14" t="s">
        <v>71</v>
      </c>
      <c r="C160" s="3" t="str">
        <f>CONCATENATE("  &lt;Analysis name=",CHAR(34),B158,CHAR(34))</f>
        <v xml:space="preserve">  &lt;Analysis name="T928G (G;G) and C36983994T (C;T) and A7783504C (A;C)"</v>
      </c>
      <c r="J160" s="3" t="str">
        <f t="shared" ref="J160:M160" si="35">J138</f>
        <v>Variant</v>
      </c>
      <c r="K160" s="3" t="str">
        <f t="shared" si="35"/>
        <v>[37325477A&gt;G]</v>
      </c>
      <c r="L160" s="3" t="str">
        <f t="shared" si="35"/>
        <v>[37449595C&gt;T]</v>
      </c>
      <c r="M160" s="3" t="str">
        <f t="shared" si="35"/>
        <v>[7783504A&gt;C]</v>
      </c>
    </row>
    <row r="161" spans="1:13">
      <c r="A161" s="26" t="s">
        <v>74</v>
      </c>
      <c r="B161" s="15" t="str">
        <f>CONCATENATE("People with this variant have two copies of the ",B22," variant and one copy of the ",B31, " and ",B40," variants. This substitution of a single nucleotide is known as a missense mutation.")</f>
        <v>People with this variant have two copies of the [T928G](https://www.ncbi.nlm.nih.gov/projects/SNP/snp_ref.cgi?rs=6691840)[(Ser310Ala)](https://www.ncbi.nlm.nih.gov/pubmed/11986986) variant and one copy of the [C36983994T](https://www.ncbi.nlm.nih.gov/projects/SNP/snp_ref.cgi?rs=3913434) and [A7783504C](https://www.ncbi.nlm.nih.gov/projects/SNP/snp_ref.cgi?rs=270838) variants. This substitution of a single nucleotide is known as a missense mutation.</v>
      </c>
      <c r="C161" s="3" t="str">
        <f>CONCATENATE("            case={  variantCall ",CHAR(40),CHAR(34),K163,CHAR(34),CHAR(41))</f>
        <v xml:space="preserve">            case={  variantCall ("NC_000001.10:g.[37325477A&gt;G];[37325477A&gt;G]")</v>
      </c>
      <c r="J161" s="3" t="str">
        <f t="shared" ref="J161:M161" si="36">J139</f>
        <v>Wildtype</v>
      </c>
      <c r="K161" s="3" t="str">
        <f t="shared" si="36"/>
        <v>[37325477=]</v>
      </c>
      <c r="L161" s="3" t="str">
        <f t="shared" si="36"/>
        <v>[37449595=]</v>
      </c>
      <c r="M161" s="3" t="str">
        <f t="shared" si="36"/>
        <v>[7783504=]</v>
      </c>
    </row>
    <row r="162" spans="1:13" ht="409.5">
      <c r="A162" s="26" t="s">
        <v>28</v>
      </c>
      <c r="B162" s="36" t="s">
        <v>118</v>
      </c>
      <c r="C162" s="3" t="s">
        <v>70</v>
      </c>
      <c r="J162" s="3" t="str">
        <f t="shared" ref="J162:M162" si="37">J140</f>
        <v>Het</v>
      </c>
      <c r="K162" s="3" t="str">
        <f t="shared" si="37"/>
        <v>NC_000001.10:g.[37325477A&gt;G];[37325477=]</v>
      </c>
      <c r="L162" s="3" t="str">
        <f t="shared" si="37"/>
        <v>NC_000001.10:g.[37449595C&gt;T];[37449595=]</v>
      </c>
      <c r="M162" s="3" t="str">
        <f t="shared" si="37"/>
        <v>NC_000002.11:g.[7783504A&gt;C];[7783504=]</v>
      </c>
    </row>
    <row r="163" spans="1:13">
      <c r="A163" s="26" t="s">
        <v>72</v>
      </c>
      <c r="C163" s="3" t="str">
        <f>CONCATENATE("                    variantCall ",CHAR(40),CHAR(34),L162,CHAR(34),CHAR(41))</f>
        <v xml:space="preserve">                    variantCall ("NC_000001.10:g.[37449595C&gt;T];[37449595=]")</v>
      </c>
      <c r="J163" s="3" t="str">
        <f t="shared" ref="J163:M163" si="38">J141</f>
        <v>Homo</v>
      </c>
      <c r="K163" s="3" t="str">
        <f t="shared" si="38"/>
        <v>NC_000001.10:g.[37325477A&gt;G];[37325477A&gt;G]</v>
      </c>
      <c r="L163" s="3" t="str">
        <f t="shared" si="38"/>
        <v>NC_000001.10:g.[37449595C&gt;T];[37449595C&gt;T]</v>
      </c>
      <c r="M163" s="3" t="str">
        <f t="shared" si="38"/>
        <v>NC_000002.11:g.[7783504A&gt;C];[7783504A&gt;C]</v>
      </c>
    </row>
    <row r="164" spans="1:13">
      <c r="A164" s="26"/>
      <c r="C164" s="3" t="s">
        <v>70</v>
      </c>
      <c r="J164" s="3" t="str">
        <f t="shared" ref="J164:M164" si="39">J142</f>
        <v>Wildtype</v>
      </c>
      <c r="K164" s="3" t="str">
        <f t="shared" si="39"/>
        <v>NC_000001.10:g.[37325477=];[37325477=]</v>
      </c>
      <c r="L164" s="3" t="str">
        <f t="shared" si="39"/>
        <v>NC_000001.10:g.[37449595=];[37449595=]</v>
      </c>
      <c r="M164" s="3" t="str">
        <f t="shared" si="39"/>
        <v>NC_000002.11:g.[7783504=];[7783504=]</v>
      </c>
    </row>
    <row r="165" spans="1:13">
      <c r="A165" s="26"/>
      <c r="C165" s="3" t="str">
        <f>CONCATENATE("                    variantCall ",CHAR(40),CHAR(34),M162,CHAR(34),CHAR(41))</f>
        <v xml:space="preserve">                    variantCall ("NC_000002.11:g.[7783504A&gt;C];[7783504=]")</v>
      </c>
      <c r="J165" s="3" t="str">
        <f t="shared" ref="J165:M165" si="40">J143</f>
        <v>Het%</v>
      </c>
      <c r="K165" s="3">
        <f t="shared" si="40"/>
        <v>43</v>
      </c>
      <c r="L165" s="3">
        <f t="shared" si="40"/>
        <v>1.8</v>
      </c>
      <c r="M165" s="3">
        <f t="shared" si="40"/>
        <v>15.8</v>
      </c>
    </row>
    <row r="166" spans="1:13">
      <c r="A166" s="26"/>
      <c r="C166" s="3" t="str">
        <f>CONCATENATE("                  } &gt; ")</f>
        <v xml:space="preserve">                  } &gt; </v>
      </c>
      <c r="J166" s="3" t="str">
        <f t="shared" ref="J166:M166" si="41">J144</f>
        <v>Homo%</v>
      </c>
      <c r="K166" s="3">
        <f t="shared" si="41"/>
        <v>19.899999999999999</v>
      </c>
      <c r="L166" s="3">
        <f t="shared" si="41"/>
        <v>0.5</v>
      </c>
      <c r="M166" s="3">
        <f t="shared" si="41"/>
        <v>4.7</v>
      </c>
    </row>
    <row r="167" spans="1:13">
      <c r="A167" s="14"/>
      <c r="J167" s="3" t="str">
        <f t="shared" ref="J167:M167" si="42">J145</f>
        <v>Wildtype%</v>
      </c>
      <c r="K167" s="3">
        <f t="shared" si="42"/>
        <v>37.1</v>
      </c>
      <c r="L167" s="3">
        <f t="shared" si="42"/>
        <v>97.8</v>
      </c>
      <c r="M167" s="3">
        <f t="shared" si="42"/>
        <v>79.5</v>
      </c>
    </row>
    <row r="168" spans="1:13">
      <c r="A168" s="14"/>
      <c r="C168" s="3" t="s">
        <v>26</v>
      </c>
    </row>
    <row r="169" spans="1:13">
      <c r="A169" s="14"/>
    </row>
    <row r="170" spans="1:13">
      <c r="A170" s="14"/>
      <c r="C170" s="3" t="str">
        <f>CONCATENATE("    ",B161)</f>
        <v xml:space="preserve">    People with this variant have two copies of the [T928G](https://www.ncbi.nlm.nih.gov/projects/SNP/snp_ref.cgi?rs=6691840)[(Ser310Ala)](https://www.ncbi.nlm.nih.gov/pubmed/11986986) variant and one copy of the [C36983994T](https://www.ncbi.nlm.nih.gov/projects/SNP/snp_ref.cgi?rs=3913434) and [A7783504C](https://www.ncbi.nlm.nih.gov/projects/SNP/snp_ref.cgi?rs=270838) variants. This substitution of a single nucleotide is known as a missense mutation.</v>
      </c>
    </row>
    <row r="171" spans="1:13">
      <c r="A171" s="14"/>
    </row>
    <row r="172" spans="1:13">
      <c r="A172" s="26"/>
      <c r="C172" s="3" t="s">
        <v>29</v>
      </c>
    </row>
    <row r="173" spans="1:13">
      <c r="A173" s="26"/>
    </row>
    <row r="174" spans="1:13">
      <c r="A174" s="26"/>
      <c r="C174" s="3" t="str">
        <f>CONCATENATE(B162)</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75" spans="1:13">
      <c r="A175" s="26"/>
    </row>
    <row r="176" spans="1:13">
      <c r="A176" s="26"/>
      <c r="C176" s="3" t="s">
        <v>30</v>
      </c>
    </row>
    <row r="177" spans="1:13">
      <c r="A177" s="26"/>
    </row>
    <row r="178" spans="1:13">
      <c r="A178" s="26"/>
      <c r="C178" s="3" t="str">
        <f>CONCATENATE( "    &lt;piechart percentage=",B163," /&gt;")</f>
        <v xml:space="preserve">    &lt;piechart percentage= /&gt;</v>
      </c>
    </row>
    <row r="179" spans="1:13">
      <c r="A179" s="26"/>
      <c r="C179" s="3" t="str">
        <f>"  &lt;/Analysis&gt;"</f>
        <v xml:space="preserve">  &lt;/Analysis&gt;</v>
      </c>
      <c r="K179" s="3" t="str">
        <f t="shared" ref="K179:M179" si="43">K157</f>
        <v>rs6691840</v>
      </c>
      <c r="L179" s="3" t="str">
        <f t="shared" si="43"/>
        <v>rs3913434</v>
      </c>
      <c r="M179" s="3" t="str">
        <f t="shared" si="43"/>
        <v>rs270838</v>
      </c>
    </row>
    <row r="180" spans="1:13" s="21" customFormat="1">
      <c r="A180" s="28" t="s">
        <v>69</v>
      </c>
      <c r="B180" s="20" t="str">
        <f>CONCATENATE(B48," and ",B92)</f>
        <v>T928G (T;G) and C36983994T (C;T)</v>
      </c>
      <c r="C180" s="21" t="str">
        <f>CONCATENATE("&lt;# ",B180," #&gt;")</f>
        <v>&lt;# T928G (T;G) and C36983994T (C;T) #&gt;</v>
      </c>
      <c r="K180" s="21" t="str">
        <f t="shared" ref="K180:M180" si="44">K158</f>
        <v>T928G</v>
      </c>
      <c r="L180" s="21" t="str">
        <f t="shared" si="44"/>
        <v>C36983994T</v>
      </c>
      <c r="M180" s="21" t="str">
        <f t="shared" si="44"/>
        <v>A7783504C</v>
      </c>
    </row>
    <row r="181" spans="1:13">
      <c r="A181" s="14" t="s">
        <v>21</v>
      </c>
      <c r="B181" s="15" t="str">
        <f>K96</f>
        <v>NC_000001.10:g.[37325477A&gt;G];[37325477=]</v>
      </c>
      <c r="K181" s="3" t="str">
        <f t="shared" ref="K181:M181" si="45">K159</f>
        <v>NC_000001.10:g.</v>
      </c>
      <c r="L181" s="3" t="str">
        <f t="shared" si="45"/>
        <v>NC_000001.10:g.</v>
      </c>
      <c r="M181" s="3" t="str">
        <f t="shared" si="45"/>
        <v>NC_000002.11:g.</v>
      </c>
    </row>
    <row r="182" spans="1:13">
      <c r="A182" s="14" t="s">
        <v>71</v>
      </c>
      <c r="C182" s="3" t="str">
        <f>CONCATENATE("  &lt;Analysis name=",CHAR(34),B180,CHAR(34))</f>
        <v xml:space="preserve">  &lt;Analysis name="T928G (T;G) and C36983994T (C;T)"</v>
      </c>
      <c r="J182" s="3" t="str">
        <f t="shared" ref="J182:M182" si="46">J160</f>
        <v>Variant</v>
      </c>
      <c r="K182" s="3" t="str">
        <f t="shared" si="46"/>
        <v>[37325477A&gt;G]</v>
      </c>
      <c r="L182" s="3" t="str">
        <f t="shared" si="46"/>
        <v>[37449595C&gt;T]</v>
      </c>
      <c r="M182" s="3" t="str">
        <f t="shared" si="46"/>
        <v>[7783504A&gt;C]</v>
      </c>
    </row>
    <row r="183" spans="1:13">
      <c r="A183" s="26" t="s">
        <v>74</v>
      </c>
      <c r="B183" s="15" t="str">
        <f>CONCATENATE("People with this variant have one copy of the ",B22, ", and ",B31," variants. This substitution of a single nucleotide is known as a missense mutation.")</f>
        <v>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c r="C183" s="3" t="str">
        <f>CONCATENATE("            case={  variantCall ",CHAR(40),CHAR(34),K184,CHAR(34),CHAR(41))</f>
        <v xml:space="preserve">            case={  variantCall ("NC_000001.10:g.[37325477A&gt;G];[37325477=]")</v>
      </c>
      <c r="J183" s="3" t="str">
        <f t="shared" ref="J183:M183" si="47">J161</f>
        <v>Wildtype</v>
      </c>
      <c r="K183" s="3" t="str">
        <f t="shared" si="47"/>
        <v>[37325477=]</v>
      </c>
      <c r="L183" s="3" t="str">
        <f t="shared" si="47"/>
        <v>[37449595=]</v>
      </c>
      <c r="M183" s="3" t="str">
        <f t="shared" si="47"/>
        <v>[7783504=]</v>
      </c>
    </row>
    <row r="184" spans="1:13">
      <c r="A184" s="26" t="s">
        <v>28</v>
      </c>
      <c r="B184" s="15" t="s">
        <v>113</v>
      </c>
      <c r="C184" s="3" t="s">
        <v>70</v>
      </c>
      <c r="J184" s="3" t="str">
        <f t="shared" ref="J184:M184" si="48">J162</f>
        <v>Het</v>
      </c>
      <c r="K184" s="3" t="str">
        <f t="shared" si="48"/>
        <v>NC_000001.10:g.[37325477A&gt;G];[37325477=]</v>
      </c>
      <c r="L184" s="3" t="str">
        <f t="shared" si="48"/>
        <v>NC_000001.10:g.[37449595C&gt;T];[37449595=]</v>
      </c>
      <c r="M184" s="3" t="str">
        <f t="shared" si="48"/>
        <v>NC_000002.11:g.[7783504A&gt;C];[7783504=]</v>
      </c>
    </row>
    <row r="185" spans="1:13">
      <c r="A185" s="26" t="s">
        <v>72</v>
      </c>
      <c r="C185" s="3" t="str">
        <f>CONCATENATE("                    variantCall ",CHAR(40),CHAR(34),L184,CHAR(34),CHAR(41))</f>
        <v xml:space="preserve">                    variantCall ("NC_000001.10:g.[37449595C&gt;T];[37449595=]")</v>
      </c>
      <c r="J185" s="3" t="str">
        <f t="shared" ref="J185:M185" si="49">J163</f>
        <v>Homo</v>
      </c>
      <c r="K185" s="3" t="str">
        <f t="shared" si="49"/>
        <v>NC_000001.10:g.[37325477A&gt;G];[37325477A&gt;G]</v>
      </c>
      <c r="L185" s="3" t="str">
        <f t="shared" si="49"/>
        <v>NC_000001.10:g.[37449595C&gt;T];[37449595C&gt;T]</v>
      </c>
      <c r="M185" s="3" t="str">
        <f t="shared" si="49"/>
        <v>NC_000002.11:g.[7783504A&gt;C];[7783504A&gt;C]</v>
      </c>
    </row>
    <row r="186" spans="1:13">
      <c r="A186" s="26"/>
      <c r="C186" s="3" t="s">
        <v>70</v>
      </c>
      <c r="J186" s="3" t="str">
        <f t="shared" ref="J186:M186" si="50">J164</f>
        <v>Wildtype</v>
      </c>
      <c r="K186" s="3" t="str">
        <f t="shared" si="50"/>
        <v>NC_000001.10:g.[37325477=];[37325477=]</v>
      </c>
      <c r="L186" s="3" t="str">
        <f t="shared" si="50"/>
        <v>NC_000001.10:g.[37449595=];[37449595=]</v>
      </c>
      <c r="M186" s="3" t="str">
        <f t="shared" si="50"/>
        <v>NC_000002.11:g.[7783504=];[7783504=]</v>
      </c>
    </row>
    <row r="187" spans="1:13">
      <c r="A187" s="26"/>
      <c r="C187" s="3" t="str">
        <f>CONCATENATE("                    variantCall ",CHAR(40),CHAR(34),M184,CHAR(34),CHAR(41))</f>
        <v xml:space="preserve">                    variantCall ("NC_000002.11:g.[7783504A&gt;C];[7783504=]")</v>
      </c>
      <c r="J187" s="3" t="str">
        <f t="shared" ref="J187:M187" si="51">J165</f>
        <v>Het%</v>
      </c>
      <c r="K187" s="3">
        <f t="shared" si="51"/>
        <v>43</v>
      </c>
      <c r="L187" s="3">
        <f t="shared" si="51"/>
        <v>1.8</v>
      </c>
      <c r="M187" s="3">
        <f t="shared" si="51"/>
        <v>15.8</v>
      </c>
    </row>
    <row r="188" spans="1:13">
      <c r="A188" s="26"/>
      <c r="C188" s="3" t="str">
        <f>CONCATENATE("                  } &gt; ")</f>
        <v xml:space="preserve">                  } &gt; </v>
      </c>
      <c r="J188" s="3" t="str">
        <f t="shared" ref="J188:M188" si="52">J166</f>
        <v>Homo%</v>
      </c>
      <c r="K188" s="3">
        <f t="shared" si="52"/>
        <v>19.899999999999999</v>
      </c>
      <c r="L188" s="3">
        <f t="shared" si="52"/>
        <v>0.5</v>
      </c>
      <c r="M188" s="3">
        <f t="shared" si="52"/>
        <v>4.7</v>
      </c>
    </row>
    <row r="189" spans="1:13">
      <c r="A189" s="14"/>
      <c r="J189" s="3" t="str">
        <f t="shared" ref="J189:M189" si="53">J167</f>
        <v>Wildtype%</v>
      </c>
      <c r="K189" s="3">
        <f t="shared" si="53"/>
        <v>37.1</v>
      </c>
      <c r="L189" s="3">
        <f t="shared" si="53"/>
        <v>97.8</v>
      </c>
      <c r="M189" s="3">
        <f t="shared" si="53"/>
        <v>79.5</v>
      </c>
    </row>
    <row r="190" spans="1:13">
      <c r="A190" s="14"/>
      <c r="C190" s="3" t="s">
        <v>26</v>
      </c>
    </row>
    <row r="191" spans="1:13">
      <c r="A191" s="14"/>
    </row>
    <row r="192" spans="1:13">
      <c r="A192" s="14"/>
      <c r="C192" s="3" t="str">
        <f>CONCATENATE("    ",B183)</f>
        <v xml:space="preserve">    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row>
    <row r="193" spans="1:13">
      <c r="A193" s="14"/>
    </row>
    <row r="194" spans="1:13">
      <c r="A194" s="26"/>
      <c r="C194" s="3" t="s">
        <v>29</v>
      </c>
    </row>
    <row r="195" spans="1:13">
      <c r="A195" s="26"/>
    </row>
    <row r="196" spans="1:13">
      <c r="A196" s="26"/>
      <c r="C196" s="3" t="str">
        <f>CONCATENATE(B184)</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97" spans="1:13">
      <c r="A197" s="26"/>
    </row>
    <row r="198" spans="1:13">
      <c r="A198" s="26"/>
      <c r="C198" s="3" t="s">
        <v>30</v>
      </c>
    </row>
    <row r="199" spans="1:13">
      <c r="A199" s="26"/>
    </row>
    <row r="200" spans="1:13">
      <c r="A200" s="26"/>
      <c r="C200" s="3" t="str">
        <f>CONCATENATE( "    &lt;piechart percentage=",B185," /&gt;")</f>
        <v xml:space="preserve">    &lt;piechart percentage= /&gt;</v>
      </c>
    </row>
    <row r="201" spans="1:13">
      <c r="A201" s="26"/>
      <c r="C201" s="3" t="str">
        <f>"  &lt;/Analysis&gt;"</f>
        <v xml:space="preserve">  &lt;/Analysis&gt;</v>
      </c>
      <c r="K201" s="3" t="str">
        <f t="shared" ref="K201:M201" si="54">K179</f>
        <v>rs6691840</v>
      </c>
      <c r="L201" s="3" t="str">
        <f t="shared" si="54"/>
        <v>rs3913434</v>
      </c>
      <c r="M201" s="3" t="str">
        <f t="shared" si="54"/>
        <v>rs270838</v>
      </c>
    </row>
    <row r="202" spans="1:13" s="21" customFormat="1">
      <c r="A202" s="28" t="s">
        <v>69</v>
      </c>
      <c r="B202" s="20" t="str">
        <f>CONCATENATE(B48," and ",B114)</f>
        <v>T928G (T;G) and A7783504C (A;C)</v>
      </c>
      <c r="C202" s="21" t="str">
        <f>CONCATENATE("&lt;# ",B202," #&gt;")</f>
        <v>&lt;# T928G (T;G) and A7783504C (A;C) #&gt;</v>
      </c>
      <c r="K202" s="21" t="str">
        <f t="shared" ref="K202:M202" si="55">K180</f>
        <v>T928G</v>
      </c>
      <c r="L202" s="21" t="str">
        <f t="shared" si="55"/>
        <v>C36983994T</v>
      </c>
      <c r="M202" s="21" t="str">
        <f t="shared" si="55"/>
        <v>A7783504C</v>
      </c>
    </row>
    <row r="203" spans="1:13">
      <c r="A203" s="14" t="s">
        <v>21</v>
      </c>
      <c r="B203" s="15" t="str">
        <f>K118</f>
        <v>NC_000001.10:g.[37325477A&gt;G];[37325477=]</v>
      </c>
      <c r="K203" s="3" t="str">
        <f t="shared" ref="K203:M203" si="56">K181</f>
        <v>NC_000001.10:g.</v>
      </c>
      <c r="L203" s="3" t="str">
        <f t="shared" si="56"/>
        <v>NC_000001.10:g.</v>
      </c>
      <c r="M203" s="3" t="str">
        <f t="shared" si="56"/>
        <v>NC_000002.11:g.</v>
      </c>
    </row>
    <row r="204" spans="1:13">
      <c r="A204" s="14" t="s">
        <v>71</v>
      </c>
      <c r="C204" s="3" t="str">
        <f>CONCATENATE("  &lt;Analysis name=",CHAR(34),B202,CHAR(34))</f>
        <v xml:space="preserve">  &lt;Analysis name="T928G (T;G) and A7783504C (A;C)"</v>
      </c>
      <c r="J204" s="3" t="str">
        <f t="shared" ref="J204:M204" si="57">J182</f>
        <v>Variant</v>
      </c>
      <c r="K204" s="3" t="str">
        <f t="shared" si="57"/>
        <v>[37325477A&gt;G]</v>
      </c>
      <c r="L204" s="3" t="str">
        <f t="shared" si="57"/>
        <v>[37449595C&gt;T]</v>
      </c>
      <c r="M204" s="3" t="str">
        <f t="shared" si="57"/>
        <v>[7783504A&gt;C]</v>
      </c>
    </row>
    <row r="205" spans="1:13">
      <c r="A205" s="26" t="s">
        <v>74</v>
      </c>
      <c r="B205" s="15" t="str">
        <f>CONCATENATE("People with this variant have one copy of the ",B22," and ",B40," variants. This substitution of a single nucleotide is known as a missense mutation.")</f>
        <v>People with this variant have one copy of the [T928G](https://www.ncbi.nlm.nih.gov/projects/SNP/snp_ref.cgi?rs=6691840)[(Ser310Ala)](https://www.ncbi.nlm.nih.gov/pubmed/11986986) and [A7783504C](https://www.ncbi.nlm.nih.gov/projects/SNP/snp_ref.cgi?rs=270838) variants. This substitution of a single nucleotide is known as a missense mutation.</v>
      </c>
      <c r="C205" s="3" t="str">
        <f>CONCATENATE("            case={  variantCall ",CHAR(40),CHAR(34),K206,CHAR(34),CHAR(41))</f>
        <v xml:space="preserve">            case={  variantCall ("NC_000001.10:g.[37325477A&gt;G];[37325477=]")</v>
      </c>
      <c r="J205" s="3" t="str">
        <f t="shared" ref="J205:M205" si="58">J183</f>
        <v>Wildtype</v>
      </c>
      <c r="K205" s="3" t="str">
        <f t="shared" si="58"/>
        <v>[37325477=]</v>
      </c>
      <c r="L205" s="3" t="str">
        <f t="shared" si="58"/>
        <v>[37449595=]</v>
      </c>
      <c r="M205" s="3" t="str">
        <f t="shared" si="58"/>
        <v>[7783504=]</v>
      </c>
    </row>
    <row r="206" spans="1:13">
      <c r="A206" s="26" t="s">
        <v>28</v>
      </c>
      <c r="B206" s="15" t="s">
        <v>114</v>
      </c>
      <c r="C206" s="3" t="s">
        <v>70</v>
      </c>
      <c r="J206" s="3" t="str">
        <f t="shared" ref="J206:M206" si="59">J184</f>
        <v>Het</v>
      </c>
      <c r="K206" s="3" t="str">
        <f t="shared" si="59"/>
        <v>NC_000001.10:g.[37325477A&gt;G];[37325477=]</v>
      </c>
      <c r="L206" s="3" t="str">
        <f t="shared" si="59"/>
        <v>NC_000001.10:g.[37449595C&gt;T];[37449595=]</v>
      </c>
      <c r="M206" s="3" t="str">
        <f t="shared" si="59"/>
        <v>NC_000002.11:g.[7783504A&gt;C];[7783504=]</v>
      </c>
    </row>
    <row r="207" spans="1:13">
      <c r="A207" s="26" t="s">
        <v>72</v>
      </c>
      <c r="C207" s="3" t="str">
        <f>CONCATENATE("                    variantCall ",CHAR(40),CHAR(34),L206,CHAR(34),CHAR(41))</f>
        <v xml:space="preserve">                    variantCall ("NC_000001.10:g.[37449595C&gt;T];[37449595=]")</v>
      </c>
      <c r="J207" s="3" t="str">
        <f t="shared" ref="J207:M207" si="60">J185</f>
        <v>Homo</v>
      </c>
      <c r="K207" s="3" t="str">
        <f t="shared" si="60"/>
        <v>NC_000001.10:g.[37325477A&gt;G];[37325477A&gt;G]</v>
      </c>
      <c r="L207" s="3" t="str">
        <f t="shared" si="60"/>
        <v>NC_000001.10:g.[37449595C&gt;T];[37449595C&gt;T]</v>
      </c>
      <c r="M207" s="3" t="str">
        <f t="shared" si="60"/>
        <v>NC_000002.11:g.[7783504A&gt;C];[7783504A&gt;C]</v>
      </c>
    </row>
    <row r="208" spans="1:13">
      <c r="A208" s="26"/>
      <c r="C208" s="3" t="s">
        <v>70</v>
      </c>
      <c r="J208" s="3" t="str">
        <f t="shared" ref="J208:M208" si="61">J186</f>
        <v>Wildtype</v>
      </c>
      <c r="K208" s="3" t="str">
        <f t="shared" si="61"/>
        <v>NC_000001.10:g.[37325477=];[37325477=]</v>
      </c>
      <c r="L208" s="3" t="str">
        <f t="shared" si="61"/>
        <v>NC_000001.10:g.[37449595=];[37449595=]</v>
      </c>
      <c r="M208" s="3" t="str">
        <f t="shared" si="61"/>
        <v>NC_000002.11:g.[7783504=];[7783504=]</v>
      </c>
    </row>
    <row r="209" spans="1:13">
      <c r="A209" s="26"/>
      <c r="C209" s="3" t="str">
        <f>CONCATENATE("                    variantCall ",CHAR(40),CHAR(34),M206,CHAR(34),CHAR(41))</f>
        <v xml:space="preserve">                    variantCall ("NC_000002.11:g.[7783504A&gt;C];[7783504=]")</v>
      </c>
      <c r="J209" s="3" t="str">
        <f t="shared" ref="J209:M209" si="62">J187</f>
        <v>Het%</v>
      </c>
      <c r="K209" s="3">
        <f t="shared" si="62"/>
        <v>43</v>
      </c>
      <c r="L209" s="3">
        <f t="shared" si="62"/>
        <v>1.8</v>
      </c>
      <c r="M209" s="3">
        <f t="shared" si="62"/>
        <v>15.8</v>
      </c>
    </row>
    <row r="210" spans="1:13">
      <c r="A210" s="26"/>
      <c r="C210" s="3" t="str">
        <f>CONCATENATE("                  } &gt; ")</f>
        <v xml:space="preserve">                  } &gt; </v>
      </c>
      <c r="J210" s="3" t="str">
        <f t="shared" ref="J210:M210" si="63">J188</f>
        <v>Homo%</v>
      </c>
      <c r="K210" s="3">
        <f t="shared" si="63"/>
        <v>19.899999999999999</v>
      </c>
      <c r="L210" s="3">
        <f t="shared" si="63"/>
        <v>0.5</v>
      </c>
      <c r="M210" s="3">
        <f t="shared" si="63"/>
        <v>4.7</v>
      </c>
    </row>
    <row r="211" spans="1:13">
      <c r="A211" s="14"/>
      <c r="J211" s="3" t="str">
        <f t="shared" ref="J211:M211" si="64">J189</f>
        <v>Wildtype%</v>
      </c>
      <c r="K211" s="3">
        <f t="shared" si="64"/>
        <v>37.1</v>
      </c>
      <c r="L211" s="3">
        <f t="shared" si="64"/>
        <v>97.8</v>
      </c>
      <c r="M211" s="3">
        <f t="shared" si="64"/>
        <v>79.5</v>
      </c>
    </row>
    <row r="212" spans="1:13">
      <c r="A212" s="14"/>
      <c r="C212" s="3" t="s">
        <v>26</v>
      </c>
    </row>
    <row r="213" spans="1:13">
      <c r="A213" s="14"/>
    </row>
    <row r="214" spans="1:13">
      <c r="A214" s="14"/>
      <c r="C214" s="3" t="str">
        <f>CONCATENATE("    ",B205)</f>
        <v xml:space="preserve">    People with this variant have one copy of the [T928G](https://www.ncbi.nlm.nih.gov/projects/SNP/snp_ref.cgi?rs=6691840)[(Ser310Ala)](https://www.ncbi.nlm.nih.gov/pubmed/11986986) and [A7783504C](https://www.ncbi.nlm.nih.gov/projects/SNP/snp_ref.cgi?rs=270838) variants. This substitution of a single nucleotide is known as a missense mutation.</v>
      </c>
    </row>
    <row r="215" spans="1:13">
      <c r="A215" s="14"/>
    </row>
    <row r="216" spans="1:13">
      <c r="A216" s="26"/>
      <c r="C216" s="3" t="s">
        <v>29</v>
      </c>
    </row>
    <row r="217" spans="1:13">
      <c r="A217" s="26"/>
    </row>
    <row r="218" spans="1:13">
      <c r="A218" s="26"/>
      <c r="C218" s="3" t="str">
        <f>CONCATENATE(B206)</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19" spans="1:13">
      <c r="A219" s="26"/>
    </row>
    <row r="220" spans="1:13">
      <c r="A220" s="26"/>
      <c r="C220" s="3" t="s">
        <v>30</v>
      </c>
    </row>
    <row r="221" spans="1:13">
      <c r="A221" s="26"/>
    </row>
    <row r="222" spans="1:13">
      <c r="A222" s="26"/>
      <c r="C222" s="3" t="str">
        <f>CONCATENATE( "    &lt;piechart percentage=",B207," /&gt;")</f>
        <v xml:space="preserve">    &lt;piechart percentage= /&gt;</v>
      </c>
    </row>
    <row r="223" spans="1:13">
      <c r="A223" s="26"/>
      <c r="C223" s="3" t="str">
        <f>"  &lt;/Analysis&gt;"</f>
        <v xml:space="preserve">  &lt;/Analysis&gt;</v>
      </c>
      <c r="K223" s="3" t="str">
        <f t="shared" ref="K223:M223" si="65">K201</f>
        <v>rs6691840</v>
      </c>
      <c r="L223" s="3" t="str">
        <f t="shared" si="65"/>
        <v>rs3913434</v>
      </c>
      <c r="M223" s="3" t="str">
        <f t="shared" si="65"/>
        <v>rs270838</v>
      </c>
    </row>
    <row r="224" spans="1:13" s="21" customFormat="1">
      <c r="A224" s="28" t="s">
        <v>69</v>
      </c>
      <c r="B224" s="20" t="str">
        <f>CONCATENATE(B70," and ",B92)</f>
        <v>T928G (G;G) and C36983994T (C;T)</v>
      </c>
      <c r="C224" s="21" t="str">
        <f>CONCATENATE("&lt;# ",B224," #&gt;")</f>
        <v>&lt;# T928G (G;G) and C36983994T (C;T) #&gt;</v>
      </c>
      <c r="K224" s="21" t="str">
        <f t="shared" ref="K224:M224" si="66">K202</f>
        <v>T928G</v>
      </c>
      <c r="L224" s="21" t="str">
        <f t="shared" si="66"/>
        <v>C36983994T</v>
      </c>
      <c r="M224" s="21" t="str">
        <f t="shared" si="66"/>
        <v>A7783504C</v>
      </c>
    </row>
    <row r="225" spans="1:13">
      <c r="A225" s="14" t="s">
        <v>21</v>
      </c>
      <c r="B225" s="15" t="str">
        <f>K140</f>
        <v>NC_000001.10:g.[37325477A&gt;G];[37325477=]</v>
      </c>
      <c r="K225" s="3" t="str">
        <f t="shared" ref="K225:M225" si="67">K203</f>
        <v>NC_000001.10:g.</v>
      </c>
      <c r="L225" s="3" t="str">
        <f t="shared" si="67"/>
        <v>NC_000001.10:g.</v>
      </c>
      <c r="M225" s="3" t="str">
        <f t="shared" si="67"/>
        <v>NC_000002.11:g.</v>
      </c>
    </row>
    <row r="226" spans="1:13">
      <c r="A226" s="14" t="s">
        <v>71</v>
      </c>
      <c r="C226" s="3" t="str">
        <f>CONCATENATE("  &lt;Analysis name=",CHAR(34),B224,CHAR(34))</f>
        <v xml:space="preserve">  &lt;Analysis name="T928G (G;G) and C36983994T (C;T)"</v>
      </c>
      <c r="J226" s="3" t="str">
        <f t="shared" ref="J226:M226" si="68">J204</f>
        <v>Variant</v>
      </c>
      <c r="K226" s="3" t="str">
        <f t="shared" si="68"/>
        <v>[37325477A&gt;G]</v>
      </c>
      <c r="L226" s="3" t="str">
        <f t="shared" si="68"/>
        <v>[37449595C&gt;T]</v>
      </c>
      <c r="M226" s="3" t="str">
        <f t="shared" si="68"/>
        <v>[7783504A&gt;C]</v>
      </c>
    </row>
    <row r="227" spans="1:13">
      <c r="A227" s="26" t="s">
        <v>74</v>
      </c>
      <c r="B227" s="15" t="str">
        <f>CONCATENATE("People with this variant have two copies of the ",B22," variant and one copy of the ",B31," variant. This substitution of a single nucleotide is known as a missense mutation.")</f>
        <v>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c r="C227" s="3" t="str">
        <f>CONCATENATE("            case={  variantCall ",CHAR(40),CHAR(34),K228,CHAR(34),CHAR(41))</f>
        <v xml:space="preserve">            case={  variantCall ("NC_000001.10:g.[37325477A&gt;G];[37325477=]")</v>
      </c>
      <c r="J227" s="3" t="str">
        <f t="shared" ref="J227:M227" si="69">J205</f>
        <v>Wildtype</v>
      </c>
      <c r="K227" s="3" t="str">
        <f t="shared" si="69"/>
        <v>[37325477=]</v>
      </c>
      <c r="L227" s="3" t="str">
        <f t="shared" si="69"/>
        <v>[37449595=]</v>
      </c>
      <c r="M227" s="3" t="str">
        <f t="shared" si="69"/>
        <v>[7783504=]</v>
      </c>
    </row>
    <row r="228" spans="1:13">
      <c r="A228" s="26" t="s">
        <v>28</v>
      </c>
      <c r="B228" s="3" t="s">
        <v>115</v>
      </c>
      <c r="C228" s="3" t="s">
        <v>70</v>
      </c>
      <c r="J228" s="3" t="str">
        <f t="shared" ref="J228:M228" si="70">J206</f>
        <v>Het</v>
      </c>
      <c r="K228" s="3" t="str">
        <f t="shared" si="70"/>
        <v>NC_000001.10:g.[37325477A&gt;G];[37325477=]</v>
      </c>
      <c r="L228" s="3" t="str">
        <f t="shared" si="70"/>
        <v>NC_000001.10:g.[37449595C&gt;T];[37449595=]</v>
      </c>
      <c r="M228" s="3" t="str">
        <f t="shared" si="70"/>
        <v>NC_000002.11:g.[7783504A&gt;C];[7783504=]</v>
      </c>
    </row>
    <row r="229" spans="1:13">
      <c r="A229" s="26" t="s">
        <v>72</v>
      </c>
      <c r="C229" s="3" t="str">
        <f>CONCATENATE("                    variantCall ",CHAR(40),CHAR(34),L228,CHAR(34),CHAR(41))</f>
        <v xml:space="preserve">                    variantCall ("NC_000001.10:g.[37449595C&gt;T];[37449595=]")</v>
      </c>
      <c r="J229" s="3" t="str">
        <f t="shared" ref="J229:M229" si="71">J207</f>
        <v>Homo</v>
      </c>
      <c r="K229" s="3" t="str">
        <f t="shared" si="71"/>
        <v>NC_000001.10:g.[37325477A&gt;G];[37325477A&gt;G]</v>
      </c>
      <c r="L229" s="3" t="str">
        <f t="shared" si="71"/>
        <v>NC_000001.10:g.[37449595C&gt;T];[37449595C&gt;T]</v>
      </c>
      <c r="M229" s="3" t="str">
        <f t="shared" si="71"/>
        <v>NC_000002.11:g.[7783504A&gt;C];[7783504A&gt;C]</v>
      </c>
    </row>
    <row r="230" spans="1:13">
      <c r="A230" s="26"/>
      <c r="C230" s="3" t="s">
        <v>70</v>
      </c>
      <c r="J230" s="3" t="str">
        <f t="shared" ref="J230:M230" si="72">J208</f>
        <v>Wildtype</v>
      </c>
      <c r="K230" s="3" t="str">
        <f t="shared" si="72"/>
        <v>NC_000001.10:g.[37325477=];[37325477=]</v>
      </c>
      <c r="L230" s="3" t="str">
        <f t="shared" si="72"/>
        <v>NC_000001.10:g.[37449595=];[37449595=]</v>
      </c>
      <c r="M230" s="3" t="str">
        <f t="shared" si="72"/>
        <v>NC_000002.11:g.[7783504=];[7783504=]</v>
      </c>
    </row>
    <row r="231" spans="1:13">
      <c r="A231" s="26"/>
      <c r="C231" s="3" t="str">
        <f>CONCATENATE("                    variantCall ",CHAR(40),CHAR(34),M228,CHAR(34),CHAR(41))</f>
        <v xml:space="preserve">                    variantCall ("NC_000002.11:g.[7783504A&gt;C];[7783504=]")</v>
      </c>
      <c r="J231" s="3" t="str">
        <f t="shared" ref="J231:M231" si="73">J209</f>
        <v>Het%</v>
      </c>
      <c r="K231" s="3">
        <f t="shared" si="73"/>
        <v>43</v>
      </c>
      <c r="L231" s="3">
        <f t="shared" si="73"/>
        <v>1.8</v>
      </c>
      <c r="M231" s="3">
        <f t="shared" si="73"/>
        <v>15.8</v>
      </c>
    </row>
    <row r="232" spans="1:13">
      <c r="A232" s="26"/>
      <c r="C232" s="3" t="str">
        <f>CONCATENATE("                  } &gt; ")</f>
        <v xml:space="preserve">                  } &gt; </v>
      </c>
      <c r="J232" s="3" t="str">
        <f t="shared" ref="J232:M232" si="74">J210</f>
        <v>Homo%</v>
      </c>
      <c r="K232" s="3">
        <f t="shared" si="74"/>
        <v>19.899999999999999</v>
      </c>
      <c r="L232" s="3">
        <f t="shared" si="74"/>
        <v>0.5</v>
      </c>
      <c r="M232" s="3">
        <f t="shared" si="74"/>
        <v>4.7</v>
      </c>
    </row>
    <row r="233" spans="1:13">
      <c r="A233" s="14"/>
      <c r="J233" s="3" t="str">
        <f t="shared" ref="J233:M233" si="75">J211</f>
        <v>Wildtype%</v>
      </c>
      <c r="K233" s="3">
        <f t="shared" si="75"/>
        <v>37.1</v>
      </c>
      <c r="L233" s="3">
        <f t="shared" si="75"/>
        <v>97.8</v>
      </c>
      <c r="M233" s="3">
        <f t="shared" si="75"/>
        <v>79.5</v>
      </c>
    </row>
    <row r="234" spans="1:13">
      <c r="A234" s="14"/>
      <c r="C234" s="3" t="s">
        <v>26</v>
      </c>
    </row>
    <row r="235" spans="1:13">
      <c r="A235" s="14"/>
    </row>
    <row r="236" spans="1:13">
      <c r="A236" s="14"/>
      <c r="C236" s="3" t="str">
        <f>CONCATENATE("    ",B227)</f>
        <v xml:space="preserve">    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row>
    <row r="237" spans="1:13">
      <c r="A237" s="14"/>
    </row>
    <row r="238" spans="1:13">
      <c r="A238" s="26"/>
      <c r="C238" s="3" t="s">
        <v>29</v>
      </c>
    </row>
    <row r="239" spans="1:13">
      <c r="A239" s="26"/>
    </row>
    <row r="240" spans="1:13">
      <c r="A240" s="26"/>
      <c r="C240" s="3" t="str">
        <f>CONCATENATE(B228)</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41" spans="1:13">
      <c r="A241" s="26"/>
    </row>
    <row r="242" spans="1:13">
      <c r="A242" s="26"/>
      <c r="C242" s="3" t="s">
        <v>30</v>
      </c>
    </row>
    <row r="243" spans="1:13">
      <c r="A243" s="26"/>
    </row>
    <row r="244" spans="1:13">
      <c r="A244" s="26"/>
      <c r="C244" s="3" t="str">
        <f>CONCATENATE( "    &lt;piechart percentage=",B229," /&gt;")</f>
        <v xml:space="preserve">    &lt;piechart percentage= /&gt;</v>
      </c>
    </row>
    <row r="245" spans="1:13">
      <c r="A245" s="26"/>
      <c r="C245" s="3" t="str">
        <f>"  &lt;/Analysis&gt;"</f>
        <v xml:space="preserve">  &lt;/Analysis&gt;</v>
      </c>
      <c r="K245" s="3" t="str">
        <f t="shared" ref="K245:M245" si="76">K223</f>
        <v>rs6691840</v>
      </c>
      <c r="L245" s="3" t="str">
        <f t="shared" si="76"/>
        <v>rs3913434</v>
      </c>
      <c r="M245" s="3" t="str">
        <f t="shared" si="76"/>
        <v>rs270838</v>
      </c>
    </row>
    <row r="246" spans="1:13" s="21" customFormat="1">
      <c r="A246" s="28" t="s">
        <v>69</v>
      </c>
      <c r="B246" s="20" t="str">
        <f>CONCATENATE(B70," and ",B114)</f>
        <v>T928G (G;G) and A7783504C (A;C)</v>
      </c>
      <c r="C246" s="21" t="str">
        <f>CONCATENATE("&lt;# ",B246," #&gt;")</f>
        <v>&lt;# T928G (G;G) and A7783504C (A;C) #&gt;</v>
      </c>
      <c r="K246" s="21" t="str">
        <f t="shared" ref="K246:M246" si="77">K224</f>
        <v>T928G</v>
      </c>
      <c r="L246" s="21" t="str">
        <f t="shared" si="77"/>
        <v>C36983994T</v>
      </c>
      <c r="M246" s="21" t="str">
        <f t="shared" si="77"/>
        <v>A7783504C</v>
      </c>
    </row>
    <row r="247" spans="1:13">
      <c r="A247" s="14" t="s">
        <v>21</v>
      </c>
      <c r="B247" s="15" t="str">
        <f>K162</f>
        <v>NC_000001.10:g.[37325477A&gt;G];[37325477=]</v>
      </c>
      <c r="K247" s="3" t="str">
        <f t="shared" ref="K247:M247" si="78">K225</f>
        <v>NC_000001.10:g.</v>
      </c>
      <c r="L247" s="3" t="str">
        <f t="shared" si="78"/>
        <v>NC_000001.10:g.</v>
      </c>
      <c r="M247" s="3" t="str">
        <f t="shared" si="78"/>
        <v>NC_000002.11:g.</v>
      </c>
    </row>
    <row r="248" spans="1:13">
      <c r="A248" s="14" t="s">
        <v>71</v>
      </c>
      <c r="C248" s="3" t="str">
        <f>CONCATENATE("  &lt;Analysis name=",CHAR(34),B246,CHAR(34))</f>
        <v xml:space="preserve">  &lt;Analysis name="T928G (G;G) and A7783504C (A;C)"</v>
      </c>
      <c r="J248" s="3" t="str">
        <f t="shared" ref="J248:M248" si="79">J226</f>
        <v>Variant</v>
      </c>
      <c r="K248" s="3" t="str">
        <f t="shared" si="79"/>
        <v>[37325477A&gt;G]</v>
      </c>
      <c r="L248" s="3" t="str">
        <f t="shared" si="79"/>
        <v>[37449595C&gt;T]</v>
      </c>
      <c r="M248" s="3" t="str">
        <f t="shared" si="79"/>
        <v>[7783504A&gt;C]</v>
      </c>
    </row>
    <row r="249" spans="1:13">
      <c r="A249" s="26" t="s">
        <v>74</v>
      </c>
      <c r="B249" s="15" t="str">
        <f>CONCATENATE("People with this variant have two copies of the ",B22," variant and one copy of the ",B40," variant. This substitution of a single nucleotide is known as a missense mutation.")</f>
        <v>People with this variant have two copies of the [T928G](https://www.ncbi.nlm.nih.gov/projects/SNP/snp_ref.cgi?rs=6691840)[(Ser310Ala)](https://www.ncbi.nlm.nih.gov/pubmed/11986986) variant and one copy of the [A7783504C](https://www.ncbi.nlm.nih.gov/projects/SNP/snp_ref.cgi?rs=270838) variant. This substitution of a single nucleotide is known as a missense mutation.</v>
      </c>
      <c r="C249" s="3" t="str">
        <f>CONCATENATE("            case={  variantCall ",CHAR(40),CHAR(34),K250,CHAR(34),CHAR(41))</f>
        <v xml:space="preserve">            case={  variantCall ("NC_000001.10:g.[37325477A&gt;G];[37325477=]")</v>
      </c>
      <c r="J249" s="3" t="str">
        <f t="shared" ref="J249:M249" si="80">J227</f>
        <v>Wildtype</v>
      </c>
      <c r="K249" s="3" t="str">
        <f t="shared" si="80"/>
        <v>[37325477=]</v>
      </c>
      <c r="L249" s="3" t="str">
        <f t="shared" si="80"/>
        <v>[37449595=]</v>
      </c>
      <c r="M249" s="3" t="str">
        <f t="shared" si="80"/>
        <v>[7783504=]</v>
      </c>
    </row>
    <row r="250" spans="1:13">
      <c r="A250" s="26" t="s">
        <v>28</v>
      </c>
      <c r="B250" s="15" t="s">
        <v>116</v>
      </c>
      <c r="C250" s="3" t="s">
        <v>70</v>
      </c>
      <c r="J250" s="3" t="str">
        <f t="shared" ref="J250:M250" si="81">J228</f>
        <v>Het</v>
      </c>
      <c r="K250" s="3" t="str">
        <f t="shared" si="81"/>
        <v>NC_000001.10:g.[37325477A&gt;G];[37325477=]</v>
      </c>
      <c r="L250" s="3" t="str">
        <f t="shared" si="81"/>
        <v>NC_000001.10:g.[37449595C&gt;T];[37449595=]</v>
      </c>
      <c r="M250" s="3" t="str">
        <f t="shared" si="81"/>
        <v>NC_000002.11:g.[7783504A&gt;C];[7783504=]</v>
      </c>
    </row>
    <row r="251" spans="1:13">
      <c r="A251" s="26" t="s">
        <v>72</v>
      </c>
      <c r="C251" s="3" t="str">
        <f>CONCATENATE("                    variantCall ",CHAR(40),CHAR(34),L250,CHAR(34),CHAR(41))</f>
        <v xml:space="preserve">                    variantCall ("NC_000001.10:g.[37449595C&gt;T];[37449595=]")</v>
      </c>
      <c r="J251" s="3" t="str">
        <f t="shared" ref="J251:M251" si="82">J229</f>
        <v>Homo</v>
      </c>
      <c r="K251" s="3" t="str">
        <f t="shared" si="82"/>
        <v>NC_000001.10:g.[37325477A&gt;G];[37325477A&gt;G]</v>
      </c>
      <c r="L251" s="3" t="str">
        <f t="shared" si="82"/>
        <v>NC_000001.10:g.[37449595C&gt;T];[37449595C&gt;T]</v>
      </c>
      <c r="M251" s="3" t="str">
        <f t="shared" si="82"/>
        <v>NC_000002.11:g.[7783504A&gt;C];[7783504A&gt;C]</v>
      </c>
    </row>
    <row r="252" spans="1:13">
      <c r="A252" s="26"/>
      <c r="C252" s="3" t="s">
        <v>70</v>
      </c>
      <c r="J252" s="3" t="str">
        <f t="shared" ref="J252:M252" si="83">J230</f>
        <v>Wildtype</v>
      </c>
      <c r="K252" s="3" t="str">
        <f t="shared" si="83"/>
        <v>NC_000001.10:g.[37325477=];[37325477=]</v>
      </c>
      <c r="L252" s="3" t="str">
        <f t="shared" si="83"/>
        <v>NC_000001.10:g.[37449595=];[37449595=]</v>
      </c>
      <c r="M252" s="3" t="str">
        <f t="shared" si="83"/>
        <v>NC_000002.11:g.[7783504=];[7783504=]</v>
      </c>
    </row>
    <row r="253" spans="1:13">
      <c r="A253" s="26"/>
      <c r="C253" s="3" t="str">
        <f>CONCATENATE("                    variantCall ",CHAR(40),CHAR(34),M250,CHAR(34),CHAR(41))</f>
        <v xml:space="preserve">                    variantCall ("NC_000002.11:g.[7783504A&gt;C];[7783504=]")</v>
      </c>
      <c r="J253" s="3" t="str">
        <f t="shared" ref="J253:M253" si="84">J231</f>
        <v>Het%</v>
      </c>
      <c r="K253" s="3">
        <f t="shared" si="84"/>
        <v>43</v>
      </c>
      <c r="L253" s="3">
        <f t="shared" si="84"/>
        <v>1.8</v>
      </c>
      <c r="M253" s="3">
        <f t="shared" si="84"/>
        <v>15.8</v>
      </c>
    </row>
    <row r="254" spans="1:13">
      <c r="A254" s="26"/>
      <c r="C254" s="3" t="str">
        <f>CONCATENATE("                  } &gt; ")</f>
        <v xml:space="preserve">                  } &gt; </v>
      </c>
      <c r="J254" s="3" t="str">
        <f t="shared" ref="J254:M254" si="85">J232</f>
        <v>Homo%</v>
      </c>
      <c r="K254" s="3">
        <f t="shared" si="85"/>
        <v>19.899999999999999</v>
      </c>
      <c r="L254" s="3">
        <f t="shared" si="85"/>
        <v>0.5</v>
      </c>
      <c r="M254" s="3">
        <f t="shared" si="85"/>
        <v>4.7</v>
      </c>
    </row>
    <row r="255" spans="1:13">
      <c r="A255" s="14"/>
      <c r="J255" s="3" t="str">
        <f t="shared" ref="J255:M255" si="86">J233</f>
        <v>Wildtype%</v>
      </c>
      <c r="K255" s="3">
        <f t="shared" si="86"/>
        <v>37.1</v>
      </c>
      <c r="L255" s="3">
        <f t="shared" si="86"/>
        <v>97.8</v>
      </c>
      <c r="M255" s="3">
        <f t="shared" si="86"/>
        <v>79.5</v>
      </c>
    </row>
    <row r="256" spans="1:13">
      <c r="A256" s="14"/>
      <c r="C256" s="3" t="s">
        <v>26</v>
      </c>
    </row>
    <row r="257" spans="1:13">
      <c r="A257" s="14"/>
    </row>
    <row r="258" spans="1:13">
      <c r="A258" s="14"/>
      <c r="C258" s="3" t="str">
        <f>CONCATENATE("    ",B249)</f>
        <v xml:space="preserve">    People with this variant have two copies of the [T928G](https://www.ncbi.nlm.nih.gov/projects/SNP/snp_ref.cgi?rs=6691840)[(Ser310Ala)](https://www.ncbi.nlm.nih.gov/pubmed/11986986) variant and one copy of the [A7783504C](https://www.ncbi.nlm.nih.gov/projects/SNP/snp_ref.cgi?rs=270838) variant. This substitution of a single nucleotide is known as a missense mutation.</v>
      </c>
    </row>
    <row r="259" spans="1:13">
      <c r="A259" s="14"/>
    </row>
    <row r="260" spans="1:13">
      <c r="A260" s="26"/>
      <c r="C260" s="3" t="s">
        <v>29</v>
      </c>
    </row>
    <row r="261" spans="1:13">
      <c r="A261" s="26"/>
    </row>
    <row r="262" spans="1:13">
      <c r="A262" s="26"/>
      <c r="C262" s="3" t="str">
        <f>CONCATENATE(B250)</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63" spans="1:13">
      <c r="A263" s="26"/>
    </row>
    <row r="264" spans="1:13">
      <c r="A264" s="26"/>
      <c r="C264" s="3" t="s">
        <v>30</v>
      </c>
    </row>
    <row r="265" spans="1:13">
      <c r="A265" s="26"/>
    </row>
    <row r="266" spans="1:13">
      <c r="A266" s="26"/>
      <c r="C266" s="3" t="str">
        <f>CONCATENATE( "    &lt;piechart percentage=",B251," /&gt;")</f>
        <v xml:space="preserve">    &lt;piechart percentage= /&gt;</v>
      </c>
    </row>
    <row r="267" spans="1:13">
      <c r="A267" s="26"/>
      <c r="C267" s="3" t="str">
        <f>"  &lt;/Analysis&gt;"</f>
        <v xml:space="preserve">  &lt;/Analysis&gt;</v>
      </c>
      <c r="K267" s="3" t="str">
        <f t="shared" ref="K267:M267" si="87">K245</f>
        <v>rs6691840</v>
      </c>
      <c r="L267" s="3" t="str">
        <f t="shared" si="87"/>
        <v>rs3913434</v>
      </c>
      <c r="M267" s="3" t="str">
        <f t="shared" si="87"/>
        <v>rs270838</v>
      </c>
    </row>
    <row r="268" spans="1:13" s="21" customFormat="1">
      <c r="A268" s="28" t="s">
        <v>69</v>
      </c>
      <c r="B268" s="20" t="str">
        <f>CONCATENATE(B92," and ",B114)</f>
        <v>C36983994T (C;T) and A7783504C (A;C)</v>
      </c>
      <c r="C268" s="21" t="str">
        <f>CONCATENATE("&lt;# ",B268," #&gt;")</f>
        <v>&lt;# C36983994T (C;T) and A7783504C (A;C) #&gt;</v>
      </c>
      <c r="K268" s="21" t="str">
        <f t="shared" ref="K268:M268" si="88">K246</f>
        <v>T928G</v>
      </c>
      <c r="L268" s="21" t="str">
        <f t="shared" si="88"/>
        <v>C36983994T</v>
      </c>
      <c r="M268" s="21" t="str">
        <f t="shared" si="88"/>
        <v>A7783504C</v>
      </c>
    </row>
    <row r="269" spans="1:13">
      <c r="A269" s="14" t="s">
        <v>21</v>
      </c>
      <c r="B269" s="15" t="str">
        <f>K184</f>
        <v>NC_000001.10:g.[37325477A&gt;G];[37325477=]</v>
      </c>
      <c r="K269" s="3" t="str">
        <f t="shared" ref="K269:M269" si="89">K247</f>
        <v>NC_000001.10:g.</v>
      </c>
      <c r="L269" s="3" t="str">
        <f t="shared" si="89"/>
        <v>NC_000001.10:g.</v>
      </c>
      <c r="M269" s="3" t="str">
        <f t="shared" si="89"/>
        <v>NC_000002.11:g.</v>
      </c>
    </row>
    <row r="270" spans="1:13">
      <c r="A270" s="14" t="s">
        <v>71</v>
      </c>
      <c r="C270" s="3" t="str">
        <f>CONCATENATE("  &lt;Analysis name=",CHAR(34),B268,CHAR(34))</f>
        <v xml:space="preserve">  &lt;Analysis name="C36983994T (C;T) and A7783504C (A;C)"</v>
      </c>
      <c r="J270" s="3" t="str">
        <f t="shared" ref="J270:M270" si="90">J248</f>
        <v>Variant</v>
      </c>
      <c r="K270" s="3" t="str">
        <f t="shared" si="90"/>
        <v>[37325477A&gt;G]</v>
      </c>
      <c r="L270" s="3" t="str">
        <f t="shared" si="90"/>
        <v>[37449595C&gt;T]</v>
      </c>
      <c r="M270" s="3" t="str">
        <f t="shared" si="90"/>
        <v>[7783504A&gt;C]</v>
      </c>
    </row>
    <row r="271" spans="1:13">
      <c r="A271" s="26" t="s">
        <v>74</v>
      </c>
      <c r="B271" s="15" t="str">
        <f>CONCATENATE("People with this variant have one copy of the ",B31," and ",B40," variants. This substitution of a single nucleotide is known as a missense mutation.")</f>
        <v>People with this variant have one copy of the [C36983994T](https://www.ncbi.nlm.nih.gov/projects/SNP/snp_ref.cgi?rs=3913434) and [A7783504C](https://www.ncbi.nlm.nih.gov/projects/SNP/snp_ref.cgi?rs=270838) variants. This substitution of a single nucleotide is known as a missense mutation.</v>
      </c>
      <c r="C271" s="3" t="str">
        <f>CONCATENATE("            case={  variantCall ",CHAR(40),CHAR(34),L272,CHAR(34),CHAR(41))</f>
        <v xml:space="preserve">            case={  variantCall ("NC_000001.10:g.[37449595C&gt;T];[37449595=]")</v>
      </c>
      <c r="J271" s="3" t="str">
        <f t="shared" ref="J271:M271" si="91">J249</f>
        <v>Wildtype</v>
      </c>
      <c r="K271" s="3" t="str">
        <f t="shared" si="91"/>
        <v>[37325477=]</v>
      </c>
      <c r="L271" s="3" t="str">
        <f t="shared" si="91"/>
        <v>[37449595=]</v>
      </c>
      <c r="M271" s="3" t="str">
        <f t="shared" si="91"/>
        <v>[7783504=]</v>
      </c>
    </row>
    <row r="272" spans="1:13">
      <c r="A272" s="26" t="s">
        <v>28</v>
      </c>
      <c r="B272" s="15" t="s">
        <v>117</v>
      </c>
      <c r="C272" s="3" t="s">
        <v>70</v>
      </c>
      <c r="J272" s="3" t="str">
        <f t="shared" ref="J272:M272" si="92">J250</f>
        <v>Het</v>
      </c>
      <c r="K272" s="3" t="str">
        <f t="shared" si="92"/>
        <v>NC_000001.10:g.[37325477A&gt;G];[37325477=]</v>
      </c>
      <c r="L272" s="3" t="str">
        <f t="shared" si="92"/>
        <v>NC_000001.10:g.[37449595C&gt;T];[37449595=]</v>
      </c>
      <c r="M272" s="3" t="str">
        <f t="shared" si="92"/>
        <v>NC_000002.11:g.[7783504A&gt;C];[7783504=]</v>
      </c>
    </row>
    <row r="273" spans="1:13">
      <c r="A273" s="26" t="s">
        <v>72</v>
      </c>
      <c r="C273" s="3" t="str">
        <f>CONCATENATE("                    variantCall ",CHAR(40),CHAR(34),M272,CHAR(34),CHAR(41))</f>
        <v xml:space="preserve">                    variantCall ("NC_000002.11:g.[7783504A&gt;C];[7783504=]")</v>
      </c>
      <c r="J273" s="3" t="str">
        <f t="shared" ref="J273:M273" si="93">J251</f>
        <v>Homo</v>
      </c>
      <c r="K273" s="3" t="str">
        <f t="shared" si="93"/>
        <v>NC_000001.10:g.[37325477A&gt;G];[37325477A&gt;G]</v>
      </c>
      <c r="L273" s="3" t="str">
        <f t="shared" si="93"/>
        <v>NC_000001.10:g.[37449595C&gt;T];[37449595C&gt;T]</v>
      </c>
      <c r="M273" s="3" t="str">
        <f t="shared" si="93"/>
        <v>NC_000002.11:g.[7783504A&gt;C];[7783504A&gt;C]</v>
      </c>
    </row>
    <row r="274" spans="1:13">
      <c r="A274" s="26"/>
      <c r="J274" s="3" t="str">
        <f t="shared" ref="J274:M274" si="94">J252</f>
        <v>Wildtype</v>
      </c>
      <c r="K274" s="3" t="str">
        <f t="shared" si="94"/>
        <v>NC_000001.10:g.[37325477=];[37325477=]</v>
      </c>
      <c r="L274" s="3" t="str">
        <f t="shared" si="94"/>
        <v>NC_000001.10:g.[37449595=];[37449595=]</v>
      </c>
      <c r="M274" s="3" t="str">
        <f t="shared" si="94"/>
        <v>NC_000002.11:g.[7783504=];[7783504=]</v>
      </c>
    </row>
    <row r="275" spans="1:13">
      <c r="A275" s="26"/>
      <c r="J275" s="3" t="str">
        <f t="shared" ref="J275:M275" si="95">J253</f>
        <v>Het%</v>
      </c>
      <c r="K275" s="3">
        <f t="shared" si="95"/>
        <v>43</v>
      </c>
      <c r="L275" s="3">
        <f t="shared" si="95"/>
        <v>1.8</v>
      </c>
      <c r="M275" s="3">
        <f t="shared" si="95"/>
        <v>15.8</v>
      </c>
    </row>
    <row r="276" spans="1:13">
      <c r="A276" s="26"/>
      <c r="C276" s="3" t="str">
        <f>CONCATENATE("                  } &gt; ")</f>
        <v xml:space="preserve">                  } &gt; </v>
      </c>
      <c r="J276" s="3" t="str">
        <f t="shared" ref="J276:M276" si="96">J254</f>
        <v>Homo%</v>
      </c>
      <c r="K276" s="3">
        <f t="shared" si="96"/>
        <v>19.899999999999999</v>
      </c>
      <c r="L276" s="3">
        <f t="shared" si="96"/>
        <v>0.5</v>
      </c>
      <c r="M276" s="3">
        <f t="shared" si="96"/>
        <v>4.7</v>
      </c>
    </row>
    <row r="277" spans="1:13">
      <c r="A277" s="14"/>
      <c r="J277" s="3" t="str">
        <f t="shared" ref="J277:M277" si="97">J255</f>
        <v>Wildtype%</v>
      </c>
      <c r="K277" s="3">
        <f t="shared" si="97"/>
        <v>37.1</v>
      </c>
      <c r="L277" s="3">
        <f t="shared" si="97"/>
        <v>97.8</v>
      </c>
      <c r="M277" s="3">
        <f t="shared" si="97"/>
        <v>79.5</v>
      </c>
    </row>
    <row r="278" spans="1:13">
      <c r="A278" s="14"/>
      <c r="C278" s="3" t="s">
        <v>26</v>
      </c>
    </row>
    <row r="279" spans="1:13">
      <c r="A279" s="14"/>
    </row>
    <row r="280" spans="1:13">
      <c r="A280" s="14"/>
      <c r="C280" s="3" t="str">
        <f>CONCATENATE("    ",B271)</f>
        <v xml:space="preserve">    People with this variant have one copy of the [C36983994T](https://www.ncbi.nlm.nih.gov/projects/SNP/snp_ref.cgi?rs=3913434) and [A7783504C](https://www.ncbi.nlm.nih.gov/projects/SNP/snp_ref.cgi?rs=270838) variants. This substitution of a single nucleotide is known as a missense mutation.</v>
      </c>
    </row>
    <row r="281" spans="1:13">
      <c r="A281" s="14"/>
    </row>
    <row r="282" spans="1:13">
      <c r="A282" s="26"/>
      <c r="C282" s="3" t="s">
        <v>29</v>
      </c>
    </row>
    <row r="283" spans="1:13">
      <c r="A283" s="26"/>
    </row>
    <row r="284" spans="1:13">
      <c r="A284" s="26"/>
      <c r="C284" s="3" t="str">
        <f>CONCATENATE(B272)</f>
        <v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85" spans="1:13">
      <c r="A285" s="26"/>
    </row>
    <row r="286" spans="1:13">
      <c r="A286" s="26"/>
      <c r="C286" s="3" t="s">
        <v>30</v>
      </c>
    </row>
    <row r="287" spans="1:13">
      <c r="A287" s="26"/>
    </row>
    <row r="288" spans="1:13">
      <c r="A288" s="26"/>
      <c r="C288" s="3" t="str">
        <f>CONCATENATE( "    &lt;piechart percentage=",B273," /&gt;")</f>
        <v xml:space="preserve">    &lt;piechart percentage= /&gt;</v>
      </c>
    </row>
    <row r="289" spans="1:13">
      <c r="A289" s="26"/>
      <c r="C289" s="3" t="str">
        <f>"  &lt;/Analysis&gt;"</f>
        <v xml:space="preserve">  &lt;/Analysis&gt;</v>
      </c>
      <c r="K289" s="3" t="str">
        <f t="shared" ref="K289:M289" si="98">K135</f>
        <v>rs6691840</v>
      </c>
      <c r="L289" s="3" t="str">
        <f t="shared" si="98"/>
        <v>rs3913434</v>
      </c>
      <c r="M289" s="3" t="str">
        <f t="shared" si="98"/>
        <v>rs270838</v>
      </c>
    </row>
    <row r="290" spans="1:13" s="21" customFormat="1">
      <c r="A290" s="28" t="s">
        <v>69</v>
      </c>
      <c r="B290" s="20" t="s">
        <v>83</v>
      </c>
      <c r="C290" s="21" t="str">
        <f>CONCATENATE("&lt;# ",B290," #&gt;")</f>
        <v>&lt;# Wild type #&gt;</v>
      </c>
      <c r="K290" s="21" t="str">
        <f t="shared" ref="K290:M290" si="99">K136</f>
        <v>T928G</v>
      </c>
      <c r="L290" s="21" t="str">
        <f t="shared" si="99"/>
        <v>C36983994T</v>
      </c>
      <c r="M290" s="21" t="str">
        <f t="shared" si="99"/>
        <v>A7783504C</v>
      </c>
    </row>
    <row r="291" spans="1:13">
      <c r="A291" s="14" t="s">
        <v>21</v>
      </c>
      <c r="B291" s="15" t="str">
        <f>K54</f>
        <v>NC_000001.10:g.[37325477=];[37325477=]</v>
      </c>
      <c r="K291" s="3" t="str">
        <f t="shared" ref="K291:M291" si="100">K137</f>
        <v>NC_000001.10:g.</v>
      </c>
      <c r="L291" s="3" t="str">
        <f t="shared" si="100"/>
        <v>NC_000001.10:g.</v>
      </c>
      <c r="M291" s="3" t="str">
        <f t="shared" si="100"/>
        <v>NC_000002.11:g.</v>
      </c>
    </row>
    <row r="292" spans="1:13">
      <c r="A292" s="14" t="s">
        <v>71</v>
      </c>
      <c r="B292" s="15" t="str">
        <f>L54</f>
        <v>NC_000001.10:g.[37449595=];[37449595=]</v>
      </c>
      <c r="C292" s="3" t="str">
        <f>CONCATENATE("  &lt;Analysis name=",CHAR(34),B290,CHAR(34))</f>
        <v xml:space="preserve">  &lt;Analysis name="Wild type"</v>
      </c>
      <c r="J292" s="3" t="str">
        <f t="shared" ref="J292:M292" si="101">J138</f>
        <v>Variant</v>
      </c>
      <c r="K292" s="3" t="str">
        <f t="shared" si="101"/>
        <v>[37325477A&gt;G]</v>
      </c>
      <c r="L292" s="3" t="str">
        <f t="shared" si="101"/>
        <v>[37449595C&gt;T]</v>
      </c>
      <c r="M292" s="3" t="str">
        <f t="shared" si="101"/>
        <v>[7783504A&gt;C]</v>
      </c>
    </row>
    <row r="293" spans="1:13">
      <c r="A293" s="26" t="s">
        <v>74</v>
      </c>
      <c r="B293" s="15" t="str">
        <f>CONCATENATE("Your ",B12," gene has no variants. A normal gene is referred to as a ",CHAR(34),"wild-type",CHAR(34)," gene.")</f>
        <v>Your GRIK3 gene has no variants. A normal gene is referred to as a "wild-type" gene.</v>
      </c>
      <c r="C293" s="3" t="str">
        <f>CONCATENATE("            case={  variantCall ",CHAR(40),CHAR(34),B291,CHAR(34),CHAR(41))</f>
        <v xml:space="preserve">            case={  variantCall ("NC_000001.10:g.[37325477=];[37325477=]")</v>
      </c>
      <c r="J293" s="3" t="str">
        <f t="shared" ref="J293:M293" si="102">J139</f>
        <v>Wildtype</v>
      </c>
      <c r="K293" s="3" t="str">
        <f t="shared" si="102"/>
        <v>[37325477=]</v>
      </c>
      <c r="L293" s="3" t="str">
        <f t="shared" si="102"/>
        <v>[37449595=]</v>
      </c>
      <c r="M293" s="3" t="str">
        <f t="shared" si="102"/>
        <v>[7783504=]</v>
      </c>
    </row>
    <row r="294" spans="1:13">
      <c r="A294" s="26" t="s">
        <v>28</v>
      </c>
      <c r="C294" s="3" t="s">
        <v>70</v>
      </c>
      <c r="J294" s="3" t="str">
        <f t="shared" ref="J294:M294" si="103">J140</f>
        <v>Het</v>
      </c>
      <c r="K294" s="3" t="str">
        <f t="shared" si="103"/>
        <v>NC_000001.10:g.[37325477A&gt;G];[37325477=]</v>
      </c>
      <c r="L294" s="3" t="str">
        <f t="shared" si="103"/>
        <v>NC_000001.10:g.[37449595C&gt;T];[37449595=]</v>
      </c>
      <c r="M294" s="3" t="str">
        <f t="shared" si="103"/>
        <v>NC_000002.11:g.[7783504A&gt;C];[7783504=]</v>
      </c>
    </row>
    <row r="295" spans="1:13">
      <c r="A295" s="26" t="s">
        <v>72</v>
      </c>
      <c r="C295" s="3" t="str">
        <f>CONCATENATE("                    ",CHAR(40),"variantCall ",CHAR(40),CHAR(34),L295,CHAR(34),CHAR(41)," or variantCall ",CHAR(40),CHAR(34),L296,CHAR(34),CHAR(41),CHAR(41))</f>
        <v xml:space="preserve">                    (variantCall ("NC_000001.10:g.[37449595C&gt;T];[37449595C&gt;T]") or variantCall ("NC_000001.10:g.[37449595=];[37449595=]"))</v>
      </c>
      <c r="J295" s="3" t="str">
        <f t="shared" ref="J295:M295" si="104">J141</f>
        <v>Homo</v>
      </c>
      <c r="K295" s="3" t="str">
        <f t="shared" si="104"/>
        <v>NC_000001.10:g.[37325477A&gt;G];[37325477A&gt;G]</v>
      </c>
      <c r="L295" s="3" t="str">
        <f t="shared" si="104"/>
        <v>NC_000001.10:g.[37449595C&gt;T];[37449595C&gt;T]</v>
      </c>
      <c r="M295" s="3" t="str">
        <f t="shared" si="104"/>
        <v>NC_000002.11:g.[7783504A&gt;C];[7783504A&gt;C]</v>
      </c>
    </row>
    <row r="296" spans="1:13">
      <c r="A296" s="26"/>
      <c r="C296" s="3" t="s">
        <v>70</v>
      </c>
      <c r="J296" s="3" t="str">
        <f t="shared" ref="J296:M296" si="105">J142</f>
        <v>Wildtype</v>
      </c>
      <c r="K296" s="3" t="str">
        <f t="shared" si="105"/>
        <v>NC_000001.10:g.[37325477=];[37325477=]</v>
      </c>
      <c r="L296" s="3" t="str">
        <f t="shared" si="105"/>
        <v>NC_000001.10:g.[37449595=];[37449595=]</v>
      </c>
      <c r="M296" s="3" t="str">
        <f t="shared" si="105"/>
        <v>NC_000002.11:g.[7783504=];[7783504=]</v>
      </c>
    </row>
    <row r="297" spans="1:13">
      <c r="A297" s="26"/>
      <c r="C297" s="3" t="str">
        <f>CONCATENATE("                    ",CHAR(40),"variantCall ",CHAR(40),CHAR(34),M295,CHAR(34),CHAR(41)," or variantCall ",CHAR(40),CHAR(34),M296,CHAR(34),CHAR(41),CHAR(41))</f>
        <v xml:space="preserve">                    (variantCall ("NC_000002.11:g.[7783504A&gt;C];[7783504A&gt;C]") or variantCall ("NC_000002.11:g.[7783504=];[7783504=]"))</v>
      </c>
      <c r="J297" s="3" t="str">
        <f t="shared" ref="J297:M297" si="106">J143</f>
        <v>Het%</v>
      </c>
      <c r="K297" s="3">
        <f t="shared" si="106"/>
        <v>43</v>
      </c>
      <c r="L297" s="3">
        <f t="shared" si="106"/>
        <v>1.8</v>
      </c>
      <c r="M297" s="3">
        <f t="shared" si="106"/>
        <v>15.8</v>
      </c>
    </row>
    <row r="298" spans="1:13">
      <c r="A298" s="26"/>
      <c r="C298" s="3" t="str">
        <f>CONCATENATE("                  } &gt; ")</f>
        <v xml:space="preserve">                  } &gt; </v>
      </c>
      <c r="J298" s="3" t="str">
        <f t="shared" ref="J298:M298" si="107">J144</f>
        <v>Homo%</v>
      </c>
      <c r="K298" s="3">
        <f t="shared" si="107"/>
        <v>19.899999999999999</v>
      </c>
      <c r="L298" s="3">
        <f t="shared" si="107"/>
        <v>0.5</v>
      </c>
      <c r="M298" s="3">
        <f t="shared" si="107"/>
        <v>4.7</v>
      </c>
    </row>
    <row r="299" spans="1:13">
      <c r="A299" s="14"/>
      <c r="J299" s="3" t="str">
        <f t="shared" ref="J299:M299" si="108">J145</f>
        <v>Wildtype%</v>
      </c>
      <c r="K299" s="3">
        <f t="shared" si="108"/>
        <v>37.1</v>
      </c>
      <c r="L299" s="3">
        <f t="shared" si="108"/>
        <v>97.8</v>
      </c>
      <c r="M299" s="3">
        <f t="shared" si="108"/>
        <v>79.5</v>
      </c>
    </row>
    <row r="300" spans="1:13">
      <c r="A300" s="14"/>
      <c r="C300" s="3" t="s">
        <v>26</v>
      </c>
    </row>
    <row r="301" spans="1:13">
      <c r="A301" s="14"/>
    </row>
    <row r="302" spans="1:13">
      <c r="A302" s="26"/>
      <c r="C302" s="3" t="str">
        <f>CONCATENATE("    ",B293)</f>
        <v xml:space="preserve">    Your GRIK3 gene has no variants. A normal gene is referred to as a "wild-type" gene.</v>
      </c>
    </row>
    <row r="303" spans="1:13">
      <c r="A303" s="26"/>
    </row>
    <row r="304" spans="1:13">
      <c r="A304" s="26"/>
      <c r="C304" s="3" t="s">
        <v>30</v>
      </c>
    </row>
    <row r="305" spans="1:3">
      <c r="A305" s="26"/>
    </row>
    <row r="306" spans="1:3">
      <c r="A306" s="26"/>
      <c r="C306" s="3" t="str">
        <f>CONCATENATE( "    &lt;piechart percentage=",B295," /&gt;")</f>
        <v xml:space="preserve">    &lt;piechart percentage= /&gt;</v>
      </c>
    </row>
    <row r="307" spans="1:3">
      <c r="A307" s="26"/>
      <c r="C307" s="3" t="str">
        <f>"  &lt;/Analysis&gt;"</f>
        <v xml:space="preserve">  &lt;/Analysis&gt;</v>
      </c>
    </row>
    <row r="308" spans="1:3" s="21" customFormat="1">
      <c r="A308" s="28" t="s">
        <v>69</v>
      </c>
      <c r="B308" s="20" t="s">
        <v>84</v>
      </c>
      <c r="C308" s="21" t="str">
        <f>CONCATENATE("&lt;# ",B308," #&gt;")</f>
        <v>&lt;# Unknown #&gt;</v>
      </c>
    </row>
    <row r="309" spans="1:3">
      <c r="A309" s="14" t="s">
        <v>21</v>
      </c>
      <c r="B309" s="15" t="str">
        <f>K72</f>
        <v>[37325477A&gt;G]</v>
      </c>
    </row>
    <row r="310" spans="1:3">
      <c r="A310" s="14" t="s">
        <v>71</v>
      </c>
      <c r="C310" s="3" t="str">
        <f>CONCATENATE("  &lt;Analysis name=",CHAR(34),B308,CHAR(34), " case=true&gt;")</f>
        <v xml:space="preserve">  &lt;Analysis name="Unknown" case=true&gt;</v>
      </c>
    </row>
    <row r="311" spans="1:3">
      <c r="A311" s="26" t="s">
        <v>74</v>
      </c>
      <c r="B311" s="15" t="s">
        <v>31</v>
      </c>
    </row>
    <row r="312" spans="1:3">
      <c r="A312" s="26" t="s">
        <v>72</v>
      </c>
      <c r="B312" s="15">
        <v>0</v>
      </c>
      <c r="C312" s="3" t="s">
        <v>26</v>
      </c>
    </row>
    <row r="313" spans="1:3">
      <c r="A313" s="26"/>
    </row>
    <row r="314" spans="1:3">
      <c r="A314" s="14"/>
      <c r="C314" s="3" t="str">
        <f>CONCATENATE("    ",B311)</f>
        <v xml:space="preserve">    The effect is unknown.</v>
      </c>
    </row>
    <row r="315" spans="1:3">
      <c r="A315" s="14"/>
    </row>
    <row r="316" spans="1:3">
      <c r="A316" s="14"/>
      <c r="C316" s="3" t="s">
        <v>30</v>
      </c>
    </row>
    <row r="317" spans="1:3">
      <c r="A317" s="26"/>
    </row>
    <row r="318" spans="1:3">
      <c r="A318" s="26"/>
      <c r="C318" s="3" t="str">
        <f>CONCATENATE( "    &lt;piechart percentage=",B312," /&gt;")</f>
        <v xml:space="preserve">    &lt;piechart percentage=0 /&gt;</v>
      </c>
    </row>
    <row r="319" spans="1:3">
      <c r="A319" s="26"/>
      <c r="C319" s="3" t="str">
        <f>"  &lt;/Analysis&gt;"</f>
        <v xml:space="preserve">  &lt;/Analysis&gt;</v>
      </c>
    </row>
    <row r="320" spans="1:3">
      <c r="A320" s="14"/>
      <c r="C320" s="31" t="s">
        <v>369</v>
      </c>
    </row>
    <row r="321" spans="1:3" s="21" customFormat="1">
      <c r="A321" s="19"/>
      <c r="B321" s="20"/>
      <c r="C321" s="35"/>
    </row>
    <row r="322" spans="1:3">
      <c r="A322" s="14" t="s">
        <v>77</v>
      </c>
      <c r="B322" s="15" t="s">
        <v>123</v>
      </c>
      <c r="C322" s="10" t="str">
        <f>CONCATENATE("&lt;# ",A322," ",B322," #&gt;")</f>
        <v>&lt;# Tissues brain D001921 #&gt;</v>
      </c>
    </row>
    <row r="323" spans="1:3">
      <c r="A323" s="14"/>
    </row>
    <row r="324" spans="1:3">
      <c r="A324" s="14"/>
      <c r="B324" s="15" t="s">
        <v>124</v>
      </c>
      <c r="C324" s="31" t="str">
        <f>CONCATENATE("&lt;TopicBar ",B324," /&gt;")</f>
        <v>&lt;TopicBar brain /&gt;</v>
      </c>
    </row>
    <row r="325" spans="1:3">
      <c r="A325" s="14"/>
    </row>
    <row r="326" spans="1:3">
      <c r="A326" s="14" t="s">
        <v>32</v>
      </c>
      <c r="B326" s="15" t="s">
        <v>119</v>
      </c>
      <c r="C326" s="10" t="str">
        <f>CONCATENATE("&lt;# ",A326," ",B326," #&gt;")</f>
        <v>&lt;# Symptoms depression, stress, problems with thinking or memory, brain fog, pain #&gt;</v>
      </c>
    </row>
    <row r="327" spans="1:3">
      <c r="A327" s="14"/>
    </row>
    <row r="328" spans="1:3">
      <c r="A328" s="14"/>
      <c r="B328" s="15" t="s">
        <v>120</v>
      </c>
      <c r="C328" s="31" t="str">
        <f>CONCATENATE("&lt;TopicBar ",B328," /&gt;")</f>
        <v>&lt;TopicBar mesh_D003863 mesh_D040701 mesh_D008569 mesh_D010146 /&gt;</v>
      </c>
    </row>
    <row r="329" spans="1:3">
      <c r="A329" s="14"/>
      <c r="C329" s="31"/>
    </row>
    <row r="330" spans="1:3">
      <c r="A330" s="14" t="s">
        <v>48</v>
      </c>
      <c r="B330" s="15" t="s">
        <v>121</v>
      </c>
      <c r="C330" s="10" t="str">
        <f>CONCATENATE("&lt;# ",A330," ",B330," #&gt;")</f>
        <v>&lt;# Diseases schizophrenia D012559; major depressive disorder D003866; ME/CFS D015673;  #&gt;</v>
      </c>
    </row>
    <row r="331" spans="1:3">
      <c r="A331" s="14"/>
    </row>
    <row r="332" spans="1:3">
      <c r="A332" s="14"/>
      <c r="B332" s="15" t="s">
        <v>122</v>
      </c>
      <c r="C332" s="31" t="str">
        <f>CONCATENATE("&lt;TopicBar ",B332," /&gt;")</f>
        <v>&lt;TopicBar mesh_D012559 mesh_D003866 mesh_D015673 /&gt;</v>
      </c>
    </row>
    <row r="333" spans="1:3">
      <c r="A333" s="14"/>
    </row>
    <row r="334" spans="1:3" s="21" customFormat="1">
      <c r="A334" s="28"/>
      <c r="B334" s="20"/>
    </row>
    <row r="335" spans="1:3">
      <c r="B335" s="30"/>
    </row>
    <row r="337" spans="2:2">
      <c r="B337" s="30"/>
    </row>
    <row r="339" spans="2:2">
      <c r="B339" s="30"/>
    </row>
    <row r="341" spans="2:2">
      <c r="B341" s="30"/>
    </row>
    <row r="343" spans="2:2">
      <c r="B343" s="3"/>
    </row>
    <row r="345" spans="2:2">
      <c r="B345" s="3"/>
    </row>
    <row r="1017" spans="3:3">
      <c r="C1017" s="3" t="str">
        <f>CONCATENATE("    This variant is a change at a specific point in the ",B1008," gene from ",B1017," to ",B1018," resulting in incorrect ",B1011,"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3" spans="3:3">
      <c r="C1023" s="3" t="str">
        <f>CONCATENATE("    This variant is a change at a specific point in the ",B1008," gene from ",B1023," to ",B1024," resulting in incorrect ",B1011,"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3" spans="3:3">
      <c r="C1153" s="3" t="str">
        <f>CONCATENATE("    This variant is a change at a specific point in the ",B1144," gene from ",B1153," to ",B1154," resulting in incorrect ",B1147,"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9" spans="3:3">
      <c r="C1159" s="3" t="str">
        <f>CONCATENATE("    This variant is a change at a specific point in the ",B1144," gene from ",B1159," to ",B1160," resulting in incorrect ",B1147,"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1" spans="3:3">
      <c r="C1561" s="3" t="str">
        <f>CONCATENATE("    This variant is a change at a specific point in the ",B1552," gene from ",B1561," to ",B1562," resulting in incorrect ",B1555,"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7" spans="3:3">
      <c r="C1567" s="3" t="str">
        <f>CONCATENATE("    This variant is a change at a specific point in the ",B1552," gene from ",B1567," to ",B1568," resulting in incorrect ",B1555,"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7" spans="3:3">
      <c r="C1697" s="3" t="str">
        <f>CONCATENATE("    This variant is a change at a specific point in the ",B1688," gene from ",B1697," to ",B1698," resulting in incorrect ",B1691,"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3" spans="3:3">
      <c r="C1703" s="3" t="str">
        <f>CONCATENATE("    This variant is a change at a specific point in the ",B1688," gene from ",B1703," to ",B1704," resulting in incorrect ",B1691,"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3" spans="3:3">
      <c r="C1833" s="3" t="str">
        <f>CONCATENATE("    This variant is a change at a specific point in the ",B1824," gene from ",B1833," to ",B1834," resulting in incorrect ",B1827,"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9" spans="3:3">
      <c r="C1839" s="3" t="str">
        <f>CONCATENATE("    This variant is a change at a specific point in the ",B1824," gene from ",B1839," to ",B1840," resulting in incorrect ",B1827,"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9" spans="3:3">
      <c r="C1969" s="3" t="str">
        <f>CONCATENATE("    This variant is a change at a specific point in the ",B1960," gene from ",B1969," to ",B1970," resulting in incorrect ",B1963,"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5" spans="3:3">
      <c r="C1975" s="3" t="str">
        <f>CONCATENATE("    This variant is a change at a specific point in the ",B1960," gene from ",B1975," to ",B1976," resulting in incorrect ",B1963,"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5" spans="3:3">
      <c r="C2105" s="3" t="str">
        <f>CONCATENATE("    This variant is a change at a specific point in the ",B2096," gene from ",B2105," to ",B2106," resulting in incorrect ",B2099,"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1" spans="3:3">
      <c r="C2111" s="3" t="str">
        <f>CONCATENATE("    This variant is a change at a specific point in the ",B2096," gene from ",B2111," to ",B2112," resulting in incorrect ",B2099,"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1" spans="3:3">
      <c r="C2241" s="3" t="str">
        <f>CONCATENATE("    This variant is a change at a specific point in the ",B2232," gene from ",B2241," to ",B2242," resulting in incorrect ",B2235,"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7" spans="3:3">
      <c r="C2247" s="3" t="str">
        <f>CONCATENATE("    This variant is a change at a specific point in the ",B2232," gene from ",B2247," to ",B2248," resulting in incorrect ",B2235,"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7" spans="3:3">
      <c r="C2377" s="3" t="str">
        <f>CONCATENATE("    This variant is a change at a specific point in the ",B2368," gene from ",B2377," to ",B2378," resulting in incorrect ",B2371,"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3" spans="3:3">
      <c r="C2383" s="3" t="str">
        <f>CONCATENATE("    This variant is a change at a specific point in the ",B2368," gene from ",B2383," to ",B2384," resulting in incorrect ",B2371,"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3" spans="3:3">
      <c r="C2513" s="3" t="str">
        <f>CONCATENATE("    This variant is a change at a specific point in the ",B2504," gene from ",B2513," to ",B2514," resulting in incorrect ",B2507,"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9" spans="3:3">
      <c r="C2519" s="3" t="str">
        <f>CONCATENATE("    This variant is a change at a specific point in the ",B2504," gene from ",B2519," to ",B2520," resulting in incorrect ",B2507,"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C2440-28DA-4D36-A15C-21FEC0AC20D4}">
  <dimension ref="A1:AJ2425"/>
  <sheetViews>
    <sheetView workbookViewId="0">
      <selection activeCell="C5" sqref="C5"/>
    </sheetView>
  </sheetViews>
  <sheetFormatPr defaultRowHeight="15.75"/>
  <cols>
    <col min="1" max="1" width="16.28515625" style="3" customWidth="1"/>
    <col min="2" max="2" width="42.7109375" style="15" customWidth="1"/>
    <col min="3" max="6" width="9.140625" style="3"/>
    <col min="7" max="7" width="10.28515625" style="3" bestFit="1" customWidth="1"/>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s="2" t="s">
        <v>297</v>
      </c>
      <c r="C2" s="3" t="str">
        <f>CONCATENATE("&lt;",A2," ",B2," /&gt;")</f>
        <v>&lt;Gene_Name CRHR1 /&gt;</v>
      </c>
      <c r="D2" s="15"/>
      <c r="H2" s="10"/>
      <c r="I2" s="11"/>
      <c r="J2" s="10"/>
      <c r="K2" s="10"/>
      <c r="L2" s="10"/>
      <c r="Y2" s="12"/>
      <c r="AC2" s="12"/>
      <c r="AF2" s="13"/>
      <c r="AG2" s="13"/>
      <c r="AJ2" s="13"/>
    </row>
    <row r="3" spans="1:36">
      <c r="A3" s="8"/>
      <c r="B3" s="2"/>
      <c r="C3" s="8"/>
      <c r="D3" s="15"/>
      <c r="H3" s="10"/>
      <c r="I3" s="11"/>
      <c r="J3" s="10"/>
      <c r="K3" s="10"/>
      <c r="L3" s="10"/>
      <c r="Y3" s="12"/>
      <c r="AC3" s="12"/>
      <c r="AF3" s="13"/>
      <c r="AG3" s="13"/>
      <c r="AJ3" s="13"/>
    </row>
    <row r="4" spans="1:36" ht="17.25">
      <c r="A4" s="14" t="s">
        <v>37</v>
      </c>
      <c r="B4" s="4" t="s">
        <v>299</v>
      </c>
      <c r="C4" s="3" t="str">
        <f>CONCATENATE("&lt;",A4," ",B4," /&gt;")</f>
        <v>&lt;GeneName_full Corticotropin-releasing factor receptor 1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CRHR1 gene do?</v>
      </c>
      <c r="H6" s="10"/>
      <c r="I6" s="11"/>
      <c r="J6" s="10"/>
      <c r="K6" s="10"/>
      <c r="L6" s="10"/>
      <c r="Y6" s="16"/>
      <c r="Z6" s="16"/>
      <c r="AA6" s="16"/>
      <c r="AC6" s="16"/>
      <c r="AF6" s="13"/>
      <c r="AJ6" s="13"/>
    </row>
    <row r="7" spans="1:36">
      <c r="A7" s="14"/>
      <c r="I7" s="17"/>
      <c r="Y7" s="16"/>
      <c r="Z7" s="16"/>
      <c r="AA7" s="16"/>
      <c r="AC7" s="16"/>
      <c r="AF7" s="13"/>
      <c r="AJ7" s="13"/>
    </row>
    <row r="8" spans="1:36" ht="17.25">
      <c r="A8" s="14" t="s">
        <v>5</v>
      </c>
      <c r="B8" s="4" t="s">
        <v>298</v>
      </c>
      <c r="C8" s="3" t="str">
        <f>CONCATENATE(B8," This gene is located on chromosome ",B9,".")</f>
        <v xml:space="preserve">    [CRHR1](http://www.uniprot.org/uniprot/P34998) encodes a protein that binds to a neurotransmitter for hormones. These hormones are necessary for normal embryonic development and act in the hypothalamic-pituitary-adrenal (HPA) pathway, controlling [stress, reproduction, immune response, and obesity](https://www.ncbi.nlm.nih.gov/gene/1394). CRHR1 also helps activate enzymes to help transfer the effects of hormones into cells and activate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  This gene is located on chromosome 17.</v>
      </c>
      <c r="I8" s="17"/>
      <c r="X8" s="18"/>
      <c r="Y8" s="16"/>
      <c r="Z8" s="16"/>
      <c r="AA8" s="16"/>
      <c r="AC8" s="16"/>
    </row>
    <row r="9" spans="1:36">
      <c r="A9" s="14" t="s">
        <v>6</v>
      </c>
      <c r="B9" s="2">
        <v>17</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s="2" t="s">
        <v>297</v>
      </c>
      <c r="C12" s="3" t="str">
        <f>CONCATENATE("&lt;GeneMap name= ",CHAR(34),B12,CHAR(34)," interval=",CHAR(34),B13,"=",CHAR(34),"&gt;")</f>
        <v>&lt;GeneMap name= "CRHR1" interval="NC_000017.10:g.43697710_43913194="&gt;</v>
      </c>
      <c r="J12" s="23"/>
      <c r="K12" s="23"/>
      <c r="L12" s="23"/>
      <c r="M12" s="23"/>
      <c r="N12" s="23"/>
      <c r="O12" s="24"/>
      <c r="P12" s="25"/>
      <c r="Q12" s="24"/>
      <c r="R12" s="24"/>
      <c r="S12" s="25"/>
      <c r="T12" s="25"/>
      <c r="U12" s="24"/>
      <c r="V12" s="24"/>
      <c r="W12" s="25"/>
      <c r="X12" s="25"/>
      <c r="Y12" s="25"/>
      <c r="Z12" s="25"/>
    </row>
    <row r="13" spans="1:36">
      <c r="A13" s="14" t="s">
        <v>9</v>
      </c>
      <c r="B13" s="2" t="s">
        <v>300</v>
      </c>
      <c r="J13" s="15"/>
      <c r="K13" s="15"/>
      <c r="L13" s="15"/>
      <c r="M13" s="15"/>
      <c r="N13" s="15"/>
      <c r="O13" s="15"/>
      <c r="P13" s="15"/>
      <c r="Q13" s="15"/>
      <c r="R13" s="15"/>
      <c r="S13" s="15"/>
      <c r="T13" s="15"/>
      <c r="U13" s="15"/>
      <c r="V13" s="15"/>
      <c r="W13" s="15"/>
      <c r="X13" s="15"/>
      <c r="Y13" s="15"/>
      <c r="Z13" s="15"/>
    </row>
    <row r="14" spans="1:36">
      <c r="A14" s="14" t="s">
        <v>11</v>
      </c>
      <c r="B14" s="2" t="s">
        <v>12</v>
      </c>
      <c r="C14" s="3" t="str">
        <f>CONCATENATE("# What are some common variants of ",B12,"?")</f>
        <v># What are some common variants of CRHR1?</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CRHR1: [A45815234G](https://www.ncbi.nlm.nih.gov/projects/SNP/snp_ref.cgi?rs=242940) and [G45825631A](https://www.ncbi.nlm.nih.gov/projects/SNP/snp_ref.cgi?rs=1396862).</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22" t="s">
        <v>308</v>
      </c>
      <c r="C18" s="3" t="str">
        <f>CONCATENATE("&lt;# ",B19," #&gt;")</f>
        <v>&lt;# A45815234G #&gt;</v>
      </c>
      <c r="J18" s="15"/>
      <c r="K18" s="15"/>
      <c r="L18" s="15"/>
      <c r="M18" s="15"/>
      <c r="N18" s="15"/>
      <c r="O18" s="15"/>
      <c r="P18" s="15"/>
      <c r="Q18" s="15"/>
      <c r="R18" s="15"/>
      <c r="S18" s="15"/>
      <c r="T18" s="15"/>
      <c r="U18" s="15"/>
      <c r="V18" s="15"/>
      <c r="W18" s="15"/>
      <c r="X18" s="15"/>
      <c r="Y18" s="15"/>
      <c r="Z18" s="15"/>
    </row>
    <row r="19" spans="1:26">
      <c r="A19" s="26" t="s">
        <v>15</v>
      </c>
      <c r="B19" s="29" t="s">
        <v>301</v>
      </c>
      <c r="J19" s="6"/>
      <c r="K19" s="15"/>
      <c r="L19" s="15"/>
      <c r="M19" s="15"/>
      <c r="N19" s="15"/>
      <c r="O19" s="15"/>
      <c r="P19" s="15"/>
      <c r="Q19" s="15"/>
      <c r="R19" s="15"/>
      <c r="S19" s="15"/>
      <c r="T19" s="15"/>
      <c r="U19" s="15"/>
      <c r="V19" s="15"/>
      <c r="W19" s="15"/>
      <c r="X19" s="15"/>
      <c r="Y19" s="15"/>
      <c r="Z19" s="15"/>
    </row>
    <row r="20" spans="1:26">
      <c r="A20" s="26" t="s">
        <v>17</v>
      </c>
      <c r="B20" s="15" t="s">
        <v>24</v>
      </c>
      <c r="C20" s="3" t="str">
        <f>CONCATENATE("  &lt;Variant hgvs=",CHAR(34),B18,CHAR(34)," name=",CHAR(34),B19,CHAR(34),"&gt; ")</f>
        <v xml:space="preserve">  &lt;Variant hgvs="NC_000017.10:g.43892600A&gt;G" name="A45815234G"&gt; </v>
      </c>
      <c r="J20" s="2"/>
      <c r="K20" s="15"/>
      <c r="L20" s="15"/>
      <c r="M20" s="15"/>
      <c r="N20" s="15"/>
      <c r="O20" s="15"/>
      <c r="P20" s="15"/>
      <c r="Q20" s="15"/>
      <c r="R20" s="15"/>
      <c r="S20" s="15"/>
      <c r="T20" s="15"/>
      <c r="U20" s="15"/>
      <c r="V20" s="15"/>
      <c r="W20" s="15"/>
      <c r="X20" s="15"/>
      <c r="Y20" s="15"/>
      <c r="Z20" s="15"/>
    </row>
    <row r="21" spans="1:26">
      <c r="A21" s="26" t="s">
        <v>19</v>
      </c>
      <c r="B21" s="15" t="s">
        <v>44</v>
      </c>
      <c r="H21" s="15"/>
      <c r="I21" s="15"/>
      <c r="J21" s="2"/>
      <c r="K21" s="15"/>
      <c r="L21" s="15"/>
      <c r="M21" s="15"/>
      <c r="N21" s="15"/>
      <c r="O21" s="15"/>
      <c r="P21" s="15"/>
      <c r="Q21" s="15"/>
      <c r="R21" s="15"/>
      <c r="S21" s="15"/>
      <c r="T21" s="15"/>
      <c r="U21" s="15"/>
      <c r="V21" s="15"/>
      <c r="W21" s="15"/>
      <c r="X21" s="15"/>
      <c r="Y21" s="15"/>
      <c r="Z21" s="15"/>
    </row>
    <row r="22" spans="1:26">
      <c r="A22" s="26" t="s">
        <v>21</v>
      </c>
      <c r="B22" s="15" t="s">
        <v>302</v>
      </c>
      <c r="C22" s="3" t="str">
        <f>CONCATENATE("    Instead of ",B20,", there is a ",B21," nucleotide.")</f>
        <v xml:space="preserve">    Instead of adenine (A), there is a guanine (G) nucleotide.</v>
      </c>
      <c r="H22" s="15"/>
      <c r="I22" s="15"/>
      <c r="J22" s="7"/>
      <c r="K22" s="15"/>
      <c r="L22" s="15"/>
      <c r="M22" s="15"/>
      <c r="N22" s="15"/>
      <c r="O22" s="15"/>
      <c r="P22" s="15"/>
      <c r="Q22" s="15"/>
      <c r="R22" s="15"/>
      <c r="S22" s="15"/>
      <c r="T22" s="15"/>
      <c r="U22" s="15"/>
      <c r="V22" s="15"/>
      <c r="W22" s="15"/>
      <c r="X22" s="15"/>
      <c r="Y22" s="15"/>
      <c r="Z22" s="15"/>
    </row>
    <row r="23" spans="1:26">
      <c r="A23" s="3" t="s">
        <v>64</v>
      </c>
      <c r="B23" s="22" t="s">
        <v>247</v>
      </c>
      <c r="H23" s="2"/>
      <c r="I23" s="2"/>
      <c r="J23" s="15"/>
      <c r="K23" s="15"/>
      <c r="L23" s="15"/>
      <c r="M23" s="15"/>
      <c r="N23" s="15"/>
      <c r="O23" s="15"/>
      <c r="P23" s="15"/>
      <c r="Q23" s="15"/>
      <c r="R23" s="15"/>
      <c r="S23" s="15"/>
      <c r="T23" s="15"/>
      <c r="U23" s="15"/>
      <c r="V23" s="15"/>
      <c r="W23" s="15"/>
      <c r="X23" s="15"/>
      <c r="Y23" s="15"/>
      <c r="Z23" s="15"/>
    </row>
    <row r="24" spans="1:26">
      <c r="A24" s="3" t="s">
        <v>51</v>
      </c>
      <c r="B24" s="7" t="s">
        <v>309</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310</v>
      </c>
      <c r="J25" s="6"/>
    </row>
    <row r="26" spans="1:26">
      <c r="B26" s="3"/>
      <c r="C26" s="3" t="str">
        <f>CONCATENATE("&lt;# ",B28," #&gt;")</f>
        <v>&lt;# G45825631A #&gt;</v>
      </c>
      <c r="J26" s="6"/>
    </row>
    <row r="27" spans="1:26">
      <c r="A27" s="14" t="s">
        <v>14</v>
      </c>
      <c r="B27" s="22" t="s">
        <v>305</v>
      </c>
      <c r="J27" s="2"/>
    </row>
    <row r="28" spans="1:26">
      <c r="A28" s="26" t="s">
        <v>15</v>
      </c>
      <c r="B28" s="15" t="s">
        <v>303</v>
      </c>
      <c r="C28" s="3" t="str">
        <f>CONCATENATE("  &lt;Variant hgvs=",CHAR(34),B27,CHAR(34)," name=",CHAR(34),B28,CHAR(34),"&gt; ")</f>
        <v xml:space="preserve">  &lt;Variant hgvs="NC_000017.10:g.43902997G&gt;A" name="G45825631A"&gt; </v>
      </c>
      <c r="J28" s="2"/>
    </row>
    <row r="29" spans="1:26">
      <c r="A29" s="26" t="s">
        <v>17</v>
      </c>
      <c r="B29" s="15" t="s">
        <v>44</v>
      </c>
      <c r="J29" s="7"/>
    </row>
    <row r="30" spans="1:26">
      <c r="A30" s="26" t="s">
        <v>19</v>
      </c>
      <c r="B30" s="15" t="s">
        <v>24</v>
      </c>
      <c r="C30" s="3" t="str">
        <f>CONCATENATE("    Instead of ",B29,", there is an ",B30," nucleotide.")</f>
        <v xml:space="preserve">    Instead of guanine (G), there is an adenine (A) nucleotide.</v>
      </c>
    </row>
    <row r="31" spans="1:26" ht="16.5" thickBot="1">
      <c r="A31" s="26" t="s">
        <v>21</v>
      </c>
      <c r="B31" s="15" t="s">
        <v>304</v>
      </c>
      <c r="J31" s="7"/>
    </row>
    <row r="32" spans="1:26" ht="16.5" thickBot="1">
      <c r="A32" s="3" t="s">
        <v>64</v>
      </c>
      <c r="B32" s="22" t="s">
        <v>247</v>
      </c>
      <c r="C32" s="3" t="str">
        <f>"  &lt;/Variant&gt;"</f>
        <v xml:space="preserve">  &lt;/Variant&gt;</v>
      </c>
      <c r="J32" s="7"/>
      <c r="L32" s="46"/>
    </row>
    <row r="33" spans="1:12" ht="16.5" thickBot="1">
      <c r="A33" s="3" t="s">
        <v>51</v>
      </c>
      <c r="B33" s="3" t="s">
        <v>306</v>
      </c>
      <c r="L33" s="45"/>
    </row>
    <row r="34" spans="1:12">
      <c r="A34" s="26" t="s">
        <v>52</v>
      </c>
      <c r="B34" s="7" t="s">
        <v>307</v>
      </c>
      <c r="C34" s="3" t="s">
        <v>61</v>
      </c>
    </row>
    <row r="35" spans="1:12" s="21" customFormat="1">
      <c r="A35" s="28"/>
      <c r="B35" s="20"/>
    </row>
    <row r="36" spans="1:12" s="10" customFormat="1" ht="16.5" thickBot="1">
      <c r="A36" s="32"/>
      <c r="B36" s="33"/>
      <c r="C36" s="34" t="s">
        <v>368</v>
      </c>
    </row>
    <row r="37" spans="1:12" s="10" customFormat="1" ht="16.5" thickBot="1">
      <c r="A37" s="32"/>
      <c r="B37" s="33"/>
      <c r="K37" s="46" t="s">
        <v>311</v>
      </c>
      <c r="L37" s="45" t="s">
        <v>312</v>
      </c>
    </row>
    <row r="38" spans="1:12" s="21" customFormat="1">
      <c r="A38" s="28" t="s">
        <v>69</v>
      </c>
      <c r="B38" s="20" t="str">
        <f>CONCATENATE(B19," (A;G)")</f>
        <v>A45815234G (A;G)</v>
      </c>
      <c r="C38" s="21" t="str">
        <f>CONCATENATE("&lt;# ",B38," #&gt;")</f>
        <v>&lt;# A45815234G (A;G) #&gt;</v>
      </c>
      <c r="K38" s="21" t="str">
        <f>B19</f>
        <v>A45815234G</v>
      </c>
      <c r="L38" s="21" t="str">
        <f>B28</f>
        <v>G45825631A</v>
      </c>
    </row>
    <row r="39" spans="1:12" s="10" customFormat="1">
      <c r="A39" s="3" t="s">
        <v>21</v>
      </c>
      <c r="B39" s="29" t="str">
        <f>K42</f>
        <v>NC_000017.10:g.[43892600A&gt;G];[43892600=]</v>
      </c>
      <c r="J39" s="3"/>
      <c r="K39" s="22" t="str">
        <f>B23</f>
        <v>NC_000017.10:g.</v>
      </c>
      <c r="L39" s="22" t="str">
        <f>B32</f>
        <v>NC_000017.10:g.</v>
      </c>
    </row>
    <row r="40" spans="1:12">
      <c r="A40" s="3" t="s">
        <v>71</v>
      </c>
      <c r="B40" s="29" t="str">
        <f>L44</f>
        <v>NC_000017.10:g.[43902997=];[43902997=]</v>
      </c>
      <c r="C40" s="3" t="str">
        <f>CONCATENATE("  &lt;Analysis name=",CHAR(34),B38,CHAR(34))</f>
        <v xml:space="preserve">  &lt;Analysis name="A45815234G (A;G)"</v>
      </c>
      <c r="J40" s="3" t="s">
        <v>21</v>
      </c>
      <c r="K40" s="15" t="str">
        <f>B24</f>
        <v>[43892600A&gt;G]</v>
      </c>
      <c r="L40" s="22" t="str">
        <f>B33</f>
        <v>[43902997G&gt;A]</v>
      </c>
    </row>
    <row r="41" spans="1:12">
      <c r="A41" s="5" t="s">
        <v>27</v>
      </c>
      <c r="B41" s="2"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C41" s="3" t="str">
        <f>CONCATENATE("            case={  variantCall ",CHAR(40),CHAR(34),K42,CHAR(34),CHAR(41))</f>
        <v xml:space="preserve">            case={  variantCall ("NC_000017.10:g.[43892600A&gt;G];[43892600=]")</v>
      </c>
      <c r="J41" s="3" t="s">
        <v>52</v>
      </c>
      <c r="K41" s="15" t="str">
        <f>B25</f>
        <v>[43892600=]</v>
      </c>
      <c r="L41" s="22" t="str">
        <f>B34</f>
        <v>[43902997=]</v>
      </c>
    </row>
    <row r="42" spans="1:12">
      <c r="A42" s="1" t="s">
        <v>28</v>
      </c>
      <c r="B42" s="2" t="s">
        <v>319</v>
      </c>
      <c r="C42" s="3" t="s">
        <v>70</v>
      </c>
      <c r="J42" s="3" t="s">
        <v>62</v>
      </c>
      <c r="K42" s="15" t="str">
        <f>CONCATENATE(K39,K40,";",K41)</f>
        <v>NC_000017.10:g.[43892600A&gt;G];[43892600=]</v>
      </c>
      <c r="L42" s="15" t="str">
        <f>CONCATENATE(L39,L40,";",L41)</f>
        <v>NC_000017.10:g.[43902997G&gt;A];[43902997=]</v>
      </c>
    </row>
    <row r="43" spans="1:12">
      <c r="A43" s="3" t="s">
        <v>72</v>
      </c>
      <c r="B43" s="29">
        <f>K45</f>
        <v>48.4</v>
      </c>
      <c r="C43" s="3" t="str">
        <f>CONCATENATE("                    variantCall ",CHAR(40),CHAR(34),L44,CHAR(34),CHAR(41))</f>
        <v xml:space="preserve">                    variantCall ("NC_000017.10:g.[43902997=];[43902997=]")</v>
      </c>
      <c r="J43" s="3" t="s">
        <v>63</v>
      </c>
      <c r="K43" s="15" t="str">
        <f>CONCATENATE(K39,K40,";",K40)</f>
        <v>NC_000017.10:g.[43892600A&gt;G];[43892600A&gt;G]</v>
      </c>
      <c r="L43" s="15" t="str">
        <f>CONCATENATE(L39,L40,";",L40)</f>
        <v>NC_000017.10:g.[43902997G&gt;A];[43902997G&gt;A]</v>
      </c>
    </row>
    <row r="44" spans="1:12">
      <c r="C44" s="3" t="str">
        <f>CONCATENATE("                  } &gt; ")</f>
        <v xml:space="preserve">                  } &gt; </v>
      </c>
      <c r="J44" s="3" t="s">
        <v>52</v>
      </c>
      <c r="K44" s="2" t="str">
        <f>CONCATENATE(K39,K41,";",K41)</f>
        <v>NC_000017.10:g.[43892600=];[43892600=]</v>
      </c>
      <c r="L44" s="2" t="str">
        <f>CONCATENATE(L39,L41,";",L41)</f>
        <v>NC_000017.10:g.[43902997=];[43902997=]</v>
      </c>
    </row>
    <row r="45" spans="1:12">
      <c r="J45" s="3" t="s">
        <v>66</v>
      </c>
      <c r="K45" s="15">
        <v>48.4</v>
      </c>
      <c r="L45" s="15">
        <v>15.7</v>
      </c>
    </row>
    <row r="46" spans="1:12">
      <c r="A46" s="14"/>
      <c r="C46" s="3" t="s">
        <v>26</v>
      </c>
      <c r="J46" s="3" t="s">
        <v>67</v>
      </c>
      <c r="K46" s="15">
        <v>35.5</v>
      </c>
      <c r="L46" s="15">
        <v>4.7</v>
      </c>
    </row>
    <row r="47" spans="1:12">
      <c r="A47" s="26"/>
      <c r="J47" s="3" t="s">
        <v>68</v>
      </c>
      <c r="K47" s="15">
        <v>16.3</v>
      </c>
      <c r="L47" s="15">
        <v>79.599999999999994</v>
      </c>
    </row>
    <row r="48" spans="1:12">
      <c r="A48" s="14"/>
      <c r="C48" s="3" t="str">
        <f>CONCATENATE("    ",B41)</f>
        <v xml:space="preserve">    People with this variant have one copy of the [A45815234G](https://www.ncbi.nlm.nih.gov/projects/SNP/snp_ref.cgi?rs=242940) variant. This substitution of a single nucleotide is known as a missense mutation.</v>
      </c>
    </row>
    <row r="49" spans="1:12">
      <c r="A49" s="14"/>
    </row>
    <row r="50" spans="1:12">
      <c r="A50" s="26"/>
      <c r="C50" s="3" t="s">
        <v>29</v>
      </c>
    </row>
    <row r="51" spans="1:12">
      <c r="A51" s="14"/>
    </row>
    <row r="52" spans="1:12">
      <c r="A52" s="14"/>
      <c r="C52" s="3" t="str">
        <f>CONCATENATE(B42)</f>
        <v xml:space="preserve">    Your variant may cause a change in the hypothalamic-pituitary-adrenal (HPA) pathway and is mildly associated with [increased severity of ME/CFS](https://www.ncbi.nlm.nih.gov/pubmed/18986552).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53" spans="1:12">
      <c r="A53" s="14"/>
    </row>
    <row r="54" spans="1:12">
      <c r="A54" s="14"/>
      <c r="C54" s="3" t="s">
        <v>30</v>
      </c>
    </row>
    <row r="55" spans="1:12">
      <c r="A55" s="26"/>
    </row>
    <row r="56" spans="1:12">
      <c r="A56" s="26"/>
      <c r="C56" s="3" t="str">
        <f>CONCATENATE( "    &lt;piechart percentage=",B43," /&gt;")</f>
        <v xml:space="preserve">    &lt;piechart percentage=48.4 /&gt;</v>
      </c>
    </row>
    <row r="57" spans="1:12">
      <c r="A57" s="26"/>
      <c r="C57" s="3" t="str">
        <f>"  &lt;/Analysis&gt;"</f>
        <v xml:space="preserve">  &lt;/Analysis&gt;</v>
      </c>
      <c r="K57" s="3" t="str">
        <f>K37</f>
        <v>rs242940</v>
      </c>
      <c r="L57" s="3" t="str">
        <f>L37</f>
        <v>rs1396862</v>
      </c>
    </row>
    <row r="58" spans="1:12" s="21" customFormat="1">
      <c r="A58" s="28" t="s">
        <v>69</v>
      </c>
      <c r="B58" s="20" t="str">
        <f>CONCATENATE(B19," (G;G)")</f>
        <v>A45815234G (G;G)</v>
      </c>
      <c r="C58" s="21" t="str">
        <f>CONCATENATE("&lt;# ",B58," #&gt;")</f>
        <v>&lt;# A45815234G (G;G) #&gt;</v>
      </c>
      <c r="J58" s="3"/>
      <c r="K58" s="3" t="str">
        <f t="shared" ref="K58:L64" si="0">K38</f>
        <v>A45815234G</v>
      </c>
      <c r="L58" s="3" t="str">
        <f t="shared" si="0"/>
        <v>G45825631A</v>
      </c>
    </row>
    <row r="59" spans="1:12">
      <c r="A59" s="3" t="s">
        <v>21</v>
      </c>
      <c r="B59" s="29" t="str">
        <f>K43</f>
        <v>NC_000017.10:g.[43892600A&gt;G];[43892600A&gt;G]</v>
      </c>
      <c r="C59" s="10"/>
      <c r="K59" s="3" t="str">
        <f t="shared" si="0"/>
        <v>NC_000017.10:g.</v>
      </c>
      <c r="L59" s="3" t="str">
        <f t="shared" si="0"/>
        <v>NC_000017.10:g.</v>
      </c>
    </row>
    <row r="60" spans="1:12">
      <c r="A60" s="3" t="s">
        <v>71</v>
      </c>
      <c r="B60" s="29" t="str">
        <f>L44</f>
        <v>NC_000017.10:g.[43902997=];[43902997=]</v>
      </c>
      <c r="C60" s="3" t="str">
        <f>CONCATENATE("  &lt;Analysis name=",CHAR(34),B58,CHAR(34))</f>
        <v xml:space="preserve">  &lt;Analysis name="A45815234G (G;G)"</v>
      </c>
      <c r="J60" s="3" t="str">
        <f t="shared" ref="J60:J64" si="1">J40</f>
        <v>Variant</v>
      </c>
      <c r="K60" s="3" t="str">
        <f t="shared" si="0"/>
        <v>[43892600A&gt;G]</v>
      </c>
      <c r="L60" s="3" t="str">
        <f t="shared" si="0"/>
        <v>[43902997G&gt;A]</v>
      </c>
    </row>
    <row r="61" spans="1:12">
      <c r="A61" s="5" t="s">
        <v>74</v>
      </c>
      <c r="B61" s="29"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C61" s="3" t="str">
        <f>CONCATENATE("            case={  variantCall ",CHAR(40),CHAR(34),K63,CHAR(34),CHAR(41))</f>
        <v xml:space="preserve">            case={  variantCall ("NC_000017.10:g.[43892600A&gt;G];[43892600A&gt;G]")</v>
      </c>
      <c r="J61" s="3" t="str">
        <f t="shared" si="1"/>
        <v>Wildtype</v>
      </c>
      <c r="K61" s="3" t="str">
        <f t="shared" si="0"/>
        <v>[43892600=]</v>
      </c>
      <c r="L61" s="3" t="str">
        <f t="shared" si="0"/>
        <v>[43902997=]</v>
      </c>
    </row>
    <row r="62" spans="1:12">
      <c r="A62" s="1" t="s">
        <v>28</v>
      </c>
      <c r="B62" s="29" t="s">
        <v>319</v>
      </c>
      <c r="C62" s="3" t="s">
        <v>70</v>
      </c>
      <c r="J62" s="3" t="str">
        <f t="shared" si="1"/>
        <v>Het</v>
      </c>
      <c r="K62" s="3" t="str">
        <f t="shared" si="0"/>
        <v>NC_000017.10:g.[43892600A&gt;G];[43892600=]</v>
      </c>
      <c r="L62" s="3" t="str">
        <f t="shared" si="0"/>
        <v>NC_000017.10:g.[43902997G&gt;A];[43902997=]</v>
      </c>
    </row>
    <row r="63" spans="1:12">
      <c r="A63" s="3" t="s">
        <v>72</v>
      </c>
      <c r="B63" s="29">
        <f>K46</f>
        <v>35.5</v>
      </c>
      <c r="C63" s="3" t="str">
        <f>CONCATENATE("                    variantCall ",CHAR(40),CHAR(34),L64,CHAR(34),CHAR(41))</f>
        <v xml:space="preserve">                    variantCall ("NC_000017.10:g.[43902997=];[43902997=]")</v>
      </c>
      <c r="J63" s="3" t="str">
        <f t="shared" si="1"/>
        <v>Homo</v>
      </c>
      <c r="K63" s="3" t="str">
        <f t="shared" si="0"/>
        <v>NC_000017.10:g.[43892600A&gt;G];[43892600A&gt;G]</v>
      </c>
      <c r="L63" s="3" t="str">
        <f t="shared" si="0"/>
        <v>NC_000017.10:g.[43902997G&gt;A];[43902997G&gt;A]</v>
      </c>
    </row>
    <row r="64" spans="1:12">
      <c r="C64" s="3" t="str">
        <f>CONCATENATE("                  } &gt; ")</f>
        <v xml:space="preserve">                  } &gt; </v>
      </c>
      <c r="J64" s="3" t="str">
        <f t="shared" si="1"/>
        <v>Wildtype</v>
      </c>
      <c r="K64" s="3" t="str">
        <f t="shared" si="0"/>
        <v>NC_000017.10:g.[43892600=];[43892600=]</v>
      </c>
      <c r="L64" s="3" t="str">
        <f t="shared" si="0"/>
        <v>NC_000017.10:g.[43902997=];[43902997=]</v>
      </c>
    </row>
    <row r="65" spans="1:12">
      <c r="J65" s="3" t="str">
        <f>J45</f>
        <v>Het%</v>
      </c>
      <c r="K65" s="3">
        <f>K45</f>
        <v>48.4</v>
      </c>
      <c r="L65" s="3">
        <f>L45</f>
        <v>15.7</v>
      </c>
    </row>
    <row r="66" spans="1:12">
      <c r="A66" s="14"/>
      <c r="C66" s="3" t="s">
        <v>26</v>
      </c>
      <c r="J66" s="3" t="str">
        <f t="shared" ref="J66:L67" si="2">J46</f>
        <v>Homo%</v>
      </c>
      <c r="K66" s="3">
        <f t="shared" si="2"/>
        <v>35.5</v>
      </c>
      <c r="L66" s="3">
        <f t="shared" si="2"/>
        <v>4.7</v>
      </c>
    </row>
    <row r="67" spans="1:12">
      <c r="A67" s="26"/>
      <c r="J67" s="3" t="str">
        <f t="shared" si="2"/>
        <v>Wildtype%</v>
      </c>
      <c r="K67" s="3">
        <f t="shared" si="2"/>
        <v>16.3</v>
      </c>
      <c r="L67" s="3">
        <f t="shared" si="2"/>
        <v>79.599999999999994</v>
      </c>
    </row>
    <row r="68" spans="1:12">
      <c r="A68" s="14"/>
      <c r="C68" s="3" t="str">
        <f>CONCATENATE("    ",B61)</f>
        <v xml:space="preserve">    People with this variant have two copies of the [A45815234G](https://www.ncbi.nlm.nih.gov/projects/SNP/snp_ref.cgi?rs=242940) variant. This substitution of a single nucleotide is known as a missense mutation.</v>
      </c>
    </row>
    <row r="69" spans="1:12">
      <c r="A69" s="14"/>
    </row>
    <row r="70" spans="1:12">
      <c r="A70" s="26"/>
      <c r="C70" s="3" t="s">
        <v>29</v>
      </c>
    </row>
    <row r="71" spans="1:12">
      <c r="A71" s="14"/>
    </row>
    <row r="72" spans="1:12">
      <c r="A72" s="14"/>
      <c r="C72" s="3" t="str">
        <f>CONCATENATE(B62)</f>
        <v xml:space="preserve">    Your variant may cause a change in the hypothalamic-pituitary-adrenal (HPA) pathway and is mildly associated with [increased severity of ME/CFS](https://www.ncbi.nlm.nih.gov/pubmed/18986552).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73" spans="1:12">
      <c r="A73" s="14"/>
    </row>
    <row r="74" spans="1:12">
      <c r="A74" s="14"/>
      <c r="C74" s="3" t="s">
        <v>30</v>
      </c>
    </row>
    <row r="75" spans="1:12">
      <c r="A75" s="26"/>
    </row>
    <row r="76" spans="1:12">
      <c r="A76" s="26"/>
      <c r="C76" s="3" t="str">
        <f>CONCATENATE( "    &lt;piechart percentage=",B63," /&gt;")</f>
        <v xml:space="preserve">    &lt;piechart percentage=35.5 /&gt;</v>
      </c>
    </row>
    <row r="77" spans="1:12">
      <c r="A77" s="26"/>
      <c r="C77" s="3" t="str">
        <f>"  &lt;/Analysis&gt;"</f>
        <v xml:space="preserve">  &lt;/Analysis&gt;</v>
      </c>
      <c r="K77" s="3" t="str">
        <f>K57</f>
        <v>rs242940</v>
      </c>
      <c r="L77" s="3" t="str">
        <f>L57</f>
        <v>rs1396862</v>
      </c>
    </row>
    <row r="78" spans="1:12" s="21" customFormat="1">
      <c r="A78" s="28" t="s">
        <v>69</v>
      </c>
      <c r="B78" s="20" t="str">
        <f>CONCATENATE(B28," (G;A)")</f>
        <v>G45825631A (G;A)</v>
      </c>
      <c r="C78" s="21" t="str">
        <f>CONCATENATE("&lt;# ",B78," #&gt;")</f>
        <v>&lt;# G45825631A (G;A) #&gt;</v>
      </c>
      <c r="K78" s="21" t="str">
        <f t="shared" ref="K78:L79" si="3">K58</f>
        <v>A45815234G</v>
      </c>
      <c r="L78" s="21" t="str">
        <f t="shared" si="3"/>
        <v>G45825631A</v>
      </c>
    </row>
    <row r="79" spans="1:12" s="10" customFormat="1">
      <c r="A79" s="3" t="s">
        <v>21</v>
      </c>
      <c r="B79" s="29" t="str">
        <f>K44</f>
        <v>NC_000017.10:g.[43892600=];[43892600=]</v>
      </c>
      <c r="J79" s="3"/>
      <c r="K79" s="22" t="str">
        <f t="shared" si="3"/>
        <v>NC_000017.10:g.</v>
      </c>
      <c r="L79" s="22" t="str">
        <f t="shared" si="3"/>
        <v>NC_000017.10:g.</v>
      </c>
    </row>
    <row r="80" spans="1:12">
      <c r="A80" s="3" t="s">
        <v>71</v>
      </c>
      <c r="B80" s="29" t="str">
        <f>L42</f>
        <v>NC_000017.10:g.[43902997G&gt;A];[43902997=]</v>
      </c>
      <c r="C80" s="3" t="str">
        <f>CONCATENATE("  &lt;Analysis name=",CHAR(34),B78,CHAR(34))</f>
        <v xml:space="preserve">  &lt;Analysis name="G45825631A (G;A)"</v>
      </c>
      <c r="J80" s="3" t="str">
        <f t="shared" ref="J80:L84" si="4">J60</f>
        <v>Variant</v>
      </c>
      <c r="K80" s="15" t="str">
        <f t="shared" si="4"/>
        <v>[43892600A&gt;G]</v>
      </c>
      <c r="L80" s="22" t="str">
        <f t="shared" si="4"/>
        <v>[43902997G&gt;A]</v>
      </c>
    </row>
    <row r="81" spans="1:12">
      <c r="A81" s="5" t="s">
        <v>27</v>
      </c>
      <c r="B81" s="2" t="str">
        <f>CONCATENATE("People with this variant have one copy of the ",B31," variant. This substitution of a single nucleotide is known as a missense mutation.")</f>
        <v>People with this variant have one copy of the [G45825631A](https://www.ncbi.nlm.nih.gov/projects/SNP/snp_ref.cgi?rs=1396862) variant. This substitution of a single nucleotide is known as a missense mutation.</v>
      </c>
      <c r="C81" s="3" t="str">
        <f>CONCATENATE("            case={  variantCall ",CHAR(40),CHAR(34),K84,CHAR(34),CHAR(41))</f>
        <v xml:space="preserve">            case={  variantCall ("NC_000017.10:g.[43892600=];[43892600=]")</v>
      </c>
      <c r="J81" s="3" t="str">
        <f t="shared" si="4"/>
        <v>Wildtype</v>
      </c>
      <c r="K81" s="15" t="str">
        <f t="shared" si="4"/>
        <v>[43892600=]</v>
      </c>
      <c r="L81" s="22" t="str">
        <f t="shared" si="4"/>
        <v>[43902997=]</v>
      </c>
    </row>
    <row r="82" spans="1:12">
      <c r="A82" s="1" t="s">
        <v>28</v>
      </c>
      <c r="B82" s="2" t="s">
        <v>320</v>
      </c>
      <c r="C82" s="3" t="s">
        <v>70</v>
      </c>
      <c r="J82" s="3" t="str">
        <f t="shared" si="4"/>
        <v>Het</v>
      </c>
      <c r="K82" s="15" t="str">
        <f t="shared" si="4"/>
        <v>NC_000017.10:g.[43892600A&gt;G];[43892600=]</v>
      </c>
      <c r="L82" s="15" t="str">
        <f t="shared" si="4"/>
        <v>NC_000017.10:g.[43902997G&gt;A];[43902997=]</v>
      </c>
    </row>
    <row r="83" spans="1:12">
      <c r="A83" s="3" t="s">
        <v>72</v>
      </c>
      <c r="B83" s="29">
        <f>L85</f>
        <v>15.7</v>
      </c>
      <c r="C83" s="3" t="str">
        <f>CONCATENATE("                    variantCall ",CHAR(40),CHAR(34),L82,CHAR(34),CHAR(41))</f>
        <v xml:space="preserve">                    variantCall ("NC_000017.10:g.[43902997G&gt;A];[43902997=]")</v>
      </c>
      <c r="J83" s="3" t="str">
        <f t="shared" si="4"/>
        <v>Homo</v>
      </c>
      <c r="K83" s="15" t="str">
        <f t="shared" si="4"/>
        <v>NC_000017.10:g.[43892600A&gt;G];[43892600A&gt;G]</v>
      </c>
      <c r="L83" s="15" t="str">
        <f t="shared" si="4"/>
        <v>NC_000017.10:g.[43902997G&gt;A];[43902997G&gt;A]</v>
      </c>
    </row>
    <row r="84" spans="1:12">
      <c r="C84" s="3" t="str">
        <f>CONCATENATE("                  } &gt; ")</f>
        <v xml:space="preserve">                  } &gt; </v>
      </c>
      <c r="J84" s="3" t="str">
        <f t="shared" si="4"/>
        <v>Wildtype</v>
      </c>
      <c r="K84" s="2" t="str">
        <f t="shared" si="4"/>
        <v>NC_000017.10:g.[43892600=];[43892600=]</v>
      </c>
      <c r="L84" s="2" t="str">
        <f t="shared" si="4"/>
        <v>NC_000017.10:g.[43902997=];[43902997=]</v>
      </c>
    </row>
    <row r="85" spans="1:12">
      <c r="J85" s="3" t="str">
        <f>J65</f>
        <v>Het%</v>
      </c>
      <c r="K85" s="15">
        <f>K65</f>
        <v>48.4</v>
      </c>
      <c r="L85" s="15">
        <f>L65</f>
        <v>15.7</v>
      </c>
    </row>
    <row r="86" spans="1:12">
      <c r="A86" s="14"/>
      <c r="C86" s="3" t="s">
        <v>26</v>
      </c>
      <c r="J86" s="3" t="str">
        <f t="shared" ref="J86:L87" si="5">J66</f>
        <v>Homo%</v>
      </c>
      <c r="K86" s="2">
        <f t="shared" si="5"/>
        <v>35.5</v>
      </c>
      <c r="L86" s="2">
        <f t="shared" si="5"/>
        <v>4.7</v>
      </c>
    </row>
    <row r="87" spans="1:12">
      <c r="A87" s="26"/>
      <c r="J87" s="3" t="str">
        <f t="shared" si="5"/>
        <v>Wildtype%</v>
      </c>
      <c r="K87" s="2">
        <f t="shared" si="5"/>
        <v>16.3</v>
      </c>
      <c r="L87" s="2">
        <f t="shared" si="5"/>
        <v>79.599999999999994</v>
      </c>
    </row>
    <row r="88" spans="1:12">
      <c r="A88" s="14"/>
      <c r="C88" s="3" t="str">
        <f>CONCATENATE("    ",B81)</f>
        <v xml:space="preserve">    People with this variant have one copy of the [G45825631A](https://www.ncbi.nlm.nih.gov/projects/SNP/snp_ref.cgi?rs=1396862) variant. This substitution of a single nucleotide is known as a missense mutation.</v>
      </c>
    </row>
    <row r="89" spans="1:12">
      <c r="A89" s="14"/>
    </row>
    <row r="90" spans="1:12">
      <c r="A90" s="26"/>
      <c r="C90" s="3" t="s">
        <v>29</v>
      </c>
    </row>
    <row r="91" spans="1:12">
      <c r="A91" s="14"/>
    </row>
    <row r="92" spans="1:12">
      <c r="A92" s="14"/>
      <c r="C92" s="3" t="str">
        <f>CONCATENATE(B82)</f>
        <v xml:space="preserve">    Your variant is one of the [top 10 genetic markers](https://www.ncbi.nlm.nih.gov/pubmed/26063326) with the highest chance of being associated with ME/CFS and may affect the hypothalamic-pituitary-adrenal (HPA).  It may also act alongside another variant associated with [Parkinson’s disease](https://www.ncbi.nlm.nih.gov/pubmed/20070850/).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93" spans="1:12">
      <c r="A93" s="14"/>
    </row>
    <row r="94" spans="1:12">
      <c r="A94" s="14"/>
      <c r="C94" s="3" t="s">
        <v>30</v>
      </c>
    </row>
    <row r="95" spans="1:12">
      <c r="A95" s="26"/>
    </row>
    <row r="96" spans="1:12">
      <c r="A96" s="26"/>
      <c r="C96" s="3" t="str">
        <f>CONCATENATE( "    &lt;piechart percentage=",B83," /&gt;")</f>
        <v xml:space="preserve">    &lt;piechart percentage=15.7 /&gt;</v>
      </c>
    </row>
    <row r="97" spans="1:12">
      <c r="A97" s="26"/>
      <c r="C97" s="3" t="str">
        <f>"  &lt;/Analysis&gt;"</f>
        <v xml:space="preserve">  &lt;/Analysis&gt;</v>
      </c>
      <c r="K97" s="3" t="str">
        <f>K77</f>
        <v>rs242940</v>
      </c>
      <c r="L97" s="3" t="str">
        <f>L77</f>
        <v>rs1396862</v>
      </c>
    </row>
    <row r="98" spans="1:12" s="21" customFormat="1">
      <c r="A98" s="28" t="s">
        <v>69</v>
      </c>
      <c r="B98" s="20" t="str">
        <f>CONCATENATE(B28," (A;A)")</f>
        <v>G45825631A (A;A)</v>
      </c>
      <c r="C98" s="21" t="str">
        <f>CONCATENATE("&lt;# ",B98," #&gt;")</f>
        <v>&lt;# G45825631A (A;A) #&gt;</v>
      </c>
      <c r="K98" s="3" t="str">
        <f t="shared" ref="K98:L107" si="6">K78</f>
        <v>A45815234G</v>
      </c>
      <c r="L98" s="3" t="str">
        <f t="shared" si="6"/>
        <v>G45825631A</v>
      </c>
    </row>
    <row r="99" spans="1:12">
      <c r="A99" s="3" t="s">
        <v>21</v>
      </c>
      <c r="B99" s="29" t="str">
        <f>K44</f>
        <v>NC_000017.10:g.[43892600=];[43892600=]</v>
      </c>
      <c r="C99" s="10"/>
      <c r="J99" s="3">
        <f t="shared" ref="J99:J107" si="7">J79</f>
        <v>0</v>
      </c>
      <c r="K99" s="3" t="str">
        <f t="shared" si="6"/>
        <v>NC_000017.10:g.</v>
      </c>
      <c r="L99" s="3" t="str">
        <f t="shared" si="6"/>
        <v>NC_000017.10:g.</v>
      </c>
    </row>
    <row r="100" spans="1:12">
      <c r="A100" s="3" t="s">
        <v>71</v>
      </c>
      <c r="B100" s="29" t="str">
        <f>L43</f>
        <v>NC_000017.10:g.[43902997G&gt;A];[43902997G&gt;A]</v>
      </c>
      <c r="C100" s="3" t="str">
        <f>CONCATENATE("  &lt;Analysis name=",CHAR(34),B98,CHAR(34))</f>
        <v xml:space="preserve">  &lt;Analysis name="G45825631A (A;A)"</v>
      </c>
      <c r="J100" s="3" t="str">
        <f t="shared" si="7"/>
        <v>Variant</v>
      </c>
      <c r="K100" s="3" t="str">
        <f t="shared" si="6"/>
        <v>[43892600A&gt;G]</v>
      </c>
      <c r="L100" s="3" t="str">
        <f t="shared" si="6"/>
        <v>[43902997G&gt;A]</v>
      </c>
    </row>
    <row r="101" spans="1:12">
      <c r="A101" s="5" t="s">
        <v>74</v>
      </c>
      <c r="B101" s="2" t="str">
        <f>CONCATENATE("People with this variant have two copies of the ",B31,"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C101" s="3" t="str">
        <f>CONCATENATE("            case={  variantCall ",CHAR(40),CHAR(34),K104,CHAR(34),CHAR(41))</f>
        <v xml:space="preserve">            case={  variantCall ("NC_000017.10:g.[43892600=];[43892600=]")</v>
      </c>
      <c r="J101" s="3" t="str">
        <f t="shared" si="7"/>
        <v>Wildtype</v>
      </c>
      <c r="K101" s="3" t="str">
        <f t="shared" si="6"/>
        <v>[43892600=]</v>
      </c>
      <c r="L101" s="3" t="str">
        <f t="shared" si="6"/>
        <v>[43902997=]</v>
      </c>
    </row>
    <row r="102" spans="1:12">
      <c r="A102" s="1" t="s">
        <v>28</v>
      </c>
      <c r="B102" s="2" t="s">
        <v>320</v>
      </c>
      <c r="C102" s="3" t="s">
        <v>70</v>
      </c>
      <c r="J102" s="3" t="str">
        <f t="shared" si="7"/>
        <v>Het</v>
      </c>
      <c r="K102" s="3" t="str">
        <f t="shared" si="6"/>
        <v>NC_000017.10:g.[43892600A&gt;G];[43892600=]</v>
      </c>
      <c r="L102" s="3" t="str">
        <f t="shared" si="6"/>
        <v>NC_000017.10:g.[43902997G&gt;A];[43902997=]</v>
      </c>
    </row>
    <row r="103" spans="1:12">
      <c r="A103" s="3" t="s">
        <v>72</v>
      </c>
      <c r="B103" s="29">
        <f>L46</f>
        <v>4.7</v>
      </c>
      <c r="C103" s="3" t="str">
        <f>CONCATENATE("                    variantCall ",CHAR(40),CHAR(34),L103,CHAR(34),CHAR(41))</f>
        <v xml:space="preserve">                    variantCall ("NC_000017.10:g.[43902997G&gt;A];[43902997G&gt;A]")</v>
      </c>
      <c r="J103" s="3" t="str">
        <f t="shared" si="7"/>
        <v>Homo</v>
      </c>
      <c r="K103" s="3" t="str">
        <f t="shared" si="6"/>
        <v>NC_000017.10:g.[43892600A&gt;G];[43892600A&gt;G]</v>
      </c>
      <c r="L103" s="3" t="str">
        <f t="shared" si="6"/>
        <v>NC_000017.10:g.[43902997G&gt;A];[43902997G&gt;A]</v>
      </c>
    </row>
    <row r="104" spans="1:12">
      <c r="C104" s="3" t="str">
        <f>CONCATENATE("                  } &gt; ")</f>
        <v xml:space="preserve">                  } &gt; </v>
      </c>
      <c r="J104" s="3" t="str">
        <f t="shared" si="7"/>
        <v>Wildtype</v>
      </c>
      <c r="K104" s="3" t="str">
        <f t="shared" si="6"/>
        <v>NC_000017.10:g.[43892600=];[43892600=]</v>
      </c>
      <c r="L104" s="3" t="str">
        <f t="shared" si="6"/>
        <v>NC_000017.10:g.[43902997=];[43902997=]</v>
      </c>
    </row>
    <row r="105" spans="1:12">
      <c r="J105" s="3" t="str">
        <f t="shared" si="7"/>
        <v>Het%</v>
      </c>
      <c r="K105" s="3">
        <f t="shared" si="6"/>
        <v>48.4</v>
      </c>
      <c r="L105" s="3">
        <f t="shared" si="6"/>
        <v>15.7</v>
      </c>
    </row>
    <row r="106" spans="1:12">
      <c r="A106" s="14"/>
      <c r="C106" s="3" t="s">
        <v>26</v>
      </c>
      <c r="J106" s="3" t="str">
        <f t="shared" si="7"/>
        <v>Homo%</v>
      </c>
      <c r="K106" s="3">
        <f t="shared" si="6"/>
        <v>35.5</v>
      </c>
      <c r="L106" s="3">
        <f t="shared" si="6"/>
        <v>4.7</v>
      </c>
    </row>
    <row r="107" spans="1:12">
      <c r="A107" s="26"/>
      <c r="J107" s="3" t="str">
        <f t="shared" si="7"/>
        <v>Wildtype%</v>
      </c>
      <c r="K107" s="3">
        <f t="shared" si="6"/>
        <v>16.3</v>
      </c>
      <c r="L107" s="3">
        <f t="shared" si="6"/>
        <v>79.599999999999994</v>
      </c>
    </row>
    <row r="108" spans="1:12">
      <c r="A108" s="14"/>
      <c r="C108" s="3" t="str">
        <f>CONCATENATE("    ",B101)</f>
        <v xml:space="preserve">    People with this variant have two copies of the [G45825631A](https://www.ncbi.nlm.nih.gov/projects/SNP/snp_ref.cgi?rs=1396862) variant. This substitution of a single nucleotide is known as a missense mutation.</v>
      </c>
    </row>
    <row r="109" spans="1:12">
      <c r="A109" s="14"/>
    </row>
    <row r="110" spans="1:12">
      <c r="A110" s="26"/>
      <c r="C110" s="3" t="s">
        <v>29</v>
      </c>
    </row>
    <row r="111" spans="1:12">
      <c r="A111" s="14"/>
    </row>
    <row r="112" spans="1:12">
      <c r="A112" s="14"/>
      <c r="C112" s="3" t="str">
        <f>CONCATENATE(B102)</f>
        <v xml:space="preserve">    Your variant is one of the [top 10 genetic markers](https://www.ncbi.nlm.nih.gov/pubmed/26063326) with the highest chance of being associated with ME/CFS and may affect the hypothalamic-pituitary-adrenal (HPA).  It may also act alongside another variant associated with [Parkinson’s disease](https://www.ncbi.nlm.nih.gov/pubmed/20070850/).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113" spans="1:12">
      <c r="A113" s="14"/>
    </row>
    <row r="114" spans="1:12">
      <c r="A114" s="14"/>
      <c r="C114" s="3" t="s">
        <v>30</v>
      </c>
    </row>
    <row r="115" spans="1:12">
      <c r="A115" s="26"/>
    </row>
    <row r="116" spans="1:12">
      <c r="A116" s="26"/>
      <c r="C116" s="3" t="str">
        <f>CONCATENATE( "    &lt;piechart percentage=",B103," /&gt;")</f>
        <v xml:space="preserve">    &lt;piechart percentage=4.7 /&gt;</v>
      </c>
    </row>
    <row r="117" spans="1:12">
      <c r="A117" s="26"/>
      <c r="C117" s="3" t="str">
        <f>"  &lt;/Analysis&gt;"</f>
        <v xml:space="preserve">  &lt;/Analysis&gt;</v>
      </c>
      <c r="K117" s="21" t="str">
        <f t="shared" ref="K117:L119" si="8">K97</f>
        <v>rs242940</v>
      </c>
      <c r="L117" s="21" t="str">
        <f t="shared" si="8"/>
        <v>rs1396862</v>
      </c>
    </row>
    <row r="118" spans="1:12" s="21" customFormat="1">
      <c r="A118" s="28" t="s">
        <v>69</v>
      </c>
      <c r="B118" s="20" t="str">
        <f>CONCATENATE(B38," and ",B78)</f>
        <v>A45815234G (A;G) and G45825631A (G;A)</v>
      </c>
      <c r="C118" s="21" t="str">
        <f>CONCATENATE("&lt;# ",B118," #&gt;")</f>
        <v>&lt;# A45815234G (A;G) and G45825631A (G;A) #&gt;</v>
      </c>
      <c r="K118" s="21" t="str">
        <f t="shared" si="8"/>
        <v>A45815234G</v>
      </c>
      <c r="L118" s="21" t="str">
        <f t="shared" si="8"/>
        <v>G45825631A</v>
      </c>
    </row>
    <row r="119" spans="1:12">
      <c r="A119" s="14" t="s">
        <v>21</v>
      </c>
      <c r="B119" s="15" t="str">
        <f>K42</f>
        <v>NC_000017.10:g.[43892600A&gt;G];[43892600=]</v>
      </c>
      <c r="K119" s="3" t="str">
        <f t="shared" si="8"/>
        <v>NC_000017.10:g.</v>
      </c>
      <c r="L119" s="3" t="str">
        <f t="shared" si="8"/>
        <v>NC_000017.10:g.</v>
      </c>
    </row>
    <row r="120" spans="1:12">
      <c r="A120" s="14" t="s">
        <v>71</v>
      </c>
      <c r="B120" s="15" t="str">
        <f>L42</f>
        <v>NC_000017.10:g.[43902997G&gt;A];[43902997=]</v>
      </c>
      <c r="C120" s="3" t="str">
        <f>CONCATENATE("  &lt;Analysis name=",CHAR(34),B118,CHAR(34))</f>
        <v xml:space="preserve">  &lt;Analysis name="A45815234G (A;G) and G45825631A (G;A)"</v>
      </c>
      <c r="J120" s="3" t="str">
        <f t="shared" ref="J120:L124" si="9">J100</f>
        <v>Variant</v>
      </c>
      <c r="K120" s="3" t="str">
        <f t="shared" si="9"/>
        <v>[43892600A&gt;G]</v>
      </c>
      <c r="L120" s="3" t="str">
        <f t="shared" si="9"/>
        <v>[43902997G&gt;A]</v>
      </c>
    </row>
    <row r="121" spans="1:12">
      <c r="A121" s="26" t="s">
        <v>74</v>
      </c>
      <c r="B121" s="15" t="str">
        <f>CONCATENATE("People with this variant have one copy of the ",B22, " and ",B31," variants. This substitution of a single nucleotide is known as a missense mutation.")</f>
        <v>People with this variant have one copy of the [A45815234G](https://www.ncbi.nlm.nih.gov/projects/SNP/snp_ref.cgi?rs=242940) and [G45825631A](https://www.ncbi.nlm.nih.gov/projects/SNP/snp_ref.cgi?rs=1396862) variants. This substitution of a single nucleotide is known as a missense mutation.</v>
      </c>
      <c r="C121" s="3" t="str">
        <f>CONCATENATE("            case={  variantCall ",CHAR(40),CHAR(34),K122,CHAR(34),CHAR(41))</f>
        <v xml:space="preserve">            case={  variantCall ("NC_000017.10:g.[43892600A&gt;G];[43892600=]")</v>
      </c>
      <c r="J121" s="3" t="str">
        <f t="shared" si="9"/>
        <v>Wildtype</v>
      </c>
      <c r="K121" s="3" t="str">
        <f t="shared" si="9"/>
        <v>[43892600=]</v>
      </c>
      <c r="L121" s="3" t="str">
        <f t="shared" si="9"/>
        <v>[43902997=]</v>
      </c>
    </row>
    <row r="122" spans="1:12">
      <c r="A122" s="26" t="s">
        <v>28</v>
      </c>
      <c r="B122" s="15" t="s">
        <v>321</v>
      </c>
      <c r="C122" s="3" t="s">
        <v>70</v>
      </c>
      <c r="J122" s="3" t="str">
        <f t="shared" si="9"/>
        <v>Het</v>
      </c>
      <c r="K122" s="3" t="str">
        <f t="shared" si="9"/>
        <v>NC_000017.10:g.[43892600A&gt;G];[43892600=]</v>
      </c>
      <c r="L122" s="3" t="str">
        <f t="shared" si="9"/>
        <v>NC_000017.10:g.[43902997G&gt;A];[43902997=]</v>
      </c>
    </row>
    <row r="123" spans="1:12">
      <c r="A123" s="26" t="s">
        <v>72</v>
      </c>
      <c r="C123" s="3" t="str">
        <f>CONCATENATE("                    variantCall ",CHAR(40),CHAR(34),L122,CHAR(34),CHAR(41))</f>
        <v xml:space="preserve">                    variantCall ("NC_000017.10:g.[43902997G&gt;A];[43902997=]")</v>
      </c>
      <c r="J123" s="3" t="str">
        <f t="shared" si="9"/>
        <v>Homo</v>
      </c>
      <c r="K123" s="3" t="str">
        <f t="shared" si="9"/>
        <v>NC_000017.10:g.[43892600A&gt;G];[43892600A&gt;G]</v>
      </c>
      <c r="L123" s="3" t="str">
        <f t="shared" si="9"/>
        <v>NC_000017.10:g.[43902997G&gt;A];[43902997G&gt;A]</v>
      </c>
    </row>
    <row r="124" spans="1:12">
      <c r="A124" s="26"/>
      <c r="C124" s="3" t="str">
        <f>CONCATENATE("                  } &gt; ")</f>
        <v xml:space="preserve">                  } &gt; </v>
      </c>
      <c r="J124" s="3" t="str">
        <f t="shared" si="9"/>
        <v>Wildtype</v>
      </c>
      <c r="K124" s="3" t="str">
        <f t="shared" si="9"/>
        <v>NC_000017.10:g.[43892600=];[43892600=]</v>
      </c>
      <c r="L124" s="3" t="str">
        <f t="shared" si="9"/>
        <v>NC_000017.10:g.[43902997=];[43902997=]</v>
      </c>
    </row>
    <row r="125" spans="1:12">
      <c r="A125" s="26"/>
      <c r="J125" s="3" t="str">
        <f>J105</f>
        <v>Het%</v>
      </c>
      <c r="K125" s="3">
        <f>K105</f>
        <v>48.4</v>
      </c>
      <c r="L125" s="3">
        <f>L105</f>
        <v>15.7</v>
      </c>
    </row>
    <row r="126" spans="1:12">
      <c r="A126" s="26"/>
      <c r="C126" s="3" t="s">
        <v>26</v>
      </c>
      <c r="J126" s="3" t="str">
        <f t="shared" ref="J126:L127" si="10">J106</f>
        <v>Homo%</v>
      </c>
      <c r="K126" s="3">
        <f t="shared" si="10"/>
        <v>35.5</v>
      </c>
      <c r="L126" s="3">
        <f t="shared" si="10"/>
        <v>4.7</v>
      </c>
    </row>
    <row r="127" spans="1:12">
      <c r="A127" s="14"/>
      <c r="J127" s="3" t="str">
        <f t="shared" si="10"/>
        <v>Wildtype%</v>
      </c>
      <c r="K127" s="3">
        <f t="shared" si="10"/>
        <v>16.3</v>
      </c>
      <c r="L127" s="3">
        <f t="shared" si="10"/>
        <v>79.599999999999994</v>
      </c>
    </row>
    <row r="128" spans="1:12">
      <c r="A128" s="14"/>
      <c r="C128" s="3" t="str">
        <f>CONCATENATE("    ",B121)</f>
        <v xml:space="preserve">    People with this variant have one copy of the [A45815234G](https://www.ncbi.nlm.nih.gov/projects/SNP/snp_ref.cgi?rs=242940) and [G45825631A](https://www.ncbi.nlm.nih.gov/projects/SNP/snp_ref.cgi?rs=1396862) variants. This substitution of a single nucleotide is known as a missense mutation.</v>
      </c>
    </row>
    <row r="129" spans="1:12">
      <c r="A129" s="14"/>
    </row>
    <row r="130" spans="1:12">
      <c r="A130" s="14"/>
      <c r="C130" s="3" t="s">
        <v>29</v>
      </c>
    </row>
    <row r="131" spans="1:12">
      <c r="A131" s="14"/>
    </row>
    <row r="132" spans="1:12">
      <c r="A132" s="26"/>
      <c r="C132" s="3" t="str">
        <f>CONCATENATE(B122)</f>
        <v xml:space="preserve">    There is currently no data on the interaction between these variants.  However, some information exists on the individual variants. 
    # What is the effect of these variants?
    Your variants are associated with increased incidence and severity of [ME](https://www.ncbi.nlm.nih.gov/pubmed/26063326)/[CFS](https://www.ncbi.nlm.nih.gov/pubmed/18986552).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133" spans="1:12">
      <c r="A133" s="26"/>
    </row>
    <row r="134" spans="1:12">
      <c r="A134" s="26"/>
      <c r="C134" s="3" t="s">
        <v>30</v>
      </c>
    </row>
    <row r="135" spans="1:12">
      <c r="A135" s="26"/>
    </row>
    <row r="136" spans="1:12">
      <c r="A136" s="26"/>
      <c r="C136" s="3" t="str">
        <f>CONCATENATE( "    &lt;piechart percentage=",B123," /&gt;")</f>
        <v xml:space="preserve">    &lt;piechart percentage= /&gt;</v>
      </c>
    </row>
    <row r="137" spans="1:12">
      <c r="A137" s="26"/>
      <c r="C137" s="3" t="str">
        <f>"  &lt;/Analysis&gt;"</f>
        <v xml:space="preserve">  &lt;/Analysis&gt;</v>
      </c>
      <c r="K137" s="21" t="str">
        <f t="shared" ref="K137:L139" si="11">K117</f>
        <v>rs242940</v>
      </c>
      <c r="L137" s="21" t="str">
        <f t="shared" si="11"/>
        <v>rs1396862</v>
      </c>
    </row>
    <row r="138" spans="1:12" s="21" customFormat="1">
      <c r="A138" s="28" t="s">
        <v>69</v>
      </c>
      <c r="B138" s="20" t="str">
        <f>CONCATENATE(B58," and ",B78)</f>
        <v>A45815234G (G;G) and G45825631A (G;A)</v>
      </c>
      <c r="C138" s="21" t="str">
        <f>CONCATENATE("&lt;# ",B138," #&gt;")</f>
        <v>&lt;# A45815234G (G;G) and G45825631A (G;A) #&gt;</v>
      </c>
      <c r="K138" s="21" t="str">
        <f t="shared" si="11"/>
        <v>A45815234G</v>
      </c>
      <c r="L138" s="21" t="str">
        <f t="shared" si="11"/>
        <v>G45825631A</v>
      </c>
    </row>
    <row r="139" spans="1:12">
      <c r="A139" s="14" t="s">
        <v>21</v>
      </c>
      <c r="B139" s="15" t="str">
        <f>K62</f>
        <v>NC_000017.10:g.[43892600A&gt;G];[43892600=]</v>
      </c>
      <c r="K139" s="3" t="str">
        <f t="shared" si="11"/>
        <v>NC_000017.10:g.</v>
      </c>
      <c r="L139" s="3" t="str">
        <f t="shared" si="11"/>
        <v>NC_000017.10:g.</v>
      </c>
    </row>
    <row r="140" spans="1:12">
      <c r="A140" s="14" t="s">
        <v>71</v>
      </c>
      <c r="B140" s="15" t="str">
        <f>L62</f>
        <v>NC_000017.10:g.[43902997G&gt;A];[43902997=]</v>
      </c>
      <c r="C140" s="3" t="str">
        <f>CONCATENATE("  &lt;Analysis name=",CHAR(34),B138,CHAR(34))</f>
        <v xml:space="preserve">  &lt;Analysis name="A45815234G (G;G) and G45825631A (G;A)"</v>
      </c>
      <c r="J140" s="3" t="str">
        <f t="shared" ref="J140:L144" si="12">J120</f>
        <v>Variant</v>
      </c>
      <c r="K140" s="3" t="str">
        <f t="shared" si="12"/>
        <v>[43892600A&gt;G]</v>
      </c>
      <c r="L140" s="3" t="str">
        <f t="shared" si="12"/>
        <v>[43902997G&gt;A]</v>
      </c>
    </row>
    <row r="141" spans="1:12">
      <c r="A141" s="26" t="s">
        <v>74</v>
      </c>
      <c r="B141" s="15" t="str">
        <f>CONCATENATE("People with this variant have one copy of the ",B31, " and two copies of the ",B22," variants. This substitution of a single nucleotide is known as a missense mutation.")</f>
        <v>People with this variant have one copy of the [G45825631A](https://www.ncbi.nlm.nih.gov/projects/SNP/snp_ref.cgi?rs=1396862) and two copies of the [A45815234G](https://www.ncbi.nlm.nih.gov/projects/SNP/snp_ref.cgi?rs=242940) variants. This substitution of a single nucleotide is known as a missense mutation.</v>
      </c>
      <c r="C141" s="3" t="str">
        <f>CONCATENATE("            case={  variantCall ",CHAR(40),CHAR(34),K143,CHAR(34),CHAR(41))</f>
        <v xml:space="preserve">            case={  variantCall ("NC_000017.10:g.[43892600A&gt;G];[43892600A&gt;G]")</v>
      </c>
      <c r="J141" s="3" t="str">
        <f t="shared" si="12"/>
        <v>Wildtype</v>
      </c>
      <c r="K141" s="3" t="str">
        <f t="shared" si="12"/>
        <v>[43892600=]</v>
      </c>
      <c r="L141" s="3" t="str">
        <f t="shared" si="12"/>
        <v>[43902997=]</v>
      </c>
    </row>
    <row r="142" spans="1:12">
      <c r="A142" s="26" t="s">
        <v>28</v>
      </c>
      <c r="B142" s="15" t="s">
        <v>321</v>
      </c>
      <c r="C142" s="3" t="s">
        <v>70</v>
      </c>
      <c r="J142" s="3" t="str">
        <f t="shared" si="12"/>
        <v>Het</v>
      </c>
      <c r="K142" s="3" t="str">
        <f t="shared" si="12"/>
        <v>NC_000017.10:g.[43892600A&gt;G];[43892600=]</v>
      </c>
      <c r="L142" s="3" t="str">
        <f t="shared" si="12"/>
        <v>NC_000017.10:g.[43902997G&gt;A];[43902997=]</v>
      </c>
    </row>
    <row r="143" spans="1:12">
      <c r="A143" s="26" t="s">
        <v>72</v>
      </c>
      <c r="C143" s="3" t="str">
        <f>CONCATENATE("                    variantCall ",CHAR(40),CHAR(34),L142,CHAR(34),CHAR(41))</f>
        <v xml:space="preserve">                    variantCall ("NC_000017.10:g.[43902997G&gt;A];[43902997=]")</v>
      </c>
      <c r="J143" s="3" t="str">
        <f t="shared" si="12"/>
        <v>Homo</v>
      </c>
      <c r="K143" s="3" t="str">
        <f t="shared" si="12"/>
        <v>NC_000017.10:g.[43892600A&gt;G];[43892600A&gt;G]</v>
      </c>
      <c r="L143" s="3" t="str">
        <f t="shared" si="12"/>
        <v>NC_000017.10:g.[43902997G&gt;A];[43902997G&gt;A]</v>
      </c>
    </row>
    <row r="144" spans="1:12">
      <c r="A144" s="26"/>
      <c r="C144" s="3" t="str">
        <f>CONCATENATE("                  } &gt; ")</f>
        <v xml:space="preserve">                  } &gt; </v>
      </c>
      <c r="J144" s="3" t="str">
        <f t="shared" si="12"/>
        <v>Wildtype</v>
      </c>
      <c r="K144" s="3" t="str">
        <f t="shared" si="12"/>
        <v>NC_000017.10:g.[43892600=];[43892600=]</v>
      </c>
      <c r="L144" s="3" t="str">
        <f t="shared" si="12"/>
        <v>NC_000017.10:g.[43902997=];[43902997=]</v>
      </c>
    </row>
    <row r="145" spans="1:12">
      <c r="A145" s="26"/>
      <c r="J145" s="3" t="str">
        <f>J125</f>
        <v>Het%</v>
      </c>
      <c r="K145" s="3">
        <f>K125</f>
        <v>48.4</v>
      </c>
      <c r="L145" s="3">
        <f>L125</f>
        <v>15.7</v>
      </c>
    </row>
    <row r="146" spans="1:12">
      <c r="A146" s="26"/>
      <c r="C146" s="3" t="s">
        <v>26</v>
      </c>
      <c r="J146" s="3" t="str">
        <f t="shared" ref="J146:L147" si="13">J126</f>
        <v>Homo%</v>
      </c>
      <c r="K146" s="3">
        <f t="shared" si="13"/>
        <v>35.5</v>
      </c>
      <c r="L146" s="3">
        <f t="shared" si="13"/>
        <v>4.7</v>
      </c>
    </row>
    <row r="147" spans="1:12">
      <c r="A147" s="14"/>
      <c r="J147" s="3" t="str">
        <f t="shared" si="13"/>
        <v>Wildtype%</v>
      </c>
      <c r="K147" s="3">
        <f t="shared" si="13"/>
        <v>16.3</v>
      </c>
      <c r="L147" s="3">
        <f t="shared" si="13"/>
        <v>79.599999999999994</v>
      </c>
    </row>
    <row r="148" spans="1:12">
      <c r="A148" s="14"/>
      <c r="C148" s="3" t="str">
        <f>CONCATENATE("    ",B141)</f>
        <v xml:space="preserve">    People with this variant have one copy of the [G45825631A](https://www.ncbi.nlm.nih.gov/projects/SNP/snp_ref.cgi?rs=1396862) and two copies of the [A45815234G](https://www.ncbi.nlm.nih.gov/projects/SNP/snp_ref.cgi?rs=242940) variants. This substitution of a single nucleotide is known as a missense mutation.</v>
      </c>
    </row>
    <row r="149" spans="1:12">
      <c r="A149" s="14"/>
    </row>
    <row r="150" spans="1:12">
      <c r="A150" s="14"/>
      <c r="C150" s="3" t="s">
        <v>29</v>
      </c>
    </row>
    <row r="151" spans="1:12">
      <c r="A151" s="14"/>
    </row>
    <row r="152" spans="1:12">
      <c r="A152" s="26"/>
      <c r="C152" s="3" t="str">
        <f>CONCATENATE(B142)</f>
        <v xml:space="preserve">    There is currently no data on the interaction between these variants.  However, some information exists on the individual variants. 
    # What is the effect of these variants?
    Your variants are associated with increased incidence and severity of [ME](https://www.ncbi.nlm.nih.gov/pubmed/26063326)/[CFS](https://www.ncbi.nlm.nih.gov/pubmed/18986552).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153" spans="1:12">
      <c r="A153" s="26"/>
    </row>
    <row r="154" spans="1:12">
      <c r="A154" s="26"/>
      <c r="C154" s="3" t="s">
        <v>30</v>
      </c>
    </row>
    <row r="155" spans="1:12">
      <c r="A155" s="26"/>
    </row>
    <row r="156" spans="1:12">
      <c r="A156" s="26"/>
      <c r="C156" s="3" t="str">
        <f>CONCATENATE( "    &lt;piechart percentage=",B143," /&gt;")</f>
        <v xml:space="preserve">    &lt;piechart percentage= /&gt;</v>
      </c>
    </row>
    <row r="157" spans="1:12">
      <c r="A157" s="26"/>
      <c r="C157" s="3" t="str">
        <f>"  &lt;/Analysis&gt;"</f>
        <v xml:space="preserve">  &lt;/Analysis&gt;</v>
      </c>
      <c r="K157" s="21" t="str">
        <f t="shared" ref="K157:L159" si="14">K117</f>
        <v>rs242940</v>
      </c>
      <c r="L157" s="21" t="str">
        <f t="shared" si="14"/>
        <v>rs1396862</v>
      </c>
    </row>
    <row r="158" spans="1:12" s="21" customFormat="1">
      <c r="A158" s="28" t="s">
        <v>69</v>
      </c>
      <c r="B158" s="20" t="str">
        <f>CONCATENATE(B58," and ",B98)</f>
        <v>A45815234G (G;G) and G45825631A (A;A)</v>
      </c>
      <c r="C158" s="21" t="str">
        <f>CONCATENATE("&lt;# ",B158," #&gt;")</f>
        <v>&lt;# A45815234G (G;G) and G45825631A (A;A) #&gt;</v>
      </c>
      <c r="K158" s="21" t="str">
        <f t="shared" si="14"/>
        <v>A45815234G</v>
      </c>
      <c r="L158" s="21" t="str">
        <f t="shared" si="14"/>
        <v>G45825631A</v>
      </c>
    </row>
    <row r="159" spans="1:12">
      <c r="A159" s="14" t="s">
        <v>21</v>
      </c>
      <c r="B159" s="15" t="str">
        <f>K62</f>
        <v>NC_000017.10:g.[43892600A&gt;G];[43892600=]</v>
      </c>
      <c r="K159" s="3" t="str">
        <f t="shared" si="14"/>
        <v>NC_000017.10:g.</v>
      </c>
      <c r="L159" s="3" t="str">
        <f t="shared" si="14"/>
        <v>NC_000017.10:g.</v>
      </c>
    </row>
    <row r="160" spans="1:12">
      <c r="A160" s="14" t="s">
        <v>71</v>
      </c>
      <c r="B160" s="15" t="str">
        <f>L62</f>
        <v>NC_000017.10:g.[43902997G&gt;A];[43902997=]</v>
      </c>
      <c r="C160" s="3" t="str">
        <f>CONCATENATE("  &lt;Analysis name=",CHAR(34),B158,CHAR(34))</f>
        <v xml:space="preserve">  &lt;Analysis name="A45815234G (G;G) and G45825631A (A;A)"</v>
      </c>
      <c r="J160" s="3" t="str">
        <f t="shared" ref="J160:L164" si="15">J120</f>
        <v>Variant</v>
      </c>
      <c r="K160" s="3" t="str">
        <f t="shared" si="15"/>
        <v>[43892600A&gt;G]</v>
      </c>
      <c r="L160" s="3" t="str">
        <f t="shared" si="15"/>
        <v>[43902997G&gt;A]</v>
      </c>
    </row>
    <row r="161" spans="1:12">
      <c r="A161" s="26" t="s">
        <v>74</v>
      </c>
      <c r="B161" s="15" t="str">
        <f>CONCATENATE("People with this variant have two copies of the ",B22, " and ",B31," variants. This substitution of a single nucleotide is known as a missense mutation.")</f>
        <v>People with this variant have two copies of the [A45815234G](https://www.ncbi.nlm.nih.gov/projects/SNP/snp_ref.cgi?rs=242940) and [G45825631A](https://www.ncbi.nlm.nih.gov/projects/SNP/snp_ref.cgi?rs=1396862) variants. This substitution of a single nucleotide is known as a missense mutation.</v>
      </c>
      <c r="C161" s="3" t="str">
        <f>CONCATENATE("            case={  variantCall ",CHAR(40),CHAR(34),K163,CHAR(34),CHAR(41))</f>
        <v xml:space="preserve">            case={  variantCall ("NC_000017.10:g.[43892600A&gt;G];[43892600A&gt;G]")</v>
      </c>
      <c r="J161" s="3" t="str">
        <f t="shared" si="15"/>
        <v>Wildtype</v>
      </c>
      <c r="K161" s="3" t="str">
        <f t="shared" si="15"/>
        <v>[43892600=]</v>
      </c>
      <c r="L161" s="3" t="str">
        <f t="shared" si="15"/>
        <v>[43902997=]</v>
      </c>
    </row>
    <row r="162" spans="1:12">
      <c r="A162" s="26" t="s">
        <v>28</v>
      </c>
      <c r="B162" s="15" t="s">
        <v>321</v>
      </c>
      <c r="C162" s="3" t="s">
        <v>70</v>
      </c>
      <c r="J162" s="3" t="str">
        <f t="shared" si="15"/>
        <v>Het</v>
      </c>
      <c r="K162" s="3" t="str">
        <f t="shared" si="15"/>
        <v>NC_000017.10:g.[43892600A&gt;G];[43892600=]</v>
      </c>
      <c r="L162" s="3" t="str">
        <f t="shared" si="15"/>
        <v>NC_000017.10:g.[43902997G&gt;A];[43902997=]</v>
      </c>
    </row>
    <row r="163" spans="1:12">
      <c r="A163" s="26" t="s">
        <v>72</v>
      </c>
      <c r="C163" s="3" t="str">
        <f>CONCATENATE("                    variantCall ",CHAR(40),CHAR(34),L163,CHAR(34),CHAR(41))</f>
        <v xml:space="preserve">                    variantCall ("NC_000017.10:g.[43902997G&gt;A];[43902997G&gt;A]")</v>
      </c>
      <c r="J163" s="3" t="str">
        <f t="shared" si="15"/>
        <v>Homo</v>
      </c>
      <c r="K163" s="3" t="str">
        <f t="shared" si="15"/>
        <v>NC_000017.10:g.[43892600A&gt;G];[43892600A&gt;G]</v>
      </c>
      <c r="L163" s="3" t="str">
        <f t="shared" si="15"/>
        <v>NC_000017.10:g.[43902997G&gt;A];[43902997G&gt;A]</v>
      </c>
    </row>
    <row r="164" spans="1:12">
      <c r="A164" s="26"/>
      <c r="C164" s="3" t="str">
        <f>CONCATENATE("                  } &gt; ")</f>
        <v xml:space="preserve">                  } &gt; </v>
      </c>
      <c r="J164" s="3" t="str">
        <f t="shared" si="15"/>
        <v>Wildtype</v>
      </c>
      <c r="K164" s="3" t="str">
        <f t="shared" si="15"/>
        <v>NC_000017.10:g.[43892600=];[43892600=]</v>
      </c>
      <c r="L164" s="3" t="str">
        <f t="shared" si="15"/>
        <v>NC_000017.10:g.[43902997=];[43902997=]</v>
      </c>
    </row>
    <row r="165" spans="1:12">
      <c r="A165" s="26"/>
      <c r="J165" s="3" t="str">
        <f>J125</f>
        <v>Het%</v>
      </c>
      <c r="K165" s="3">
        <f>K125</f>
        <v>48.4</v>
      </c>
      <c r="L165" s="3">
        <f>L125</f>
        <v>15.7</v>
      </c>
    </row>
    <row r="166" spans="1:12">
      <c r="A166" s="26"/>
      <c r="C166" s="3" t="s">
        <v>26</v>
      </c>
      <c r="J166" s="3" t="str">
        <f t="shared" ref="J166:L167" si="16">J126</f>
        <v>Homo%</v>
      </c>
      <c r="K166" s="3">
        <f t="shared" si="16"/>
        <v>35.5</v>
      </c>
      <c r="L166" s="3">
        <f t="shared" si="16"/>
        <v>4.7</v>
      </c>
    </row>
    <row r="167" spans="1:12">
      <c r="A167" s="14"/>
      <c r="J167" s="3" t="str">
        <f t="shared" si="16"/>
        <v>Wildtype%</v>
      </c>
      <c r="K167" s="3">
        <f t="shared" si="16"/>
        <v>16.3</v>
      </c>
      <c r="L167" s="3">
        <f t="shared" si="16"/>
        <v>79.599999999999994</v>
      </c>
    </row>
    <row r="168" spans="1:12">
      <c r="A168" s="14"/>
      <c r="C168" s="3" t="str">
        <f>CONCATENATE("    ",B161)</f>
        <v xml:space="preserve">    People with this variant have two copies of the [A45815234G](https://www.ncbi.nlm.nih.gov/projects/SNP/snp_ref.cgi?rs=242940) and [G45825631A](https://www.ncbi.nlm.nih.gov/projects/SNP/snp_ref.cgi?rs=1396862) variants. This substitution of a single nucleotide is known as a missense mutation.</v>
      </c>
    </row>
    <row r="169" spans="1:12">
      <c r="A169" s="14"/>
    </row>
    <row r="170" spans="1:12">
      <c r="A170" s="14"/>
      <c r="C170" s="3" t="s">
        <v>29</v>
      </c>
    </row>
    <row r="171" spans="1:12">
      <c r="A171" s="14"/>
    </row>
    <row r="172" spans="1:12">
      <c r="A172" s="26"/>
      <c r="C172" s="3" t="str">
        <f>CONCATENATE(B162)</f>
        <v xml:space="preserve">    There is currently no data on the interaction between these variants.  However, some information exists on the individual variants. 
    # What is the effect of these variants?
    Your variants are associated with increased incidence and severity of [ME](https://www.ncbi.nlm.nih.gov/pubmed/26063326)/[CFS](https://www.ncbi.nlm.nih.gov/pubmed/18986552).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173" spans="1:12">
      <c r="A173" s="26"/>
    </row>
    <row r="174" spans="1:12">
      <c r="A174" s="26"/>
      <c r="C174" s="3" t="s">
        <v>30</v>
      </c>
    </row>
    <row r="175" spans="1:12">
      <c r="A175" s="26"/>
    </row>
    <row r="176" spans="1:12">
      <c r="A176" s="26"/>
      <c r="C176" s="3" t="str">
        <f>CONCATENATE( "    &lt;piechart percentage=",B163," /&gt;")</f>
        <v xml:space="preserve">    &lt;piechart percentage= /&gt;</v>
      </c>
    </row>
    <row r="177" spans="1:12">
      <c r="A177" s="26"/>
      <c r="C177" s="3" t="str">
        <f>"  &lt;/Analysis&gt;"</f>
        <v xml:space="preserve">  &lt;/Analysis&gt;</v>
      </c>
      <c r="K177" s="21" t="str">
        <f t="shared" ref="K177:L179" si="17">K157</f>
        <v>rs242940</v>
      </c>
      <c r="L177" s="21" t="str">
        <f t="shared" si="17"/>
        <v>rs1396862</v>
      </c>
    </row>
    <row r="178" spans="1:12" s="21" customFormat="1">
      <c r="A178" s="28" t="s">
        <v>69</v>
      </c>
      <c r="B178" s="20" t="str">
        <f>CONCATENATE(B38," and ",B98)</f>
        <v>A45815234G (A;G) and G45825631A (A;A)</v>
      </c>
      <c r="C178" s="21" t="str">
        <f>CONCATENATE("&lt;# ",B178," #&gt;")</f>
        <v>&lt;# A45815234G (A;G) and G45825631A (A;A) #&gt;</v>
      </c>
      <c r="K178" s="21" t="str">
        <f t="shared" si="17"/>
        <v>A45815234G</v>
      </c>
      <c r="L178" s="21" t="str">
        <f t="shared" si="17"/>
        <v>G45825631A</v>
      </c>
    </row>
    <row r="179" spans="1:12">
      <c r="A179" s="14" t="s">
        <v>21</v>
      </c>
      <c r="B179" s="15" t="str">
        <f>K82</f>
        <v>NC_000017.10:g.[43892600A&gt;G];[43892600=]</v>
      </c>
      <c r="K179" s="3" t="str">
        <f t="shared" si="17"/>
        <v>NC_000017.10:g.</v>
      </c>
      <c r="L179" s="3" t="str">
        <f t="shared" si="17"/>
        <v>NC_000017.10:g.</v>
      </c>
    </row>
    <row r="180" spans="1:12">
      <c r="A180" s="14" t="s">
        <v>71</v>
      </c>
      <c r="B180" s="15" t="str">
        <f>L82</f>
        <v>NC_000017.10:g.[43902997G&gt;A];[43902997=]</v>
      </c>
      <c r="C180" s="3" t="str">
        <f>CONCATENATE("  &lt;Analysis name=",CHAR(34),B178,CHAR(34))</f>
        <v xml:space="preserve">  &lt;Analysis name="A45815234G (A;G) and G45825631A (A;A)"</v>
      </c>
      <c r="J180" s="3" t="str">
        <f t="shared" ref="J180:L184" si="18">J160</f>
        <v>Variant</v>
      </c>
      <c r="K180" s="3" t="str">
        <f t="shared" si="18"/>
        <v>[43892600A&gt;G]</v>
      </c>
      <c r="L180" s="3" t="str">
        <f t="shared" si="18"/>
        <v>[43902997G&gt;A]</v>
      </c>
    </row>
    <row r="181" spans="1:12">
      <c r="A181" s="26" t="s">
        <v>74</v>
      </c>
      <c r="B181" s="15" t="str">
        <f>CONCATENATE("People with this variant have one copy of the ",B22, " and two copies of the ",B31," variants. This substitution of a single nucleotide is known as a missense mutation.")</f>
        <v>People with this variant have one copy of the [A45815234G](https://www.ncbi.nlm.nih.gov/projects/SNP/snp_ref.cgi?rs=242940) and two copies of the [G45825631A](https://www.ncbi.nlm.nih.gov/projects/SNP/snp_ref.cgi?rs=1396862) variants. This substitution of a single nucleotide is known as a missense mutation.</v>
      </c>
      <c r="C181" s="3" t="str">
        <f>CONCATENATE("            case={  variantCall ",CHAR(40),CHAR(34),K182,CHAR(34),CHAR(41))</f>
        <v xml:space="preserve">            case={  variantCall ("NC_000017.10:g.[43892600A&gt;G];[43892600=]")</v>
      </c>
      <c r="J181" s="3" t="str">
        <f t="shared" si="18"/>
        <v>Wildtype</v>
      </c>
      <c r="K181" s="3" t="str">
        <f t="shared" si="18"/>
        <v>[43892600=]</v>
      </c>
      <c r="L181" s="3" t="str">
        <f t="shared" si="18"/>
        <v>[43902997=]</v>
      </c>
    </row>
    <row r="182" spans="1:12">
      <c r="A182" s="26" t="s">
        <v>28</v>
      </c>
      <c r="B182" s="15" t="s">
        <v>321</v>
      </c>
      <c r="C182" s="3" t="s">
        <v>70</v>
      </c>
      <c r="J182" s="3" t="str">
        <f t="shared" si="18"/>
        <v>Het</v>
      </c>
      <c r="K182" s="3" t="str">
        <f t="shared" si="18"/>
        <v>NC_000017.10:g.[43892600A&gt;G];[43892600=]</v>
      </c>
      <c r="L182" s="3" t="str">
        <f t="shared" si="18"/>
        <v>NC_000017.10:g.[43902997G&gt;A];[43902997=]</v>
      </c>
    </row>
    <row r="183" spans="1:12">
      <c r="A183" s="26" t="s">
        <v>72</v>
      </c>
      <c r="C183" s="3" t="str">
        <f>CONCATENATE("                    variantCall ",CHAR(40),CHAR(34),L183,CHAR(34),CHAR(41))</f>
        <v xml:space="preserve">                    variantCall ("NC_000017.10:g.[43902997G&gt;A];[43902997G&gt;A]")</v>
      </c>
      <c r="J183" s="3" t="str">
        <f t="shared" si="18"/>
        <v>Homo</v>
      </c>
      <c r="K183" s="3" t="str">
        <f t="shared" si="18"/>
        <v>NC_000017.10:g.[43892600A&gt;G];[43892600A&gt;G]</v>
      </c>
      <c r="L183" s="3" t="str">
        <f t="shared" si="18"/>
        <v>NC_000017.10:g.[43902997G&gt;A];[43902997G&gt;A]</v>
      </c>
    </row>
    <row r="184" spans="1:12">
      <c r="A184" s="26"/>
      <c r="C184" s="3" t="str">
        <f>CONCATENATE("                  } &gt; ")</f>
        <v xml:space="preserve">                  } &gt; </v>
      </c>
      <c r="J184" s="3" t="str">
        <f t="shared" si="18"/>
        <v>Wildtype</v>
      </c>
      <c r="K184" s="3" t="str">
        <f t="shared" si="18"/>
        <v>NC_000017.10:g.[43892600=];[43892600=]</v>
      </c>
      <c r="L184" s="3" t="str">
        <f t="shared" si="18"/>
        <v>NC_000017.10:g.[43902997=];[43902997=]</v>
      </c>
    </row>
    <row r="185" spans="1:12">
      <c r="A185" s="26"/>
      <c r="J185" s="3" t="str">
        <f>J165</f>
        <v>Het%</v>
      </c>
      <c r="K185" s="3">
        <f>K165</f>
        <v>48.4</v>
      </c>
      <c r="L185" s="3">
        <f>L165</f>
        <v>15.7</v>
      </c>
    </row>
    <row r="186" spans="1:12">
      <c r="A186" s="26"/>
      <c r="C186" s="3" t="s">
        <v>26</v>
      </c>
      <c r="J186" s="3" t="str">
        <f t="shared" ref="J186:L187" si="19">J166</f>
        <v>Homo%</v>
      </c>
      <c r="K186" s="3">
        <f t="shared" si="19"/>
        <v>35.5</v>
      </c>
      <c r="L186" s="3">
        <f t="shared" si="19"/>
        <v>4.7</v>
      </c>
    </row>
    <row r="187" spans="1:12">
      <c r="A187" s="14"/>
      <c r="J187" s="3" t="str">
        <f t="shared" si="19"/>
        <v>Wildtype%</v>
      </c>
      <c r="K187" s="3">
        <f t="shared" si="19"/>
        <v>16.3</v>
      </c>
      <c r="L187" s="3">
        <f t="shared" si="19"/>
        <v>79.599999999999994</v>
      </c>
    </row>
    <row r="188" spans="1:12">
      <c r="A188" s="14"/>
      <c r="C188" s="3" t="str">
        <f>CONCATENATE("    ",B181)</f>
        <v xml:space="preserve">    People with this variant have one copy of the [A45815234G](https://www.ncbi.nlm.nih.gov/projects/SNP/snp_ref.cgi?rs=242940) and two copies of the [G45825631A](https://www.ncbi.nlm.nih.gov/projects/SNP/snp_ref.cgi?rs=1396862) variants. This substitution of a single nucleotide is known as a missense mutation.</v>
      </c>
    </row>
    <row r="189" spans="1:12">
      <c r="A189" s="14"/>
    </row>
    <row r="190" spans="1:12">
      <c r="A190" s="14"/>
      <c r="C190" s="3" t="s">
        <v>29</v>
      </c>
    </row>
    <row r="191" spans="1:12">
      <c r="A191" s="14"/>
    </row>
    <row r="192" spans="1:12">
      <c r="A192" s="26"/>
      <c r="C192" s="3" t="str">
        <f>CONCATENATE(B182)</f>
        <v xml:space="preserve">    There is currently no data on the interaction between these variants.  However, some information exists on the individual variants. 
    # What is the effect of these variants?
    Your variants are associated with increased incidence and severity of [ME](https://www.ncbi.nlm.nih.gov/pubmed/26063326)/[CFS](https://www.ncbi.nlm.nih.gov/pubmed/18986552). 
    The disruption of the HPA axis [leads to improper immune system](https://www.ncbi.nlm.nih.gov/pubmed/15467349) response and is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[ME/CFS](https://www.ncbi.nlm.nih.gov/pubmed/21549189) has also been associated with lower levels of HPA activity caused by [immune system abnormalities, inflammation, and oxidative stress](https://www.ncbi.nlm.nih.gov/pubmed/27766535). This may cause [mild hypocortisolism (or a lack of cortisol), improper cortisol cycles, and poor HPA response](https://www.ncbi.nlm.nih.gov/pubmed/21946893), correlating with increased disability and worse response to standard treatment.
    Hypocortisolism also causes decreases the ability of the body to respond to stress and heightens negative side-effects. The corticotropin-releasing factor (CRF) system, including the gene CRHR1, mediates both the initial and sustained responses to stress, including [blood pressure, heart function, immune response, and metabolism](https://www.niddk.nih.gov/health-information/endocrine-diseases/adrenal-insufficiency-addisons-disease). Impairment due to hypocortisolism may lead to or perpetuate many ME/CFS symptoms, including [pain](https://www.ncbi.nlm.nih.gov/pubmed/17596739), [fatigue, muscle weakness, and POTS](https://www.niddk.nih.gov/health-information/endocrine-diseases/adrenal-insufficiency-addisons-disease).
    # What should I do about this?
    [Oxidative stress and decreased antioxidant capacity](https://www.ncbi.nlm.nih.gov/pubmed/21549189) in ME/CFS patients caused by [HPA disruption](https://www.ncbi.nlm.nih.gov/pubmed/21549189) may be mitigated through environmental and dietary changes.
    - Consider a diet higher in [antioxidants](https://nccih.nih.gov/health/antioxidants/introduction.htm), such as vitamins C and E, selenium, and beta-carotene
    - Consider eating [red, blue, and purple berries such as blueberries and cranberries; orange and dark, leafy green vegetables such as pumpkin and spinach; tomato; red grapes; and peanuts](https://www.fruitsandveggiesmorematters.org/what-are-phytochemicals)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Consult your physician. 
    CRHR1 medication includes [Corticorelin ovine triflutate](https://www.drugbank.ca/drugs/DB09067), but [steroid replacement](https://www.ncbi.nlm.nih.gov/pubmed/21946893) is not recommended.</v>
      </c>
    </row>
    <row r="193" spans="1:3">
      <c r="A193" s="26"/>
    </row>
    <row r="194" spans="1:3">
      <c r="A194" s="26"/>
      <c r="C194" s="3" t="s">
        <v>30</v>
      </c>
    </row>
    <row r="195" spans="1:3">
      <c r="A195" s="26"/>
    </row>
    <row r="196" spans="1:3">
      <c r="A196" s="26"/>
      <c r="C196" s="3" t="str">
        <f>CONCATENATE( "    &lt;piechart percentage=",B183," /&gt;")</f>
        <v xml:space="preserve">    &lt;piechart percentage= /&gt;</v>
      </c>
    </row>
    <row r="197" spans="1:3">
      <c r="A197" s="26"/>
      <c r="C197" s="3" t="str">
        <f>"  &lt;/Analysis&gt;"</f>
        <v xml:space="preserve">  &lt;/Analysis&gt;</v>
      </c>
    </row>
    <row r="198" spans="1:3" s="21" customFormat="1">
      <c r="A198" s="28" t="s">
        <v>69</v>
      </c>
      <c r="B198" s="20" t="s">
        <v>83</v>
      </c>
      <c r="C198" s="21" t="str">
        <f>CONCATENATE("&lt;# ",B198," #&gt;")</f>
        <v>&lt;# Wild type #&gt;</v>
      </c>
    </row>
    <row r="199" spans="1:3">
      <c r="A199" s="14" t="s">
        <v>21</v>
      </c>
      <c r="B199" s="15" t="str">
        <f>K44</f>
        <v>NC_000017.10:g.[43892600=];[43892600=]</v>
      </c>
    </row>
    <row r="200" spans="1:3">
      <c r="A200" s="14" t="s">
        <v>71</v>
      </c>
      <c r="B200" s="15" t="str">
        <f>L44</f>
        <v>NC_000017.10:g.[43902997=];[43902997=]</v>
      </c>
      <c r="C200" s="3" t="str">
        <f>CONCATENATE("  &lt;Analysis name=",CHAR(34),B198,CHAR(34))</f>
        <v xml:space="preserve">  &lt;Analysis name="Wild type"</v>
      </c>
    </row>
    <row r="201" spans="1:3">
      <c r="A201" s="26" t="s">
        <v>74</v>
      </c>
      <c r="B201" s="15" t="str">
        <f>CONCATENATE("Your ",B12," gene has no variants. A normal gene is referred to as a ",CHAR(34),"wild-type",CHAR(34)," gene.")</f>
        <v>Your CRHR1 gene has no variants. A normal gene is referred to as a "wild-type" gene.</v>
      </c>
      <c r="C201" s="3" t="str">
        <f>CONCATENATE("            case={  variantCall ",CHAR(40),CHAR(34),B199,CHAR(34),CHAR(41))</f>
        <v xml:space="preserve">            case={  variantCall ("NC_000017.10:g.[43892600=];[43892600=]")</v>
      </c>
    </row>
    <row r="202" spans="1:3">
      <c r="A202" s="26" t="s">
        <v>28</v>
      </c>
      <c r="C202" s="3" t="s">
        <v>70</v>
      </c>
    </row>
    <row r="203" spans="1:3">
      <c r="A203" s="26" t="s">
        <v>72</v>
      </c>
      <c r="C203" s="3" t="str">
        <f>CONCATENATE("                    variantCall ",CHAR(40),CHAR(34),B200,CHAR(34),CHAR(41))</f>
        <v xml:space="preserve">                    variantCall ("NC_000017.10:g.[43902997=];[43902997=]")</v>
      </c>
    </row>
    <row r="204" spans="1:3">
      <c r="A204" s="26"/>
      <c r="C204" s="3" t="str">
        <f>CONCATENATE("                  } &gt; ")</f>
        <v xml:space="preserve">                  } &gt; </v>
      </c>
    </row>
    <row r="205" spans="1:3">
      <c r="A205" s="26"/>
    </row>
    <row r="206" spans="1:3">
      <c r="A206" s="26"/>
      <c r="C206" s="3" t="s">
        <v>26</v>
      </c>
    </row>
    <row r="207" spans="1:3">
      <c r="A207" s="14"/>
    </row>
    <row r="208" spans="1:3">
      <c r="A208" s="14"/>
      <c r="C208" s="3" t="str">
        <f>CONCATENATE("    ",B201)</f>
        <v xml:space="preserve">    Your CRHR1 gene has no variants. A normal gene is referred to as a "wild-type" gene.</v>
      </c>
    </row>
    <row r="209" spans="1:3">
      <c r="A209" s="14"/>
    </row>
    <row r="210" spans="1:3">
      <c r="A210" s="26"/>
      <c r="C210" s="3" t="s">
        <v>30</v>
      </c>
    </row>
    <row r="211" spans="1:3">
      <c r="A211" s="26"/>
    </row>
    <row r="212" spans="1:3">
      <c r="A212" s="26"/>
      <c r="C212" s="3" t="str">
        <f>CONCATENATE( "    &lt;piechart percentage=",B203," /&gt;")</f>
        <v xml:space="preserve">    &lt;piechart percentage= /&gt;</v>
      </c>
    </row>
    <row r="213" spans="1:3">
      <c r="A213" s="26"/>
      <c r="C213" s="3" t="str">
        <f>"  &lt;/Analysis&gt;"</f>
        <v xml:space="preserve">  &lt;/Analysis&gt;</v>
      </c>
    </row>
    <row r="214" spans="1:3" s="21" customFormat="1">
      <c r="A214" s="28" t="s">
        <v>69</v>
      </c>
      <c r="B214" s="20" t="s">
        <v>84</v>
      </c>
      <c r="C214" s="21" t="str">
        <f>CONCATENATE("&lt;# ",B214," #&gt;")</f>
        <v>&lt;# Unknown #&gt;</v>
      </c>
    </row>
    <row r="215" spans="1:3">
      <c r="A215" s="14" t="s">
        <v>21</v>
      </c>
      <c r="B215" s="15" t="str">
        <f>K60</f>
        <v>[43892600A&gt;G]</v>
      </c>
    </row>
    <row r="216" spans="1:3">
      <c r="A216" s="14" t="s">
        <v>71</v>
      </c>
      <c r="C216" s="3" t="str">
        <f>CONCATENATE("  &lt;Analysis name=",CHAR(34),B214,CHAR(34), " case=true&gt;")</f>
        <v xml:space="preserve">  &lt;Analysis name="Unknown" case=true&gt;</v>
      </c>
    </row>
    <row r="217" spans="1:3">
      <c r="A217" s="26" t="s">
        <v>74</v>
      </c>
      <c r="B217" s="15" t="s">
        <v>31</v>
      </c>
    </row>
    <row r="218" spans="1:3">
      <c r="A218" s="26" t="s">
        <v>72</v>
      </c>
      <c r="C218" s="3" t="s">
        <v>26</v>
      </c>
    </row>
    <row r="219" spans="1:3">
      <c r="A219" s="26"/>
    </row>
    <row r="220" spans="1:3">
      <c r="A220" s="14"/>
      <c r="C220" s="3" t="str">
        <f>CONCATENATE("    ",B217)</f>
        <v xml:space="preserve">    The effect is unknown.</v>
      </c>
    </row>
    <row r="221" spans="1:3">
      <c r="A221" s="14"/>
    </row>
    <row r="222" spans="1:3">
      <c r="A222" s="14"/>
      <c r="C222" s="3" t="s">
        <v>30</v>
      </c>
    </row>
    <row r="223" spans="1:3">
      <c r="A223" s="26"/>
    </row>
    <row r="224" spans="1:3">
      <c r="A224" s="26"/>
      <c r="C224" s="3" t="str">
        <f>CONCATENATE( "    &lt;piechart percentage=",B218," /&gt;")</f>
        <v xml:space="preserve">    &lt;piechart percentage= /&gt;</v>
      </c>
    </row>
    <row r="225" spans="1:3">
      <c r="A225" s="26"/>
      <c r="C225" s="3" t="str">
        <f>"  &lt;/Analysis&gt;"</f>
        <v xml:space="preserve">  &lt;/Analysis&gt;</v>
      </c>
    </row>
    <row r="226" spans="1:3">
      <c r="A226" s="14"/>
      <c r="C226" s="31" t="s">
        <v>369</v>
      </c>
    </row>
    <row r="227" spans="1:3" s="21" customFormat="1">
      <c r="A227" s="19"/>
      <c r="B227" s="20"/>
      <c r="C227" s="35"/>
    </row>
    <row r="228" spans="1:3">
      <c r="A228" s="14" t="s">
        <v>77</v>
      </c>
      <c r="B228" s="30" t="s">
        <v>315</v>
      </c>
      <c r="C228" s="10" t="str">
        <f>CONCATENATE("&lt;# ",A228," ",B228," #&gt;")</f>
        <v>&lt;# Tissues  brain; female tissue #&gt;</v>
      </c>
    </row>
    <row r="229" spans="1:3">
      <c r="A229" s="14"/>
    </row>
    <row r="230" spans="1:3">
      <c r="A230" s="14"/>
      <c r="B230" s="30" t="s">
        <v>316</v>
      </c>
      <c r="C230" s="31" t="str">
        <f>CONCATENATE("&lt;TopicBar ",B230," /&gt;")</f>
        <v>&lt;TopicBar mesh_D001921 mesh_D005836 /&gt;</v>
      </c>
    </row>
    <row r="231" spans="1:3">
      <c r="A231" s="14"/>
    </row>
    <row r="232" spans="1:3">
      <c r="A232" s="14" t="s">
        <v>32</v>
      </c>
      <c r="B232" s="30" t="s">
        <v>313</v>
      </c>
      <c r="C232" s="10" t="str">
        <f>CONCATENATE("&lt;# ",A232," ",B232," #&gt;")</f>
        <v>&lt;# Symptoms symptoms fatigue D005221; depression D003863; stress D040701; orthostatic intolerance (POTS) D054971; pain D010146; inflamation D007249 #&gt;</v>
      </c>
    </row>
    <row r="233" spans="1:3">
      <c r="A233" s="14"/>
    </row>
    <row r="234" spans="1:3">
      <c r="A234" s="14"/>
      <c r="B234" s="30" t="s">
        <v>314</v>
      </c>
      <c r="C234" s="31" t="str">
        <f>CONCATENATE("&lt;TopicBar ",B234," /&gt;")</f>
        <v>&lt;TopicBar mesh_D005221 mesh_D003863 mesh_D040701 mesh_D054971 mesh_D010146 mesh_D007249 /&gt;</v>
      </c>
    </row>
    <row r="235" spans="1:3">
      <c r="A235" s="14"/>
      <c r="C235" s="31"/>
    </row>
    <row r="236" spans="1:3">
      <c r="A236" s="14" t="s">
        <v>48</v>
      </c>
      <c r="B236" s="3" t="s">
        <v>317</v>
      </c>
      <c r="C236" s="10" t="str">
        <f>CONCATENATE("&lt;# ",A236," ",B236," #&gt;")</f>
        <v>&lt;# Diseases Diseases depression D003866; ME/CFS D015673; hypothyroid D007037; Parkinson Disease D010300; #&gt;</v>
      </c>
    </row>
    <row r="237" spans="1:3">
      <c r="A237" s="14"/>
    </row>
    <row r="238" spans="1:3">
      <c r="A238" s="14"/>
      <c r="B238" s="3" t="s">
        <v>318</v>
      </c>
      <c r="C238" s="31" t="str">
        <f>CONCATENATE("&lt;TopicBar ",B238," /&gt;")</f>
        <v>&lt;TopicBar mesh_D003866 mesh_D015673 mesh_D007037 mesh_D010300 /&gt;</v>
      </c>
    </row>
    <row r="239" spans="1:3">
      <c r="A239" s="14"/>
    </row>
    <row r="240" spans="1:3" s="21" customFormat="1">
      <c r="A240" s="28"/>
      <c r="B240" s="20"/>
    </row>
    <row r="241" spans="2:2">
      <c r="B241" s="49"/>
    </row>
    <row r="242" spans="2:2">
      <c r="B242" s="48"/>
    </row>
    <row r="243" spans="2:2">
      <c r="B243" s="49"/>
    </row>
    <row r="244" spans="2:2">
      <c r="B244" s="48"/>
    </row>
    <row r="245" spans="2:2">
      <c r="B245" s="49"/>
    </row>
    <row r="246" spans="2:2">
      <c r="B246" s="48"/>
    </row>
    <row r="247" spans="2:2">
      <c r="B247" s="49"/>
    </row>
    <row r="248" spans="2:2">
      <c r="B248" s="48"/>
    </row>
    <row r="249" spans="2:2">
      <c r="B249" s="49"/>
    </row>
    <row r="250" spans="2:2">
      <c r="B250" s="48"/>
    </row>
    <row r="251" spans="2:2">
      <c r="B251" s="49"/>
    </row>
    <row r="923" spans="3:3">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C589-B3EC-4896-9168-158D0864AD60}">
  <dimension ref="A1:AJ2563"/>
  <sheetViews>
    <sheetView workbookViewId="0">
      <selection activeCell="B374" sqref="B374"/>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s="15" t="s">
        <v>167</v>
      </c>
      <c r="C2" s="3" t="str">
        <f>CONCATENATE("&lt;",A2," ",B2," /&gt;")</f>
        <v>&lt;Gene_Name CHRNA5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168</v>
      </c>
      <c r="C4" s="3" t="str">
        <f>CONCATENATE("&lt;",A4," ",B4," /&gt;")</f>
        <v>&lt;GeneName_full neuronal acetylcholine receptor subunit alpha-5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CHRNA5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192</v>
      </c>
      <c r="C8" s="3" t="str">
        <f>CONCATENATE(B8," This gene is located on chromosome ",B9,".")</f>
        <v>[CHRNA5](https://www.genecards.org/cgi-bin/carddisp.pl?gene=CHRNA5) creates a protein that controls signals between between [motor neurons and muscle fiber](https://www.ebi.ac.uk/QuickGO/term/GO:0007274)s as well as the body’s response to [nicotine](http://www.uniprot.org/citations/18227835). Variants in CHRNA5 are associated with [anxiety](https://www.ncbi.nlm.nih.gov/pubmed/25826680) and decreased function of [natural killer cells (NKC)](https://www.ncbi.nlm.nih.gov/pubmed/27099524), a type of white blood cell that helps the body respond to viral infections. This gene is located on chromosome 15.</v>
      </c>
      <c r="I8" s="17"/>
      <c r="X8" s="18"/>
      <c r="Y8" s="16"/>
      <c r="Z8" s="16"/>
      <c r="AA8" s="16"/>
      <c r="AC8" s="16"/>
    </row>
    <row r="9" spans="1:36">
      <c r="A9" s="14" t="s">
        <v>6</v>
      </c>
      <c r="B9" s="2">
        <v>15</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s="15" t="s">
        <v>167</v>
      </c>
      <c r="C12" s="3" t="str">
        <f>CONCATENATE("&lt;GeneMap name= ",CHAR(34),B12,CHAR(34)," interval=",CHAR(34),B13,"=",CHAR(34),"&gt;")</f>
        <v>&lt;GeneMap name= "CHRNA5" interval="NC_000015.9:g.78857862_78887611="&gt;</v>
      </c>
      <c r="J12" s="23"/>
      <c r="K12" s="23"/>
      <c r="L12" s="23"/>
      <c r="M12" s="23"/>
      <c r="N12" s="23"/>
      <c r="O12" s="24"/>
      <c r="P12" s="25"/>
      <c r="Q12" s="24"/>
      <c r="R12" s="24"/>
      <c r="S12" s="25"/>
      <c r="T12" s="25"/>
      <c r="U12" s="24"/>
      <c r="V12" s="24"/>
      <c r="W12" s="25"/>
      <c r="X12" s="25"/>
      <c r="Y12" s="25"/>
      <c r="Z12" s="25"/>
    </row>
    <row r="13" spans="1:36">
      <c r="A13" s="14" t="s">
        <v>9</v>
      </c>
      <c r="B13" t="s">
        <v>175</v>
      </c>
      <c r="J13" s="15"/>
      <c r="K13" s="15"/>
      <c r="L13" s="15"/>
      <c r="M13" s="15"/>
      <c r="N13" s="15"/>
      <c r="O13" s="15"/>
      <c r="P13" s="15"/>
      <c r="Q13" s="15"/>
      <c r="R13" s="15"/>
      <c r="S13" s="15"/>
      <c r="T13" s="15"/>
      <c r="U13" s="15"/>
      <c r="V13" s="15"/>
      <c r="W13" s="15"/>
      <c r="X13" s="15"/>
      <c r="Y13" s="15"/>
      <c r="Z13" s="15"/>
    </row>
    <row r="14" spans="1:36">
      <c r="A14" s="14" t="s">
        <v>11</v>
      </c>
      <c r="B14" t="s">
        <v>89</v>
      </c>
      <c r="C14" s="3" t="str">
        <f>CONCATENATE("# What are some common variants of ",B12,"?")</f>
        <v># What are some common variants of CHRNA5?</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",B31,", and ",B40,".")</f>
        <v>A variant is a change at a specific point in the gene from the expected nucleotide sequence to another, resulting in incorrect protein function. There are three common variants in CHRNA5: [G1192A (Asp398Asn)](https://www.ncbi.nlm.nih.gov/clinvar/variation/17497/), [A78573551G](https://www.ncbi.nlm.nih.gov/projects/SNP/snp_ref.cgi?rs=6495306), and [A78581651T](https://www.ncbi.nlm.nih.gov/projects/SNP/snp_ref.cgi?rs=7180002).</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6" t="s">
        <v>182</v>
      </c>
      <c r="C18" s="3" t="str">
        <f>CONCATENATE("&lt;# ",B19," #&gt;")</f>
        <v>&lt;# G1192A #&gt;</v>
      </c>
      <c r="J18" s="15"/>
      <c r="K18" s="15"/>
      <c r="L18" s="15"/>
      <c r="M18" s="15"/>
      <c r="N18" s="15"/>
      <c r="O18" s="15"/>
      <c r="P18" s="15"/>
      <c r="Q18" s="15"/>
      <c r="R18" s="15"/>
      <c r="S18" s="15"/>
      <c r="T18" s="15"/>
      <c r="U18" s="15"/>
      <c r="V18" s="15"/>
      <c r="W18" s="15"/>
      <c r="X18" s="15"/>
      <c r="Y18" s="15"/>
      <c r="Z18" s="15"/>
    </row>
    <row r="19" spans="1:26">
      <c r="A19" s="26" t="s">
        <v>15</v>
      </c>
      <c r="B19" s="7" t="s">
        <v>176</v>
      </c>
      <c r="J19" s="6"/>
      <c r="K19" s="15"/>
      <c r="L19" s="15"/>
      <c r="M19" s="15"/>
      <c r="N19" s="15"/>
      <c r="O19" s="15"/>
      <c r="P19" s="15"/>
      <c r="Q19" s="15"/>
      <c r="R19" s="15"/>
      <c r="S19" s="15"/>
      <c r="T19" s="15"/>
      <c r="U19" s="15"/>
      <c r="V19" s="15"/>
      <c r="W19" s="15"/>
      <c r="X19" s="15"/>
      <c r="Y19" s="15"/>
      <c r="Z19" s="15"/>
    </row>
    <row r="20" spans="1:26">
      <c r="A20" s="26" t="s">
        <v>17</v>
      </c>
      <c r="B20" s="2" t="s">
        <v>44</v>
      </c>
      <c r="C20" s="3" t="str">
        <f>CONCATENATE("  &lt;Variant hgvs=",CHAR(34),B18,CHAR(34)," name=",CHAR(34),B19,CHAR(34),"&gt; ")</f>
        <v xml:space="preserve">  &lt;Variant hgvs="NC_000015.9:g.78882925G&gt;A" name="G1192A"&gt; </v>
      </c>
      <c r="J20" s="2"/>
      <c r="K20" s="15"/>
      <c r="L20" s="15"/>
      <c r="M20" s="15"/>
      <c r="N20" s="15"/>
      <c r="O20" s="15"/>
      <c r="P20" s="15"/>
      <c r="Q20" s="15"/>
      <c r="R20" s="15"/>
      <c r="S20" s="15"/>
      <c r="T20" s="15"/>
      <c r="U20" s="15"/>
      <c r="V20" s="15"/>
      <c r="W20" s="15"/>
      <c r="X20" s="15"/>
      <c r="Y20" s="15"/>
      <c r="Z20" s="15"/>
    </row>
    <row r="21" spans="1:26">
      <c r="A21" s="26" t="s">
        <v>19</v>
      </c>
      <c r="B21" s="2" t="s">
        <v>24</v>
      </c>
      <c r="H21" s="15"/>
      <c r="I21" s="15"/>
      <c r="J21" s="2"/>
      <c r="K21" s="15"/>
      <c r="L21" s="15"/>
      <c r="M21" s="15"/>
      <c r="N21" s="15"/>
      <c r="O21" s="15"/>
      <c r="P21" s="15"/>
      <c r="Q21" s="15"/>
      <c r="R21" s="15"/>
      <c r="S21" s="15"/>
      <c r="T21" s="15"/>
      <c r="U21" s="15"/>
      <c r="V21" s="15"/>
      <c r="W21" s="15"/>
      <c r="X21" s="15"/>
      <c r="Y21" s="15"/>
      <c r="Z21" s="15"/>
    </row>
    <row r="22" spans="1:26">
      <c r="A22" s="26" t="s">
        <v>21</v>
      </c>
      <c r="B22" s="7" t="s">
        <v>177</v>
      </c>
      <c r="C22" s="3" t="str">
        <f>CONCATENATE("    Instead of ",B20,", there is an ",B21," nucleotide.")</f>
        <v xml:space="preserve">    Instead of guanine (G), there is an adenine (A) nucleotide.</v>
      </c>
      <c r="H22" s="15"/>
      <c r="I22" s="15"/>
      <c r="J22" s="7"/>
      <c r="K22" s="15"/>
      <c r="L22" s="15"/>
      <c r="M22" s="15"/>
      <c r="N22" s="15"/>
      <c r="O22" s="15"/>
      <c r="P22" s="15"/>
      <c r="Q22" s="15"/>
      <c r="R22" s="15"/>
      <c r="S22" s="15"/>
      <c r="T22" s="15"/>
      <c r="U22" s="15"/>
      <c r="V22" s="15"/>
      <c r="W22" s="15"/>
      <c r="X22" s="15"/>
      <c r="Y22" s="15"/>
      <c r="Z22" s="15"/>
    </row>
    <row r="23" spans="1:26">
      <c r="A23" s="3" t="s">
        <v>64</v>
      </c>
      <c r="B23" s="6" t="s">
        <v>151</v>
      </c>
      <c r="H23" s="2"/>
      <c r="I23" s="2"/>
      <c r="J23" s="15"/>
      <c r="K23" s="15"/>
      <c r="L23" s="15"/>
      <c r="M23" s="15"/>
      <c r="N23" s="15"/>
      <c r="O23" s="15"/>
      <c r="P23" s="15"/>
      <c r="Q23" s="15"/>
      <c r="R23" s="15"/>
      <c r="S23" s="15"/>
      <c r="T23" s="15"/>
      <c r="U23" s="15"/>
      <c r="V23" s="15"/>
      <c r="W23" s="15"/>
      <c r="X23" s="15"/>
      <c r="Y23" s="15"/>
      <c r="Z23" s="15"/>
    </row>
    <row r="24" spans="1:26">
      <c r="A24" s="3" t="s">
        <v>51</v>
      </c>
      <c r="B24" s="7" t="s">
        <v>184</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185</v>
      </c>
      <c r="J25" s="6"/>
    </row>
    <row r="26" spans="1:26">
      <c r="A26" s="26"/>
      <c r="B26" s="7"/>
      <c r="J26" s="6"/>
    </row>
    <row r="27" spans="1:26">
      <c r="A27" s="14" t="s">
        <v>14</v>
      </c>
      <c r="B27" s="41" t="s">
        <v>186</v>
      </c>
      <c r="C27" s="3" t="str">
        <f>CONCATENATE("&lt;# ",B28," #&gt;")</f>
        <v>&lt;# A78573551G #&gt;</v>
      </c>
      <c r="J27" s="6"/>
    </row>
    <row r="28" spans="1:26">
      <c r="A28" s="26" t="s">
        <v>15</v>
      </c>
      <c r="B28" s="7" t="s">
        <v>178</v>
      </c>
      <c r="J28" s="2"/>
    </row>
    <row r="29" spans="1:26">
      <c r="A29" s="26" t="s">
        <v>17</v>
      </c>
      <c r="B29" s="2" t="s">
        <v>24</v>
      </c>
      <c r="C29" s="3" t="str">
        <f>CONCATENATE("  &lt;Variant hgvs=",CHAR(34),B27,CHAR(34)," name=",CHAR(34),B28,CHAR(34),"&gt; ")</f>
        <v xml:space="preserve">  &lt;Variant hgvs="NC_000015.9:g.78865893G&gt;A" name="A78573551G"&gt; </v>
      </c>
      <c r="J29" s="2"/>
    </row>
    <row r="30" spans="1:26">
      <c r="A30" s="26" t="s">
        <v>19</v>
      </c>
      <c r="B30" s="2" t="s">
        <v>44</v>
      </c>
      <c r="J30" s="7"/>
    </row>
    <row r="31" spans="1:26">
      <c r="A31" s="26" t="s">
        <v>21</v>
      </c>
      <c r="B31" s="7" t="s">
        <v>179</v>
      </c>
      <c r="C31" s="3" t="str">
        <f>CONCATENATE("    Instead of ",B29,", there is an ",B30," nucleotide.")</f>
        <v xml:space="preserve">    Instead of adenine (A), there is an guanine (G) nucleotide.</v>
      </c>
    </row>
    <row r="32" spans="1:26">
      <c r="A32" s="3" t="s">
        <v>64</v>
      </c>
      <c r="B32" s="3" t="s">
        <v>151</v>
      </c>
      <c r="J32" s="7"/>
    </row>
    <row r="33" spans="1:13">
      <c r="A33" s="3" t="s">
        <v>51</v>
      </c>
      <c r="B33" s="3" t="s">
        <v>187</v>
      </c>
      <c r="C33" s="3" t="str">
        <f>"  &lt;/Variant&gt;"</f>
        <v xml:space="preserve">  &lt;/Variant&gt;</v>
      </c>
      <c r="J33" s="7"/>
    </row>
    <row r="34" spans="1:13">
      <c r="A34" s="26" t="s">
        <v>52</v>
      </c>
      <c r="B34" s="7" t="s">
        <v>188</v>
      </c>
    </row>
    <row r="35" spans="1:13">
      <c r="B35" s="3"/>
    </row>
    <row r="36" spans="1:13">
      <c r="A36" s="14" t="s">
        <v>14</v>
      </c>
      <c r="B36" s="41" t="s">
        <v>189</v>
      </c>
      <c r="C36" s="3" t="str">
        <f>CONCATENATE("&lt;# ",B37," #&gt;")</f>
        <v>&lt;# A78581651T #&gt;</v>
      </c>
      <c r="J36" s="6"/>
    </row>
    <row r="37" spans="1:13">
      <c r="A37" s="26" t="s">
        <v>15</v>
      </c>
      <c r="B37" s="42" t="s">
        <v>180</v>
      </c>
      <c r="J37" s="2"/>
    </row>
    <row r="38" spans="1:13">
      <c r="A38" s="26" t="s">
        <v>17</v>
      </c>
      <c r="B38" s="2" t="s">
        <v>24</v>
      </c>
      <c r="C38" s="3" t="str">
        <f>CONCATENATE("  &lt;Variant hgvs=",CHAR(34),B36,CHAR(34)," name=",CHAR(34),B37,CHAR(34),"&gt; ")</f>
        <v xml:space="preserve">  &lt;Variant hgvs="NC_000015.9:g.78873993A&gt;T" name="A78581651T"&gt; </v>
      </c>
      <c r="J38" s="2"/>
    </row>
    <row r="39" spans="1:13">
      <c r="A39" s="26" t="s">
        <v>19</v>
      </c>
      <c r="B39" s="2" t="s">
        <v>20</v>
      </c>
      <c r="J39" s="7"/>
    </row>
    <row r="40" spans="1:13">
      <c r="A40" s="26" t="s">
        <v>21</v>
      </c>
      <c r="B40" s="7" t="s">
        <v>181</v>
      </c>
      <c r="C40" s="3" t="str">
        <f>CONCATENATE("    Instead of ",B38,", there is a ",B39," nucleotide.")</f>
        <v xml:space="preserve">    Instead of adenine (A), there is a thymine (T) nucleotide.</v>
      </c>
    </row>
    <row r="41" spans="1:13">
      <c r="A41" s="3" t="s">
        <v>64</v>
      </c>
      <c r="B41" s="3" t="s">
        <v>151</v>
      </c>
      <c r="J41" s="7"/>
    </row>
    <row r="42" spans="1:13">
      <c r="A42" s="3" t="s">
        <v>51</v>
      </c>
      <c r="B42" s="3" t="s">
        <v>190</v>
      </c>
      <c r="C42" s="3" t="str">
        <f>"  &lt;/Variant&gt;"</f>
        <v xml:space="preserve">  &lt;/Variant&gt;</v>
      </c>
      <c r="J42" s="7"/>
    </row>
    <row r="43" spans="1:13">
      <c r="A43" s="26" t="s">
        <v>52</v>
      </c>
      <c r="B43" s="7" t="s">
        <v>191</v>
      </c>
    </row>
    <row r="44" spans="1:13">
      <c r="B44" s="3"/>
    </row>
    <row r="45" spans="1:13" s="21" customFormat="1">
      <c r="A45" s="28"/>
      <c r="B45" s="20"/>
    </row>
    <row r="46" spans="1:13" s="10" customFormat="1">
      <c r="A46" s="32"/>
      <c r="B46" s="33"/>
      <c r="C46" s="34" t="s">
        <v>368</v>
      </c>
      <c r="L46" s="38"/>
    </row>
    <row r="47" spans="1:13" s="10" customFormat="1">
      <c r="A47" s="32"/>
      <c r="B47" s="33"/>
      <c r="K47" s="10" t="s">
        <v>183</v>
      </c>
      <c r="L47" s="38" t="s">
        <v>108</v>
      </c>
      <c r="M47" s="11" t="s">
        <v>107</v>
      </c>
    </row>
    <row r="48" spans="1:13" s="21" customFormat="1">
      <c r="A48" s="28" t="s">
        <v>69</v>
      </c>
      <c r="B48" s="20" t="str">
        <f>CONCATENATE(B19," (G;A)")</f>
        <v>G1192A (G;A)</v>
      </c>
      <c r="C48" s="21" t="str">
        <f>CONCATENATE("&lt;# ",B48," #&gt;")</f>
        <v>&lt;# G1192A (G;A) #&gt;</v>
      </c>
      <c r="K48" s="21" t="str">
        <f>B19</f>
        <v>G1192A</v>
      </c>
      <c r="L48" s="21" t="str">
        <f>B28</f>
        <v>A78573551G</v>
      </c>
      <c r="M48" s="21" t="str">
        <f>B37</f>
        <v>A78581651T</v>
      </c>
    </row>
    <row r="49" spans="1:13" s="10" customFormat="1">
      <c r="A49" s="3" t="s">
        <v>21</v>
      </c>
      <c r="B49" s="29" t="str">
        <f>K52</f>
        <v>NC_000015.9:g.[78882925G&gt;A];[78882925=]</v>
      </c>
      <c r="J49" s="3"/>
      <c r="K49" s="22" t="str">
        <f>B23</f>
        <v>NC_000015.9:g.</v>
      </c>
      <c r="L49" s="22" t="str">
        <f>B32</f>
        <v>NC_000015.9:g.</v>
      </c>
      <c r="M49" s="10" t="str">
        <f>B41</f>
        <v>NC_000015.9:g.</v>
      </c>
    </row>
    <row r="50" spans="1:13">
      <c r="B50" s="29"/>
      <c r="C50" s="3" t="str">
        <f>CONCATENATE("  &lt;Analysis name=",CHAR(34),B48,CHAR(34))</f>
        <v xml:space="preserve">  &lt;Analysis name="G1192A (G;A)"</v>
      </c>
      <c r="J50" s="3" t="s">
        <v>21</v>
      </c>
      <c r="K50" s="15" t="str">
        <f>B24</f>
        <v>[78882925G&gt;A]</v>
      </c>
      <c r="L50" s="22" t="str">
        <f>B33</f>
        <v>[78865893G&gt;A]</v>
      </c>
      <c r="M50" s="10" t="str">
        <f t="shared" ref="M50:M51" si="0">B42</f>
        <v>[78873993A&gt;T]</v>
      </c>
    </row>
    <row r="51" spans="1:13">
      <c r="A51" s="5" t="s">
        <v>27</v>
      </c>
      <c r="B51" s="2"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51" s="3" t="str">
        <f>CONCATENATE("            case={  variantCall ",CHAR(40),CHAR(34),K52,CHAR(34),CHAR(41))</f>
        <v xml:space="preserve">            case={  variantCall ("NC_000015.9:g.[78882925G&gt;A];[78882925=]")</v>
      </c>
      <c r="J51" s="3" t="s">
        <v>52</v>
      </c>
      <c r="K51" s="15" t="str">
        <f>B25</f>
        <v>[78882925=]</v>
      </c>
      <c r="L51" s="22" t="str">
        <f>B34</f>
        <v>[78865893=]</v>
      </c>
      <c r="M51" s="10" t="str">
        <f t="shared" si="0"/>
        <v>[78873993=]</v>
      </c>
    </row>
    <row r="52" spans="1:13">
      <c r="A52" s="1" t="s">
        <v>28</v>
      </c>
      <c r="B52" s="2" t="s">
        <v>195</v>
      </c>
      <c r="C52" s="3" t="s">
        <v>70</v>
      </c>
      <c r="J52" s="3" t="s">
        <v>62</v>
      </c>
      <c r="K52" s="15" t="str">
        <f>CONCATENATE(K49,K50,";",K51)</f>
        <v>NC_000015.9:g.[78882925G&gt;A];[78882925=]</v>
      </c>
      <c r="L52" s="15" t="str">
        <f>CONCATENATE(L49,L50,";",L51)</f>
        <v>NC_000015.9:g.[78865893G&gt;A];[78865893=]</v>
      </c>
      <c r="M52" s="15" t="str">
        <f>CONCATENATE(M49,M50,";",M51)</f>
        <v>NC_000015.9:g.[78873993A&gt;T];[78873993=]</v>
      </c>
    </row>
    <row r="53" spans="1:13">
      <c r="A53" s="3" t="s">
        <v>72</v>
      </c>
      <c r="B53" s="29">
        <f>K55</f>
        <v>39.200000000000003</v>
      </c>
      <c r="C53" s="3" t="str">
        <f>CONCATENATE("                    ","variantCall ",CHAR(40),CHAR(34),L54,CHAR(34),CHAR(41))</f>
        <v xml:space="preserve">                    variantCall ("NC_000015.9:g.[78865893=];[78865893=]")</v>
      </c>
      <c r="J53" s="3" t="s">
        <v>63</v>
      </c>
      <c r="K53" s="15" t="str">
        <f>CONCATENATE(K49,K50,";",K50)</f>
        <v>NC_000015.9:g.[78882925G&gt;A];[78882925G&gt;A]</v>
      </c>
      <c r="L53" s="15" t="str">
        <f>CONCATENATE(L49,L50,";",L50)</f>
        <v>NC_000015.9:g.[78865893G&gt;A];[78865893G&gt;A]</v>
      </c>
      <c r="M53" s="15" t="str">
        <f>CONCATENATE(M49,M50,";",M50)</f>
        <v>NC_000015.9:g.[78873993A&gt;T];[78873993A&gt;T]</v>
      </c>
    </row>
    <row r="54" spans="1:13">
      <c r="C54" s="3" t="s">
        <v>70</v>
      </c>
      <c r="J54" s="3" t="s">
        <v>52</v>
      </c>
      <c r="K54" s="2" t="str">
        <f>CONCATENATE(K49,K51,";",K51)</f>
        <v>NC_000015.9:g.[78882925=];[78882925=]</v>
      </c>
      <c r="L54" s="2" t="str">
        <f>CONCATENATE(L49,L51,";",L51)</f>
        <v>NC_000015.9:g.[78865893=];[78865893=]</v>
      </c>
      <c r="M54" s="2" t="str">
        <f>CONCATENATE(M49,M51,";",M51)</f>
        <v>NC_000015.9:g.[78873993=];[78873993=]</v>
      </c>
    </row>
    <row r="55" spans="1:13">
      <c r="C55" s="3" t="str">
        <f>CONCATENATE("                    ","variantCall ",CHAR(40),CHAR(34),M54,CHAR(34),CHAR(41))</f>
        <v xml:space="preserve">                    variantCall ("NC_000015.9:g.[78873993=];[78873993=]")</v>
      </c>
      <c r="J55" s="3" t="s">
        <v>66</v>
      </c>
      <c r="K55">
        <v>39.200000000000003</v>
      </c>
      <c r="L55" s="2">
        <v>39.200000000000003</v>
      </c>
      <c r="M55" s="2">
        <v>27.3</v>
      </c>
    </row>
    <row r="56" spans="1:13">
      <c r="A56" s="14"/>
      <c r="C56" s="3" t="str">
        <f>CONCATENATE("                  } &gt; ")</f>
        <v xml:space="preserve">                  } &gt; </v>
      </c>
      <c r="J56" s="3" t="s">
        <v>67</v>
      </c>
      <c r="K56">
        <v>5.2</v>
      </c>
      <c r="L56" s="2">
        <v>17.899999999999999</v>
      </c>
      <c r="M56" s="2">
        <v>9.5</v>
      </c>
    </row>
    <row r="57" spans="1:13">
      <c r="A57" s="26"/>
      <c r="J57" s="3" t="s">
        <v>68</v>
      </c>
      <c r="K57" s="2">
        <v>55.6</v>
      </c>
      <c r="L57" s="2">
        <v>42.9</v>
      </c>
      <c r="M57" s="2">
        <v>63.2</v>
      </c>
    </row>
    <row r="58" spans="1:13">
      <c r="A58" s="14"/>
      <c r="C58" s="3" t="s">
        <v>26</v>
      </c>
      <c r="K58"/>
      <c r="L58" s="2"/>
      <c r="M58" s="2"/>
    </row>
    <row r="59" spans="1:13">
      <c r="A59" s="14"/>
      <c r="K59" s="15"/>
      <c r="L59" s="15"/>
      <c r="M59" s="15"/>
    </row>
    <row r="60" spans="1:13">
      <c r="A60" s="26"/>
      <c r="C60" s="3" t="str">
        <f>CONCATENATE("    ",B51)</f>
        <v xml:space="preserve">    People with this variant have one copy of the [G1192A (Asp398Asn)](https://www.ncbi.nlm.nih.gov/clinvar/variation/17497/) variant. This substitution of a single nucleotide is known as a missense mutation.</v>
      </c>
      <c r="K60" s="15"/>
      <c r="L60" s="15"/>
      <c r="M60" s="15"/>
    </row>
    <row r="61" spans="1:13">
      <c r="A61" s="14"/>
      <c r="K61" s="2"/>
      <c r="L61" s="2"/>
      <c r="M61" s="2"/>
    </row>
    <row r="62" spans="1:13">
      <c r="A62" s="14"/>
      <c r="C62" s="3" t="s">
        <v>29</v>
      </c>
    </row>
    <row r="63" spans="1:13">
      <c r="A63" s="14"/>
    </row>
    <row r="64" spans="1:13">
      <c r="A64" s="14"/>
      <c r="C64" s="3" t="str">
        <f>CONCATENATE(B52)</f>
        <v xml:space="preserve">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65" spans="1:13">
      <c r="A65" s="26"/>
    </row>
    <row r="66" spans="1:13">
      <c r="A66" s="26"/>
      <c r="C66" s="3" t="s">
        <v>30</v>
      </c>
    </row>
    <row r="67" spans="1:13">
      <c r="A67" s="26"/>
    </row>
    <row r="68" spans="1:13">
      <c r="A68" s="26"/>
      <c r="C68" s="3" t="str">
        <f>CONCATENATE( "    &lt;piechart percentage=",B53," /&gt;")</f>
        <v xml:space="preserve">    &lt;piechart percentage=39.2 /&gt;</v>
      </c>
    </row>
    <row r="69" spans="1:13">
      <c r="A69" s="26"/>
      <c r="C69" s="3" t="str">
        <f>"  &lt;/Analysis&gt;"</f>
        <v xml:space="preserve">  &lt;/Analysis&gt;</v>
      </c>
      <c r="K69" s="3" t="str">
        <f t="shared" ref="K69:M69" si="1">K47</f>
        <v>rs16969968</v>
      </c>
      <c r="L69" s="3" t="str">
        <f t="shared" si="1"/>
        <v>rs3913434</v>
      </c>
      <c r="M69" s="3" t="str">
        <f t="shared" si="1"/>
        <v>rs270838</v>
      </c>
    </row>
    <row r="70" spans="1:13" s="21" customFormat="1">
      <c r="A70" s="28" t="s">
        <v>69</v>
      </c>
      <c r="B70" s="20" t="str">
        <f>CONCATENATE(B19," (A;A)")</f>
        <v>G1192A (A;A)</v>
      </c>
      <c r="C70" s="21" t="str">
        <f>CONCATENATE("&lt;# ",B70," #&gt;")</f>
        <v>&lt;# G1192A (A;A) #&gt;</v>
      </c>
      <c r="K70" s="21" t="str">
        <f t="shared" ref="K70:M71" si="2">K48</f>
        <v>G1192A</v>
      </c>
      <c r="L70" s="21" t="str">
        <f t="shared" si="2"/>
        <v>A78573551G</v>
      </c>
      <c r="M70" s="21" t="str">
        <f t="shared" si="2"/>
        <v>A78581651T</v>
      </c>
    </row>
    <row r="71" spans="1:13">
      <c r="A71" s="3" t="s">
        <v>21</v>
      </c>
      <c r="B71" s="29" t="str">
        <f>K53</f>
        <v>NC_000015.9:g.[78882925G&gt;A];[78882925G&gt;A]</v>
      </c>
      <c r="C71" s="10"/>
      <c r="K71" s="3" t="str">
        <f t="shared" si="2"/>
        <v>NC_000015.9:g.</v>
      </c>
      <c r="L71" s="3" t="str">
        <f t="shared" si="2"/>
        <v>NC_000015.9:g.</v>
      </c>
      <c r="M71" s="3" t="str">
        <f t="shared" si="2"/>
        <v>NC_000015.9:g.</v>
      </c>
    </row>
    <row r="72" spans="1:13">
      <c r="B72" s="29"/>
      <c r="C72" s="3" t="str">
        <f>CONCATENATE("  &lt;Analysis name=",CHAR(34),B70,CHAR(34))</f>
        <v xml:space="preserve">  &lt;Analysis name="G1192A (A;A)"</v>
      </c>
      <c r="J72" s="3" t="str">
        <f t="shared" ref="J72:M79" si="3">J50</f>
        <v>Variant</v>
      </c>
      <c r="K72" s="3" t="str">
        <f t="shared" si="3"/>
        <v>[78882925G&gt;A]</v>
      </c>
      <c r="L72" s="3" t="str">
        <f t="shared" si="3"/>
        <v>[78865893G&gt;A]</v>
      </c>
      <c r="M72" s="3" t="str">
        <f t="shared" si="3"/>
        <v>[78873993A&gt;T]</v>
      </c>
    </row>
    <row r="73" spans="1:13">
      <c r="A73" s="5" t="s">
        <v>74</v>
      </c>
      <c r="B73" s="2" t="str">
        <f>CONCATENATE("People with this variant have two copies of the ",B22," variant. This substitution of a single nucleotide is known as a missense mutation.")</f>
        <v>People with this variant have two copies of the [G1192A (Asp398Asn)](https://www.ncbi.nlm.nih.gov/clinvar/variation/17497/) variant. This substitution of a single nucleotide is known as a missense mutation.</v>
      </c>
      <c r="C73" s="3" t="str">
        <f>CONCATENATE("            case={  variantCall ",CHAR(40),CHAR(34),B71,CHAR(34),CHAR(41))</f>
        <v xml:space="preserve">            case={  variantCall ("NC_000015.9:g.[78882925G&gt;A];[78882925G&gt;A]")</v>
      </c>
      <c r="J73" s="3" t="str">
        <f t="shared" si="3"/>
        <v>Wildtype</v>
      </c>
      <c r="K73" s="3" t="str">
        <f t="shared" si="3"/>
        <v>[78882925=]</v>
      </c>
      <c r="L73" s="3" t="str">
        <f t="shared" si="3"/>
        <v>[78865893=]</v>
      </c>
      <c r="M73" s="3" t="str">
        <f t="shared" si="3"/>
        <v>[78873993=]</v>
      </c>
    </row>
    <row r="74" spans="1:13">
      <c r="A74" s="1" t="s">
        <v>28</v>
      </c>
      <c r="B74" s="29" t="s">
        <v>194</v>
      </c>
      <c r="C74" s="3" t="s">
        <v>70</v>
      </c>
      <c r="J74" s="3" t="str">
        <f t="shared" si="3"/>
        <v>Het</v>
      </c>
      <c r="K74" s="3" t="str">
        <f t="shared" si="3"/>
        <v>NC_000015.9:g.[78882925G&gt;A];[78882925=]</v>
      </c>
      <c r="L74" s="3" t="str">
        <f t="shared" si="3"/>
        <v>NC_000015.9:g.[78865893G&gt;A];[78865893=]</v>
      </c>
      <c r="M74" s="3" t="str">
        <f t="shared" si="3"/>
        <v>NC_000015.9:g.[78873993A&gt;T];[78873993=]</v>
      </c>
    </row>
    <row r="75" spans="1:13">
      <c r="A75" s="3" t="s">
        <v>72</v>
      </c>
      <c r="B75" s="29">
        <f>K56</f>
        <v>5.2</v>
      </c>
      <c r="C75" s="3" t="str">
        <f>CONCATENATE("                    ","variantCall ",CHAR(40),CHAR(34),L76,CHAR(34),CHAR(41))</f>
        <v xml:space="preserve">                    variantCall ("NC_000015.9:g.[78865893=];[78865893=]")</v>
      </c>
      <c r="J75" s="3" t="str">
        <f t="shared" si="3"/>
        <v>Homo</v>
      </c>
      <c r="K75" s="3" t="str">
        <f t="shared" si="3"/>
        <v>NC_000015.9:g.[78882925G&gt;A];[78882925G&gt;A]</v>
      </c>
      <c r="L75" s="3" t="str">
        <f t="shared" si="3"/>
        <v>NC_000015.9:g.[78865893G&gt;A];[78865893G&gt;A]</v>
      </c>
      <c r="M75" s="3" t="str">
        <f t="shared" si="3"/>
        <v>NC_000015.9:g.[78873993A&gt;T];[78873993A&gt;T]</v>
      </c>
    </row>
    <row r="76" spans="1:13">
      <c r="C76" s="3" t="s">
        <v>70</v>
      </c>
      <c r="J76" s="3" t="str">
        <f t="shared" si="3"/>
        <v>Wildtype</v>
      </c>
      <c r="K76" s="3" t="str">
        <f t="shared" si="3"/>
        <v>NC_000015.9:g.[78882925=];[78882925=]</v>
      </c>
      <c r="L76" s="3" t="str">
        <f t="shared" si="3"/>
        <v>NC_000015.9:g.[78865893=];[78865893=]</v>
      </c>
      <c r="M76" s="3" t="str">
        <f t="shared" si="3"/>
        <v>NC_000015.9:g.[78873993=];[78873993=]</v>
      </c>
    </row>
    <row r="77" spans="1:13">
      <c r="C77" s="3" t="str">
        <f>CONCATENATE("                    ","variantCall ",CHAR(40),CHAR(34),M76,CHAR(34),CHAR(41))</f>
        <v xml:space="preserve">                    variantCall ("NC_000015.9:g.[78873993=];[78873993=]")</v>
      </c>
      <c r="J77" s="3" t="str">
        <f t="shared" si="3"/>
        <v>Het%</v>
      </c>
      <c r="K77" s="3">
        <f t="shared" si="3"/>
        <v>39.200000000000003</v>
      </c>
      <c r="L77" s="3">
        <f t="shared" si="3"/>
        <v>39.200000000000003</v>
      </c>
      <c r="M77" s="3">
        <f t="shared" si="3"/>
        <v>27.3</v>
      </c>
    </row>
    <row r="78" spans="1:13">
      <c r="A78" s="14"/>
      <c r="C78" s="3" t="str">
        <f>CONCATENATE("                  } &gt; ")</f>
        <v xml:space="preserve">                  } &gt; </v>
      </c>
      <c r="J78" s="3" t="str">
        <f t="shared" si="3"/>
        <v>Homo%</v>
      </c>
      <c r="K78" s="3">
        <f t="shared" si="3"/>
        <v>5.2</v>
      </c>
      <c r="L78" s="3">
        <f t="shared" si="3"/>
        <v>17.899999999999999</v>
      </c>
      <c r="M78" s="3">
        <f t="shared" si="3"/>
        <v>9.5</v>
      </c>
    </row>
    <row r="79" spans="1:13">
      <c r="A79" s="26"/>
      <c r="J79" s="3" t="str">
        <f t="shared" si="3"/>
        <v>Wildtype%</v>
      </c>
      <c r="K79" s="3">
        <f t="shared" si="3"/>
        <v>55.6</v>
      </c>
      <c r="L79" s="3">
        <f t="shared" si="3"/>
        <v>42.9</v>
      </c>
      <c r="M79" s="3">
        <f t="shared" si="3"/>
        <v>63.2</v>
      </c>
    </row>
    <row r="80" spans="1:13">
      <c r="A80" s="14"/>
      <c r="C80" s="3" t="s">
        <v>26</v>
      </c>
    </row>
    <row r="81" spans="1:13">
      <c r="A81" s="14"/>
    </row>
    <row r="82" spans="1:13">
      <c r="A82" s="26"/>
      <c r="C82" s="3" t="str">
        <f>CONCATENATE("    ",B73)</f>
        <v xml:space="preserve">    People with this variant have two copies of the [G1192A (Asp398Asn)](https://www.ncbi.nlm.nih.gov/clinvar/variation/17497/) variant. This substitution of a single nucleotide is known as a missense mutation.</v>
      </c>
    </row>
    <row r="83" spans="1:13">
      <c r="A83" s="14"/>
    </row>
    <row r="84" spans="1:13">
      <c r="A84" s="14"/>
      <c r="C84" s="3" t="s">
        <v>29</v>
      </c>
    </row>
    <row r="85" spans="1:13">
      <c r="A85" s="14"/>
    </row>
    <row r="86" spans="1:13">
      <c r="A86" s="14"/>
      <c r="C86" s="3" t="str">
        <f>CONCATENATE(B74)</f>
        <v xml:space="preserve">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Pregnant women should consider [supplemental vitamin C](https://www.ncbi.nlm.nih.gov/pubmed/24838476).
    Consult your physician on [medications](http://www.uniprot.org/uniprot/P30532#pathology_and_biotech) that act on variants in CHRNA5, including [Ethanol](https://www.drugbank.ca/drugs/DB00898), [Galantamine](https://www.drugbank.ca/drugs/DB00674), and [nicotine](https://www.drugbank.ca/drugs/DB00184).</v>
      </c>
    </row>
    <row r="87" spans="1:13">
      <c r="A87" s="26"/>
    </row>
    <row r="88" spans="1:13">
      <c r="A88" s="26"/>
      <c r="C88" s="3" t="s">
        <v>30</v>
      </c>
    </row>
    <row r="89" spans="1:13">
      <c r="A89" s="26"/>
    </row>
    <row r="90" spans="1:13">
      <c r="A90" s="26"/>
      <c r="C90" s="3" t="str">
        <f>CONCATENATE( "    &lt;piechart percentage=",B75," /&gt;")</f>
        <v xml:space="preserve">    &lt;piechart percentage=5.2 /&gt;</v>
      </c>
    </row>
    <row r="91" spans="1:13">
      <c r="A91" s="26"/>
      <c r="C91" s="3" t="str">
        <f>"  &lt;/Analysis&gt;"</f>
        <v xml:space="preserve">  &lt;/Analysis&gt;</v>
      </c>
      <c r="K91" s="3" t="str">
        <f t="shared" ref="K91:M93" si="4">K69</f>
        <v>rs16969968</v>
      </c>
      <c r="L91" s="3" t="str">
        <f t="shared" si="4"/>
        <v>rs3913434</v>
      </c>
      <c r="M91" s="3" t="str">
        <f t="shared" si="4"/>
        <v>rs270838</v>
      </c>
    </row>
    <row r="92" spans="1:13" s="21" customFormat="1">
      <c r="A92" s="28" t="s">
        <v>69</v>
      </c>
      <c r="B92" s="20" t="str">
        <f>CONCATENATE(B28," (A;G)")</f>
        <v>A78573551G (A;G)</v>
      </c>
      <c r="C92" s="21" t="str">
        <f>CONCATENATE("&lt;# ",B92," #&gt;")</f>
        <v>&lt;# A78573551G (A;G) #&gt;</v>
      </c>
      <c r="K92" s="21" t="str">
        <f t="shared" si="4"/>
        <v>G1192A</v>
      </c>
      <c r="L92" s="21" t="str">
        <f t="shared" si="4"/>
        <v>A78573551G</v>
      </c>
      <c r="M92" s="21" t="str">
        <f t="shared" si="4"/>
        <v>A78581651T</v>
      </c>
    </row>
    <row r="93" spans="1:13" s="10" customFormat="1">
      <c r="A93" s="3" t="s">
        <v>21</v>
      </c>
      <c r="B93" s="29" t="str">
        <f>L96</f>
        <v>NC_000015.9:g.[78865893G&gt;A];[78865893=]</v>
      </c>
      <c r="J93" s="3"/>
      <c r="K93" s="22" t="str">
        <f t="shared" si="4"/>
        <v>NC_000015.9:g.</v>
      </c>
      <c r="L93" s="22" t="str">
        <f t="shared" si="4"/>
        <v>NC_000015.9:g.</v>
      </c>
      <c r="M93" s="10" t="str">
        <f t="shared" si="4"/>
        <v>NC_000015.9:g.</v>
      </c>
    </row>
    <row r="94" spans="1:13">
      <c r="A94" s="3" t="s">
        <v>71</v>
      </c>
      <c r="B94" s="29"/>
      <c r="C94" s="3" t="str">
        <f>CONCATENATE("  &lt;Analysis name=",CHAR(34),B92,CHAR(34))</f>
        <v xml:space="preserve">  &lt;Analysis name="A78573551G (A;G)"</v>
      </c>
      <c r="J94" s="3" t="str">
        <f t="shared" ref="J94:M97" si="5">J72</f>
        <v>Variant</v>
      </c>
      <c r="K94" s="15" t="str">
        <f t="shared" si="5"/>
        <v>[78882925G&gt;A]</v>
      </c>
      <c r="L94" s="22" t="str">
        <f t="shared" si="5"/>
        <v>[78865893G&gt;A]</v>
      </c>
      <c r="M94" s="3" t="str">
        <f t="shared" si="5"/>
        <v>[78873993A&gt;T]</v>
      </c>
    </row>
    <row r="95" spans="1:13">
      <c r="A95" s="5" t="s">
        <v>27</v>
      </c>
      <c r="B95" s="2" t="str">
        <f>CONCATENATE("People with this variant have one copy of the ",B31,"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95" s="3" t="str">
        <f>CONCATENATE("            case={  variantCall ",CHAR(40),CHAR(34),L96,CHAR(34),CHAR(41))</f>
        <v xml:space="preserve">            case={  variantCall ("NC_000015.9:g.[78865893G&gt;A];[78865893=]")</v>
      </c>
      <c r="J95" s="3" t="str">
        <f t="shared" si="5"/>
        <v>Wildtype</v>
      </c>
      <c r="K95" s="15" t="str">
        <f t="shared" si="5"/>
        <v>[78882925=]</v>
      </c>
      <c r="L95" s="22" t="str">
        <f t="shared" si="5"/>
        <v>[78865893=]</v>
      </c>
      <c r="M95" s="3" t="str">
        <f t="shared" si="5"/>
        <v>[78873993=]</v>
      </c>
    </row>
    <row r="96" spans="1:13">
      <c r="A96" s="1" t="s">
        <v>28</v>
      </c>
      <c r="B96" s="2" t="s">
        <v>193</v>
      </c>
      <c r="C96" s="3" t="s">
        <v>70</v>
      </c>
      <c r="J96" s="3" t="str">
        <f t="shared" si="5"/>
        <v>Het</v>
      </c>
      <c r="K96" s="15" t="str">
        <f t="shared" si="5"/>
        <v>NC_000015.9:g.[78882925G&gt;A];[78882925=]</v>
      </c>
      <c r="L96" s="15" t="str">
        <f t="shared" si="5"/>
        <v>NC_000015.9:g.[78865893G&gt;A];[78865893=]</v>
      </c>
      <c r="M96" s="3" t="str">
        <f t="shared" si="5"/>
        <v>NC_000015.9:g.[78873993A&gt;T];[78873993=]</v>
      </c>
    </row>
    <row r="97" spans="1:13">
      <c r="A97" s="3" t="s">
        <v>72</v>
      </c>
      <c r="B97" s="29">
        <f>L55</f>
        <v>39.200000000000003</v>
      </c>
      <c r="C97" s="3" t="str">
        <f>CONCATENATE("                    ","variantCall ",CHAR(40),CHAR(34),K98,CHAR(34),CHAR(41))</f>
        <v xml:space="preserve">                    variantCall ("NC_000015.9:g.[78882925=];[78882925=]")</v>
      </c>
      <c r="J97" s="3" t="str">
        <f t="shared" si="5"/>
        <v>Homo</v>
      </c>
      <c r="K97" s="15" t="str">
        <f t="shared" si="5"/>
        <v>NC_000015.9:g.[78882925G&gt;A];[78882925G&gt;A]</v>
      </c>
      <c r="L97" s="15" t="str">
        <f t="shared" si="5"/>
        <v>NC_000015.9:g.[78865893G&gt;A];[78865893G&gt;A]</v>
      </c>
      <c r="M97" s="3" t="str">
        <f t="shared" si="5"/>
        <v>NC_000015.9:g.[78873993A&gt;T];[78873993A&gt;T]</v>
      </c>
    </row>
    <row r="98" spans="1:13">
      <c r="B98" s="29"/>
      <c r="C98" s="3" t="s">
        <v>70</v>
      </c>
      <c r="J98" s="3" t="str">
        <f t="shared" ref="J98:M101" si="6">J76</f>
        <v>Wildtype</v>
      </c>
      <c r="K98" s="2" t="str">
        <f t="shared" si="6"/>
        <v>NC_000015.9:g.[78882925=];[78882925=]</v>
      </c>
      <c r="L98" s="2" t="str">
        <f t="shared" si="6"/>
        <v>NC_000015.9:g.[78865893=];[78865893=]</v>
      </c>
      <c r="M98" s="3" t="str">
        <f t="shared" si="6"/>
        <v>NC_000015.9:g.[78873993=];[78873993=]</v>
      </c>
    </row>
    <row r="99" spans="1:13">
      <c r="B99" s="29"/>
      <c r="C99" s="3" t="str">
        <f>CONCATENATE("                    ","variantCall ",CHAR(40),CHAR(34),M98,CHAR(34),CHAR(41))</f>
        <v xml:space="preserve">                    variantCall ("NC_000015.9:g.[78873993=];[78873993=]")</v>
      </c>
      <c r="J99" s="3" t="str">
        <f t="shared" si="6"/>
        <v>Het%</v>
      </c>
      <c r="K99" s="15">
        <f t="shared" si="6"/>
        <v>39.200000000000003</v>
      </c>
      <c r="L99" s="15">
        <f t="shared" si="6"/>
        <v>39.200000000000003</v>
      </c>
      <c r="M99" s="3">
        <f t="shared" si="6"/>
        <v>27.3</v>
      </c>
    </row>
    <row r="100" spans="1:13">
      <c r="C100" s="3" t="str">
        <f>CONCATENATE("                  } &gt; ")</f>
        <v xml:space="preserve">                  } &gt; </v>
      </c>
      <c r="J100" s="3" t="str">
        <f t="shared" si="6"/>
        <v>Homo%</v>
      </c>
      <c r="K100" s="2">
        <f t="shared" si="6"/>
        <v>5.2</v>
      </c>
      <c r="L100" s="2">
        <f t="shared" si="6"/>
        <v>17.899999999999999</v>
      </c>
      <c r="M100" s="3">
        <f t="shared" si="6"/>
        <v>9.5</v>
      </c>
    </row>
    <row r="101" spans="1:13">
      <c r="J101" s="3" t="str">
        <f t="shared" si="6"/>
        <v>Wildtype%</v>
      </c>
      <c r="K101" s="2">
        <f t="shared" si="6"/>
        <v>55.6</v>
      </c>
      <c r="L101" s="2">
        <f t="shared" si="6"/>
        <v>42.9</v>
      </c>
      <c r="M101" s="3">
        <f t="shared" si="6"/>
        <v>63.2</v>
      </c>
    </row>
    <row r="102" spans="1:13">
      <c r="A102" s="14"/>
      <c r="C102" s="3" t="s">
        <v>26</v>
      </c>
    </row>
    <row r="103" spans="1:13">
      <c r="A103" s="26"/>
    </row>
    <row r="104" spans="1:13">
      <c r="A104" s="14"/>
      <c r="C104" s="3" t="str">
        <f>CONCATENATE("    ",B95)</f>
        <v xml:space="preserve">    People with this variant have one copy of the [A78573551G](https://www.ncbi.nlm.nih.gov/projects/SNP/snp_ref.cgi?rs=6495306) variant. This substitution of a single nucleotide is known as a missense mutation.</v>
      </c>
    </row>
    <row r="105" spans="1:13">
      <c r="A105" s="14"/>
    </row>
    <row r="106" spans="1:13">
      <c r="A106" s="26"/>
      <c r="C106" s="3" t="s">
        <v>29</v>
      </c>
    </row>
    <row r="107" spans="1:13">
      <c r="A107" s="14"/>
    </row>
    <row r="108" spans="1:13">
      <c r="A108" s="14"/>
      <c r="C108" s="3" t="str">
        <f>CONCATENATE(B96)</f>
        <v xml:space="preserve">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09" spans="1:13">
      <c r="A109" s="14"/>
    </row>
    <row r="110" spans="1:13">
      <c r="A110" s="14"/>
      <c r="C110" s="3" t="s">
        <v>30</v>
      </c>
    </row>
    <row r="111" spans="1:13">
      <c r="A111" s="26"/>
    </row>
    <row r="112" spans="1:13">
      <c r="A112" s="26"/>
      <c r="C112" s="3" t="str">
        <f>CONCATENATE( "    &lt;piechart percentage=",B97," /&gt;")</f>
        <v xml:space="preserve">    &lt;piechart percentage=39.2 /&gt;</v>
      </c>
    </row>
    <row r="113" spans="1:13">
      <c r="A113" s="26"/>
      <c r="C113" s="3" t="str">
        <f>"  &lt;/Analysis&gt;"</f>
        <v xml:space="preserve">  &lt;/Analysis&gt;</v>
      </c>
      <c r="K113" s="3" t="str">
        <f t="shared" ref="K113:M113" si="7">K91</f>
        <v>rs16969968</v>
      </c>
      <c r="L113" s="3" t="str">
        <f t="shared" si="7"/>
        <v>rs3913434</v>
      </c>
      <c r="M113" s="3" t="str">
        <f t="shared" si="7"/>
        <v>rs270838</v>
      </c>
    </row>
    <row r="114" spans="1:13" s="21" customFormat="1">
      <c r="A114" s="28" t="s">
        <v>69</v>
      </c>
      <c r="B114" s="20" t="str">
        <f>CONCATENATE(B28," (G;G)")</f>
        <v>A78573551G (G;G)</v>
      </c>
      <c r="C114" s="21" t="str">
        <f>CONCATENATE("&lt;# ",B114," #&gt;")</f>
        <v>&lt;# A78573551G (G;G) #&gt;</v>
      </c>
      <c r="K114" s="21" t="str">
        <f t="shared" ref="K114:M114" si="8">K92</f>
        <v>G1192A</v>
      </c>
      <c r="L114" s="21" t="str">
        <f t="shared" si="8"/>
        <v>A78573551G</v>
      </c>
      <c r="M114" s="21" t="str">
        <f t="shared" si="8"/>
        <v>A78581651T</v>
      </c>
    </row>
    <row r="115" spans="1:13" s="10" customFormat="1">
      <c r="A115" s="3" t="s">
        <v>21</v>
      </c>
      <c r="B115" s="29" t="str">
        <f>L118</f>
        <v>NC_000015.9:g.[78865893G&gt;A];[78865893=]</v>
      </c>
      <c r="J115" s="3"/>
      <c r="K115" s="22" t="str">
        <f t="shared" ref="K115:M115" si="9">K93</f>
        <v>NC_000015.9:g.</v>
      </c>
      <c r="L115" s="22" t="str">
        <f t="shared" si="9"/>
        <v>NC_000015.9:g.</v>
      </c>
      <c r="M115" s="10" t="str">
        <f t="shared" si="9"/>
        <v>NC_000015.9:g.</v>
      </c>
    </row>
    <row r="116" spans="1:13">
      <c r="A116" s="3" t="s">
        <v>71</v>
      </c>
      <c r="B116" s="29"/>
      <c r="C116" s="3" t="str">
        <f>CONCATENATE("  &lt;Analysis name=",CHAR(34),B114,CHAR(34))</f>
        <v xml:space="preserve">  &lt;Analysis name="A78573551G (G;G)"</v>
      </c>
      <c r="J116" s="3" t="str">
        <f t="shared" ref="J116:M116" si="10">J94</f>
        <v>Variant</v>
      </c>
      <c r="K116" s="15" t="str">
        <f t="shared" si="10"/>
        <v>[78882925G&gt;A]</v>
      </c>
      <c r="L116" s="22" t="str">
        <f t="shared" si="10"/>
        <v>[78865893G&gt;A]</v>
      </c>
      <c r="M116" s="3" t="str">
        <f t="shared" si="10"/>
        <v>[78873993A&gt;T]</v>
      </c>
    </row>
    <row r="117" spans="1:13">
      <c r="A117" s="5" t="s">
        <v>27</v>
      </c>
      <c r="B117" s="2" t="str">
        <f>CONCATENATE("People with this variant have two copies of the ",B31,"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117" s="3" t="str">
        <f>CONCATENATE("            case={  variantCall ",CHAR(40),CHAR(34),L118,CHAR(34),CHAR(41))</f>
        <v xml:space="preserve">            case={  variantCall ("NC_000015.9:g.[78865893G&gt;A];[78865893=]")</v>
      </c>
      <c r="J117" s="3" t="str">
        <f t="shared" ref="J117:M117" si="11">J95</f>
        <v>Wildtype</v>
      </c>
      <c r="K117" s="15" t="str">
        <f t="shared" si="11"/>
        <v>[78882925=]</v>
      </c>
      <c r="L117" s="22" t="str">
        <f t="shared" si="11"/>
        <v>[78865893=]</v>
      </c>
      <c r="M117" s="3" t="str">
        <f t="shared" si="11"/>
        <v>[78873993=]</v>
      </c>
    </row>
    <row r="118" spans="1:13">
      <c r="A118" s="1" t="s">
        <v>28</v>
      </c>
      <c r="B118" s="2" t="s">
        <v>193</v>
      </c>
      <c r="C118" s="3" t="s">
        <v>70</v>
      </c>
      <c r="J118" s="3" t="str">
        <f t="shared" ref="J118:M118" si="12">J96</f>
        <v>Het</v>
      </c>
      <c r="K118" s="15" t="str">
        <f t="shared" si="12"/>
        <v>NC_000015.9:g.[78882925G&gt;A];[78882925=]</v>
      </c>
      <c r="L118" s="15" t="str">
        <f t="shared" si="12"/>
        <v>NC_000015.9:g.[78865893G&gt;A];[78865893=]</v>
      </c>
      <c r="M118" s="3" t="str">
        <f t="shared" si="12"/>
        <v>NC_000015.9:g.[78873993A&gt;T];[78873993=]</v>
      </c>
    </row>
    <row r="119" spans="1:13">
      <c r="A119" s="3" t="s">
        <v>72</v>
      </c>
      <c r="B119" s="29">
        <f>L78</f>
        <v>17.899999999999999</v>
      </c>
      <c r="C119" s="3" t="str">
        <f>CONCATENATE("                    ","variantCall ",CHAR(40),CHAR(34),K120,CHAR(34),CHAR(41))</f>
        <v xml:space="preserve">                    variantCall ("NC_000015.9:g.[78882925=];[78882925=]")</v>
      </c>
      <c r="J119" s="3" t="str">
        <f t="shared" ref="J119:M119" si="13">J97</f>
        <v>Homo</v>
      </c>
      <c r="K119" s="15" t="str">
        <f t="shared" si="13"/>
        <v>NC_000015.9:g.[78882925G&gt;A];[78882925G&gt;A]</v>
      </c>
      <c r="L119" s="15" t="str">
        <f t="shared" si="13"/>
        <v>NC_000015.9:g.[78865893G&gt;A];[78865893G&gt;A]</v>
      </c>
      <c r="M119" s="3" t="str">
        <f t="shared" si="13"/>
        <v>NC_000015.9:g.[78873993A&gt;T];[78873993A&gt;T]</v>
      </c>
    </row>
    <row r="120" spans="1:13">
      <c r="B120" s="29"/>
      <c r="C120" s="3" t="s">
        <v>70</v>
      </c>
      <c r="J120" s="3" t="str">
        <f t="shared" ref="J120:M123" si="14">J98</f>
        <v>Wildtype</v>
      </c>
      <c r="K120" s="2" t="str">
        <f t="shared" si="14"/>
        <v>NC_000015.9:g.[78882925=];[78882925=]</v>
      </c>
      <c r="L120" s="2" t="str">
        <f t="shared" si="14"/>
        <v>NC_000015.9:g.[78865893=];[78865893=]</v>
      </c>
      <c r="M120" s="3" t="str">
        <f t="shared" si="14"/>
        <v>NC_000015.9:g.[78873993=];[78873993=]</v>
      </c>
    </row>
    <row r="121" spans="1:13">
      <c r="B121" s="29"/>
      <c r="C121" s="3" t="str">
        <f>CONCATENATE("                    ","variantCall ",CHAR(40),CHAR(34),M120,CHAR(34),CHAR(41))</f>
        <v xml:space="preserve">                    variantCall ("NC_000015.9:g.[78873993=];[78873993=]")</v>
      </c>
      <c r="J121" s="3" t="str">
        <f t="shared" si="14"/>
        <v>Het%</v>
      </c>
      <c r="K121" s="15">
        <f t="shared" si="14"/>
        <v>39.200000000000003</v>
      </c>
      <c r="L121" s="15">
        <f t="shared" si="14"/>
        <v>39.200000000000003</v>
      </c>
      <c r="M121" s="3">
        <f t="shared" si="14"/>
        <v>27.3</v>
      </c>
    </row>
    <row r="122" spans="1:13">
      <c r="C122" s="3" t="str">
        <f>CONCATENATE("                  } &gt; ")</f>
        <v xml:space="preserve">                  } &gt; </v>
      </c>
      <c r="J122" s="3" t="str">
        <f t="shared" si="14"/>
        <v>Homo%</v>
      </c>
      <c r="K122" s="2">
        <f t="shared" si="14"/>
        <v>5.2</v>
      </c>
      <c r="L122" s="2">
        <f t="shared" si="14"/>
        <v>17.899999999999999</v>
      </c>
      <c r="M122" s="3">
        <f t="shared" si="14"/>
        <v>9.5</v>
      </c>
    </row>
    <row r="123" spans="1:13">
      <c r="J123" s="3" t="str">
        <f t="shared" si="14"/>
        <v>Wildtype%</v>
      </c>
      <c r="K123" s="2">
        <f t="shared" si="14"/>
        <v>55.6</v>
      </c>
      <c r="L123" s="2">
        <f t="shared" si="14"/>
        <v>42.9</v>
      </c>
      <c r="M123" s="3">
        <f t="shared" si="14"/>
        <v>63.2</v>
      </c>
    </row>
    <row r="124" spans="1:13">
      <c r="A124" s="14"/>
      <c r="C124" s="3" t="s">
        <v>26</v>
      </c>
    </row>
    <row r="125" spans="1:13">
      <c r="A125" s="26"/>
    </row>
    <row r="126" spans="1:13">
      <c r="A126" s="14"/>
      <c r="C126" s="3" t="str">
        <f>CONCATENATE("    ",B117)</f>
        <v xml:space="preserve">    People with this variant have two copies of the [A78573551G](https://www.ncbi.nlm.nih.gov/projects/SNP/snp_ref.cgi?rs=6495306) variant. This substitution of a single nucleotide is known as a missense mutation.</v>
      </c>
    </row>
    <row r="127" spans="1:13">
      <c r="A127" s="14"/>
    </row>
    <row r="128" spans="1:13">
      <c r="A128" s="26"/>
      <c r="C128" s="3" t="s">
        <v>29</v>
      </c>
    </row>
    <row r="129" spans="1:13">
      <c r="A129" s="14"/>
    </row>
    <row r="130" spans="1:13">
      <c r="A130" s="14"/>
      <c r="C130" s="3" t="str">
        <f>CONCATENATE(B118)</f>
        <v xml:space="preserve">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131" spans="1:13">
      <c r="A131" s="14"/>
    </row>
    <row r="132" spans="1:13">
      <c r="A132" s="14"/>
      <c r="C132" s="3" t="s">
        <v>30</v>
      </c>
    </row>
    <row r="133" spans="1:13">
      <c r="A133" s="26"/>
    </row>
    <row r="134" spans="1:13">
      <c r="A134" s="26"/>
      <c r="C134" s="3" t="str">
        <f>CONCATENATE( "    &lt;piechart percentage=",B119," /&gt;")</f>
        <v xml:space="preserve">    &lt;piechart percentage=17.9 /&gt;</v>
      </c>
    </row>
    <row r="135" spans="1:13">
      <c r="A135" s="26"/>
      <c r="C135" s="3" t="str">
        <f>"  &lt;/Analysis&gt;"</f>
        <v xml:space="preserve">  &lt;/Analysis&gt;</v>
      </c>
      <c r="K135" s="3" t="str">
        <f t="shared" ref="K135:M145" si="15">K91</f>
        <v>rs16969968</v>
      </c>
      <c r="L135" s="3" t="str">
        <f t="shared" si="15"/>
        <v>rs3913434</v>
      </c>
      <c r="M135" s="3" t="str">
        <f t="shared" si="15"/>
        <v>rs270838</v>
      </c>
    </row>
    <row r="136" spans="1:13" s="21" customFormat="1">
      <c r="A136" s="28" t="s">
        <v>69</v>
      </c>
      <c r="B136" s="20" t="str">
        <f>CONCATENATE(B37," (A;T)")</f>
        <v>A78581651T (A;T)</v>
      </c>
      <c r="C136" s="21" t="str">
        <f>CONCATENATE("&lt;# ",B136," #&gt;")</f>
        <v>&lt;# A78581651T (A;T) #&gt;</v>
      </c>
      <c r="K136" s="21" t="str">
        <f t="shared" si="15"/>
        <v>G1192A</v>
      </c>
      <c r="L136" s="21" t="str">
        <f t="shared" si="15"/>
        <v>A78573551G</v>
      </c>
      <c r="M136" s="21" t="str">
        <f t="shared" si="15"/>
        <v>A78581651T</v>
      </c>
    </row>
    <row r="137" spans="1:13">
      <c r="A137" s="3" t="s">
        <v>21</v>
      </c>
      <c r="B137" s="29" t="str">
        <f>M140</f>
        <v>NC_000015.9:g.[78873993A&gt;T];[78873993=]</v>
      </c>
      <c r="C137" s="10"/>
      <c r="K137" s="3" t="str">
        <f t="shared" si="15"/>
        <v>NC_000015.9:g.</v>
      </c>
      <c r="L137" s="3" t="str">
        <f t="shared" si="15"/>
        <v>NC_000015.9:g.</v>
      </c>
      <c r="M137" s="3" t="str">
        <f t="shared" si="15"/>
        <v>NC_000015.9:g.</v>
      </c>
    </row>
    <row r="138" spans="1:13">
      <c r="A138" s="3" t="s">
        <v>71</v>
      </c>
      <c r="B138" s="29" t="str">
        <f>L53</f>
        <v>NC_000015.9:g.[78865893G&gt;A];[78865893G&gt;A]</v>
      </c>
      <c r="C138" s="3" t="str">
        <f>CONCATENATE("  &lt;Analysis name=",CHAR(34),B136,CHAR(34))</f>
        <v xml:space="preserve">  &lt;Analysis name="A78581651T (A;T)"</v>
      </c>
      <c r="J138" s="3" t="str">
        <f t="shared" ref="J138:J145" si="16">J94</f>
        <v>Variant</v>
      </c>
      <c r="K138" s="3" t="str">
        <f t="shared" si="15"/>
        <v>[78882925G&gt;A]</v>
      </c>
      <c r="L138" s="3" t="str">
        <f t="shared" si="15"/>
        <v>[78865893G&gt;A]</v>
      </c>
      <c r="M138" s="3" t="str">
        <f t="shared" si="15"/>
        <v>[78873993A&gt;T]</v>
      </c>
    </row>
    <row r="139" spans="1:13">
      <c r="A139" s="5" t="s">
        <v>74</v>
      </c>
      <c r="B139" s="2" t="str">
        <f>CONCATENATE("People with this variant have one copy of the ",B40,"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39" s="3" t="str">
        <f>CONCATENATE("            case={  variantCall ",CHAR(40),CHAR(34),B137,CHAR(34),CHAR(41))</f>
        <v xml:space="preserve">            case={  variantCall ("NC_000015.9:g.[78873993A&gt;T];[78873993=]")</v>
      </c>
      <c r="J139" s="3" t="str">
        <f t="shared" si="16"/>
        <v>Wildtype</v>
      </c>
      <c r="K139" s="3" t="str">
        <f t="shared" si="15"/>
        <v>[78882925=]</v>
      </c>
      <c r="L139" s="3" t="str">
        <f t="shared" si="15"/>
        <v>[78865893=]</v>
      </c>
      <c r="M139" s="3" t="str">
        <f t="shared" si="15"/>
        <v>[78873993=]</v>
      </c>
    </row>
    <row r="140" spans="1:13">
      <c r="A140" s="1" t="s">
        <v>28</v>
      </c>
      <c r="B140" s="2" t="s">
        <v>196</v>
      </c>
      <c r="C140" s="3" t="s">
        <v>70</v>
      </c>
      <c r="J140" s="3" t="str">
        <f t="shared" si="16"/>
        <v>Het</v>
      </c>
      <c r="K140" s="3" t="str">
        <f t="shared" si="15"/>
        <v>NC_000015.9:g.[78882925G&gt;A];[78882925=]</v>
      </c>
      <c r="L140" s="3" t="str">
        <f t="shared" si="15"/>
        <v>NC_000015.9:g.[78865893G&gt;A];[78865893=]</v>
      </c>
      <c r="M140" s="3" t="str">
        <f t="shared" si="15"/>
        <v>NC_000015.9:g.[78873993A&gt;T];[78873993=]</v>
      </c>
    </row>
    <row r="141" spans="1:13">
      <c r="A141" s="3" t="s">
        <v>72</v>
      </c>
      <c r="B141" s="29">
        <f>M143</f>
        <v>27.3</v>
      </c>
      <c r="C141" s="3" t="str">
        <f>CONCATENATE("                    ","variantCall ",CHAR(40),CHAR(34),K142,CHAR(34),CHAR(41))</f>
        <v xml:space="preserve">                    variantCall ("NC_000015.9:g.[78882925=];[78882925=]")</v>
      </c>
      <c r="J141" s="3" t="str">
        <f t="shared" si="16"/>
        <v>Homo</v>
      </c>
      <c r="K141" s="3" t="str">
        <f t="shared" si="15"/>
        <v>NC_000015.9:g.[78882925G&gt;A];[78882925G&gt;A]</v>
      </c>
      <c r="L141" s="3" t="str">
        <f t="shared" si="15"/>
        <v>NC_000015.9:g.[78865893G&gt;A];[78865893G&gt;A]</v>
      </c>
      <c r="M141" s="3" t="str">
        <f t="shared" si="15"/>
        <v>NC_000015.9:g.[78873993A&gt;T];[78873993A&gt;T]</v>
      </c>
    </row>
    <row r="142" spans="1:13">
      <c r="C142" s="3" t="s">
        <v>70</v>
      </c>
      <c r="J142" s="3" t="str">
        <f t="shared" si="16"/>
        <v>Wildtype</v>
      </c>
      <c r="K142" s="3" t="str">
        <f t="shared" si="15"/>
        <v>NC_000015.9:g.[78882925=];[78882925=]</v>
      </c>
      <c r="L142" s="3" t="str">
        <f t="shared" si="15"/>
        <v>NC_000015.9:g.[78865893=];[78865893=]</v>
      </c>
      <c r="M142" s="3" t="str">
        <f t="shared" si="15"/>
        <v>NC_000015.9:g.[78873993=];[78873993=]</v>
      </c>
    </row>
    <row r="143" spans="1:13">
      <c r="C143" s="3" t="str">
        <f>CONCATENATE("                    ","variantCall ",CHAR(40),CHAR(34),K142,CHAR(34),CHAR(41))</f>
        <v xml:space="preserve">                    variantCall ("NC_000015.9:g.[78882925=];[78882925=]")</v>
      </c>
      <c r="J143" s="3" t="str">
        <f t="shared" si="16"/>
        <v>Het%</v>
      </c>
      <c r="K143" s="3">
        <f t="shared" si="15"/>
        <v>39.200000000000003</v>
      </c>
      <c r="L143" s="3">
        <f t="shared" si="15"/>
        <v>39.200000000000003</v>
      </c>
      <c r="M143" s="3">
        <f t="shared" si="15"/>
        <v>27.3</v>
      </c>
    </row>
    <row r="144" spans="1:13">
      <c r="A144" s="14"/>
      <c r="C144" s="3" t="str">
        <f>CONCATENATE("                  } &gt; ")</f>
        <v xml:space="preserve">                  } &gt; </v>
      </c>
      <c r="J144" s="3" t="str">
        <f t="shared" si="16"/>
        <v>Homo%</v>
      </c>
      <c r="K144" s="3">
        <f t="shared" si="15"/>
        <v>5.2</v>
      </c>
      <c r="L144" s="3">
        <f t="shared" si="15"/>
        <v>17.899999999999999</v>
      </c>
      <c r="M144" s="3">
        <f t="shared" si="15"/>
        <v>9.5</v>
      </c>
    </row>
    <row r="145" spans="1:13">
      <c r="A145" s="26"/>
      <c r="J145" s="3" t="str">
        <f t="shared" si="16"/>
        <v>Wildtype%</v>
      </c>
      <c r="K145" s="3">
        <f t="shared" si="15"/>
        <v>55.6</v>
      </c>
      <c r="L145" s="3">
        <f t="shared" si="15"/>
        <v>42.9</v>
      </c>
      <c r="M145" s="3">
        <f t="shared" si="15"/>
        <v>63.2</v>
      </c>
    </row>
    <row r="146" spans="1:13">
      <c r="A146" s="14"/>
      <c r="C146" s="3" t="s">
        <v>26</v>
      </c>
    </row>
    <row r="147" spans="1:13">
      <c r="A147" s="14"/>
    </row>
    <row r="148" spans="1:13">
      <c r="A148" s="26"/>
      <c r="C148" s="3" t="str">
        <f>CONCATENATE("    ",B139)</f>
        <v xml:space="preserve">    People with this variant have one copy of the [A78581651T](https://www.ncbi.nlm.nih.gov/projects/SNP/snp_ref.cgi?rs=7180002) variant. This substitution of a single nucleotide is known as a missense mutation.</v>
      </c>
    </row>
    <row r="149" spans="1:13">
      <c r="A149" s="14"/>
    </row>
    <row r="150" spans="1:13">
      <c r="A150" s="14"/>
      <c r="C150" s="3" t="s">
        <v>29</v>
      </c>
    </row>
    <row r="151" spans="1:13">
      <c r="A151" s="14"/>
    </row>
    <row r="152" spans="1:13">
      <c r="A152" s="14"/>
      <c r="C152" s="3" t="str">
        <f>CONCATENATE(B140)</f>
        <v xml:space="preserve">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avoid smoking, and proactively check for lung cancer if they smoke.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53" spans="1:13">
      <c r="A153" s="26"/>
    </row>
    <row r="154" spans="1:13">
      <c r="A154" s="26"/>
      <c r="C154" s="3" t="s">
        <v>30</v>
      </c>
    </row>
    <row r="155" spans="1:13">
      <c r="A155" s="26"/>
    </row>
    <row r="156" spans="1:13">
      <c r="A156" s="26"/>
      <c r="C156" s="3" t="str">
        <f>CONCATENATE( "    &lt;piechart percentage=",B141," /&gt;")</f>
        <v xml:space="preserve">    &lt;piechart percentage=27.3 /&gt;</v>
      </c>
    </row>
    <row r="157" spans="1:13">
      <c r="A157" s="26"/>
      <c r="C157" s="3" t="str">
        <f>"  &lt;/Analysis&gt;"</f>
        <v xml:space="preserve">  &lt;/Analysis&gt;</v>
      </c>
      <c r="K157" s="3" t="str">
        <f t="shared" ref="K157:M167" si="17">K113</f>
        <v>rs16969968</v>
      </c>
      <c r="L157" s="3" t="str">
        <f t="shared" si="17"/>
        <v>rs3913434</v>
      </c>
      <c r="M157" s="3" t="str">
        <f t="shared" si="17"/>
        <v>rs270838</v>
      </c>
    </row>
    <row r="158" spans="1:13" s="21" customFormat="1">
      <c r="A158" s="28" t="s">
        <v>69</v>
      </c>
      <c r="B158" s="20" t="str">
        <f>CONCATENATE(B37," (T;T)")</f>
        <v>A78581651T (T;T)</v>
      </c>
      <c r="C158" s="21" t="str">
        <f>CONCATENATE("&lt;# ",B158," #&gt;")</f>
        <v>&lt;# A78581651T (T;T) #&gt;</v>
      </c>
      <c r="K158" s="21" t="str">
        <f t="shared" si="17"/>
        <v>G1192A</v>
      </c>
      <c r="L158" s="21" t="str">
        <f t="shared" si="17"/>
        <v>A78573551G</v>
      </c>
      <c r="M158" s="21" t="str">
        <f t="shared" si="17"/>
        <v>A78581651T</v>
      </c>
    </row>
    <row r="159" spans="1:13">
      <c r="A159" s="3" t="s">
        <v>21</v>
      </c>
      <c r="B159" s="29" t="str">
        <f>M162</f>
        <v>NC_000015.9:g.[78873993A&gt;T];[78873993=]</v>
      </c>
      <c r="C159" s="10"/>
      <c r="K159" s="3" t="str">
        <f t="shared" si="17"/>
        <v>NC_000015.9:g.</v>
      </c>
      <c r="L159" s="3" t="str">
        <f t="shared" si="17"/>
        <v>NC_000015.9:g.</v>
      </c>
      <c r="M159" s="3" t="str">
        <f t="shared" si="17"/>
        <v>NC_000015.9:g.</v>
      </c>
    </row>
    <row r="160" spans="1:13">
      <c r="A160" s="3" t="s">
        <v>71</v>
      </c>
      <c r="B160" s="29" t="str">
        <f>L75</f>
        <v>NC_000015.9:g.[78865893G&gt;A];[78865893G&gt;A]</v>
      </c>
      <c r="C160" s="3" t="str">
        <f>CONCATENATE("  &lt;Analysis name=",CHAR(34),B158,CHAR(34))</f>
        <v xml:space="preserve">  &lt;Analysis name="A78581651T (T;T)"</v>
      </c>
      <c r="J160" s="3" t="str">
        <f t="shared" ref="J160:J167" si="18">J116</f>
        <v>Variant</v>
      </c>
      <c r="K160" s="3" t="str">
        <f t="shared" si="17"/>
        <v>[78882925G&gt;A]</v>
      </c>
      <c r="L160" s="3" t="str">
        <f t="shared" si="17"/>
        <v>[78865893G&gt;A]</v>
      </c>
      <c r="M160" s="3" t="str">
        <f t="shared" si="17"/>
        <v>[78873993A&gt;T]</v>
      </c>
    </row>
    <row r="161" spans="1:13">
      <c r="A161" s="5" t="s">
        <v>74</v>
      </c>
      <c r="B161" s="2" t="str">
        <f>CONCATENATE("People with this variant have two copies of the ",B40,"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61" s="3" t="str">
        <f>CONCATENATE("            case={  variantCall ",CHAR(40),CHAR(34),B159,CHAR(34),CHAR(41))</f>
        <v xml:space="preserve">            case={  variantCall ("NC_000015.9:g.[78873993A&gt;T];[78873993=]")</v>
      </c>
      <c r="J161" s="3" t="str">
        <f t="shared" si="18"/>
        <v>Wildtype</v>
      </c>
      <c r="K161" s="3" t="str">
        <f t="shared" si="17"/>
        <v>[78882925=]</v>
      </c>
      <c r="L161" s="3" t="str">
        <f t="shared" si="17"/>
        <v>[78865893=]</v>
      </c>
      <c r="M161" s="3" t="str">
        <f t="shared" si="17"/>
        <v>[78873993=]</v>
      </c>
    </row>
    <row r="162" spans="1:13">
      <c r="A162" s="1" t="s">
        <v>28</v>
      </c>
      <c r="B162" s="2" t="s">
        <v>196</v>
      </c>
      <c r="C162" s="3" t="s">
        <v>70</v>
      </c>
      <c r="J162" s="3" t="str">
        <f t="shared" si="18"/>
        <v>Het</v>
      </c>
      <c r="K162" s="3" t="str">
        <f t="shared" si="17"/>
        <v>NC_000015.9:g.[78882925G&gt;A];[78882925=]</v>
      </c>
      <c r="L162" s="3" t="str">
        <f t="shared" si="17"/>
        <v>NC_000015.9:g.[78865893G&gt;A];[78865893=]</v>
      </c>
      <c r="M162" s="3" t="str">
        <f t="shared" si="17"/>
        <v>NC_000015.9:g.[78873993A&gt;T];[78873993=]</v>
      </c>
    </row>
    <row r="163" spans="1:13">
      <c r="A163" s="3" t="s">
        <v>72</v>
      </c>
      <c r="B163" s="29">
        <f>M166</f>
        <v>9.5</v>
      </c>
      <c r="C163" s="3" t="str">
        <f>CONCATENATE("                    ","variantCall ",CHAR(40),CHAR(34),K164,CHAR(34),CHAR(41))</f>
        <v xml:space="preserve">                    variantCall ("NC_000015.9:g.[78882925=];[78882925=]")</v>
      </c>
      <c r="J163" s="3" t="str">
        <f t="shared" si="18"/>
        <v>Homo</v>
      </c>
      <c r="K163" s="3" t="str">
        <f t="shared" si="17"/>
        <v>NC_000015.9:g.[78882925G&gt;A];[78882925G&gt;A]</v>
      </c>
      <c r="L163" s="3" t="str">
        <f t="shared" si="17"/>
        <v>NC_000015.9:g.[78865893G&gt;A];[78865893G&gt;A]</v>
      </c>
      <c r="M163" s="3" t="str">
        <f t="shared" si="17"/>
        <v>NC_000015.9:g.[78873993A&gt;T];[78873993A&gt;T]</v>
      </c>
    </row>
    <row r="164" spans="1:13">
      <c r="C164" s="3" t="s">
        <v>70</v>
      </c>
      <c r="J164" s="3" t="str">
        <f t="shared" si="18"/>
        <v>Wildtype</v>
      </c>
      <c r="K164" s="3" t="str">
        <f t="shared" si="17"/>
        <v>NC_000015.9:g.[78882925=];[78882925=]</v>
      </c>
      <c r="L164" s="3" t="str">
        <f t="shared" si="17"/>
        <v>NC_000015.9:g.[78865893=];[78865893=]</v>
      </c>
      <c r="M164" s="3" t="str">
        <f t="shared" si="17"/>
        <v>NC_000015.9:g.[78873993=];[78873993=]</v>
      </c>
    </row>
    <row r="165" spans="1:13">
      <c r="C165" s="3" t="str">
        <f>CONCATENATE("                    ","variantCall ",CHAR(40),CHAR(34),K164,CHAR(34),CHAR(41))</f>
        <v xml:space="preserve">                    variantCall ("NC_000015.9:g.[78882925=];[78882925=]")</v>
      </c>
      <c r="J165" s="3" t="str">
        <f t="shared" si="18"/>
        <v>Het%</v>
      </c>
      <c r="K165" s="3">
        <f t="shared" si="17"/>
        <v>39.200000000000003</v>
      </c>
      <c r="L165" s="3">
        <f t="shared" si="17"/>
        <v>39.200000000000003</v>
      </c>
      <c r="M165" s="3">
        <f t="shared" si="17"/>
        <v>27.3</v>
      </c>
    </row>
    <row r="166" spans="1:13">
      <c r="A166" s="14"/>
      <c r="C166" s="3" t="str">
        <f>CONCATENATE("                  } &gt; ")</f>
        <v xml:space="preserve">                  } &gt; </v>
      </c>
      <c r="J166" s="3" t="str">
        <f t="shared" si="18"/>
        <v>Homo%</v>
      </c>
      <c r="K166" s="3">
        <f t="shared" si="17"/>
        <v>5.2</v>
      </c>
      <c r="L166" s="3">
        <f t="shared" si="17"/>
        <v>17.899999999999999</v>
      </c>
      <c r="M166" s="3">
        <f t="shared" si="17"/>
        <v>9.5</v>
      </c>
    </row>
    <row r="167" spans="1:13">
      <c r="A167" s="26"/>
      <c r="J167" s="3" t="str">
        <f t="shared" si="18"/>
        <v>Wildtype%</v>
      </c>
      <c r="K167" s="3">
        <f t="shared" si="17"/>
        <v>55.6</v>
      </c>
      <c r="L167" s="3">
        <f t="shared" si="17"/>
        <v>42.9</v>
      </c>
      <c r="M167" s="3">
        <f t="shared" si="17"/>
        <v>63.2</v>
      </c>
    </row>
    <row r="168" spans="1:13">
      <c r="A168" s="14"/>
      <c r="C168" s="3" t="s">
        <v>26</v>
      </c>
    </row>
    <row r="169" spans="1:13">
      <c r="A169" s="14"/>
    </row>
    <row r="170" spans="1:13">
      <c r="A170" s="26"/>
      <c r="C170" s="3" t="str">
        <f>CONCATENATE("    ",B161)</f>
        <v xml:space="preserve">    People with this variant have two copies of the [A78581651T](https://www.ncbi.nlm.nih.gov/projects/SNP/snp_ref.cgi?rs=7180002) variant. This substitution of a single nucleotide is known as a missense mutation.</v>
      </c>
    </row>
    <row r="171" spans="1:13">
      <c r="A171" s="14"/>
    </row>
    <row r="172" spans="1:13">
      <c r="A172" s="14"/>
      <c r="C172" s="3" t="s">
        <v>29</v>
      </c>
    </row>
    <row r="173" spans="1:13">
      <c r="A173" s="14"/>
    </row>
    <row r="174" spans="1:13">
      <c r="A174" s="14"/>
      <c r="C174" s="3" t="str">
        <f>CONCATENATE(B162)</f>
        <v xml:space="preserve">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avoid smoking, and proactively check for lung cancer if they smoke.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75" spans="1:13">
      <c r="A175" s="26"/>
    </row>
    <row r="176" spans="1:13">
      <c r="A176" s="26"/>
      <c r="C176" s="3" t="s">
        <v>30</v>
      </c>
    </row>
    <row r="177" spans="1:13">
      <c r="A177" s="26"/>
    </row>
    <row r="178" spans="1:13">
      <c r="A178" s="26"/>
      <c r="C178" s="3" t="str">
        <f>CONCATENATE( "    &lt;piechart percentage=",B163," /&gt;")</f>
        <v xml:space="preserve">    &lt;piechart percentage=9.5 /&gt;</v>
      </c>
    </row>
    <row r="179" spans="1:13">
      <c r="A179" s="26"/>
      <c r="C179" s="3" t="str">
        <f>"  &lt;/Analysis&gt;"</f>
        <v xml:space="preserve">  &lt;/Analysis&gt;</v>
      </c>
      <c r="K179" s="3" t="str">
        <f t="shared" ref="K179:M189" si="19">K135</f>
        <v>rs16969968</v>
      </c>
      <c r="L179" s="3" t="str">
        <f t="shared" si="19"/>
        <v>rs3913434</v>
      </c>
      <c r="M179" s="3" t="str">
        <f t="shared" si="19"/>
        <v>rs270838</v>
      </c>
    </row>
    <row r="180" spans="1:13" s="21" customFormat="1">
      <c r="A180" s="28" t="s">
        <v>69</v>
      </c>
      <c r="B180" s="20" t="str">
        <f>CONCATENATE(B48," and ",B92," and ",B136)</f>
        <v>G1192A (G;A) and A78573551G (A;G) and A78581651T (A;T)</v>
      </c>
      <c r="C180" s="21" t="str">
        <f>CONCATENATE("&lt;# ",B180," #&gt;")</f>
        <v>&lt;# G1192A (G;A) and A78573551G (A;G) and A78581651T (A;T) #&gt;</v>
      </c>
      <c r="K180" s="21" t="str">
        <f t="shared" si="19"/>
        <v>G1192A</v>
      </c>
      <c r="L180" s="21" t="str">
        <f t="shared" si="19"/>
        <v>A78573551G</v>
      </c>
      <c r="M180" s="21" t="str">
        <f t="shared" si="19"/>
        <v>A78581651T</v>
      </c>
    </row>
    <row r="181" spans="1:13">
      <c r="A181" s="14" t="s">
        <v>21</v>
      </c>
      <c r="B181" s="15" t="str">
        <f>K52</f>
        <v>NC_000015.9:g.[78882925G&gt;A];[78882925=]</v>
      </c>
      <c r="K181" s="3" t="str">
        <f t="shared" si="19"/>
        <v>NC_000015.9:g.</v>
      </c>
      <c r="L181" s="3" t="str">
        <f t="shared" si="19"/>
        <v>NC_000015.9:g.</v>
      </c>
      <c r="M181" s="3" t="str">
        <f t="shared" si="19"/>
        <v>NC_000015.9:g.</v>
      </c>
    </row>
    <row r="182" spans="1:13">
      <c r="A182" s="14" t="s">
        <v>71</v>
      </c>
      <c r="C182" s="3" t="str">
        <f>CONCATENATE("  &lt;Analysis name=",CHAR(34),B180,CHAR(34))</f>
        <v xml:space="preserve">  &lt;Analysis name="G1192A (G;A) and A78573551G (A;G) and A78581651T (A;T)"</v>
      </c>
      <c r="J182" s="3" t="str">
        <f t="shared" ref="J182:J189" si="20">J138</f>
        <v>Variant</v>
      </c>
      <c r="K182" s="3" t="str">
        <f t="shared" si="19"/>
        <v>[78882925G&gt;A]</v>
      </c>
      <c r="L182" s="3" t="str">
        <f t="shared" si="19"/>
        <v>[78865893G&gt;A]</v>
      </c>
      <c r="M182" s="3" t="str">
        <f t="shared" si="19"/>
        <v>[78873993A&gt;T]</v>
      </c>
    </row>
    <row r="183" spans="1:13">
      <c r="A183" s="26" t="s">
        <v>74</v>
      </c>
      <c r="B183" s="15" t="str">
        <f>CONCATENATE("People with this variant have copies of the ",B22,", ",B31, ", and ",B40," variants. This substitution of a single nucleotide is known as a missense mutation.")</f>
        <v>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c r="C183" s="3" t="str">
        <f>CONCATENATE("            case={  variantCall ",CHAR(40),CHAR(34),K184,CHAR(34),CHAR(41))</f>
        <v xml:space="preserve">            case={  variantCall ("NC_000015.9:g.[78882925G&gt;A];[78882925=]")</v>
      </c>
      <c r="J183" s="3" t="str">
        <f t="shared" si="20"/>
        <v>Wildtype</v>
      </c>
      <c r="K183" s="3" t="str">
        <f t="shared" si="19"/>
        <v>[78882925=]</v>
      </c>
      <c r="L183" s="3" t="str">
        <f t="shared" si="19"/>
        <v>[78865893=]</v>
      </c>
      <c r="M183" s="3" t="str">
        <f t="shared" si="19"/>
        <v>[78873993=]</v>
      </c>
    </row>
    <row r="184" spans="1:13">
      <c r="A184" s="26" t="s">
        <v>28</v>
      </c>
      <c r="B184" s="15" t="s">
        <v>197</v>
      </c>
      <c r="C184" s="3" t="s">
        <v>70</v>
      </c>
      <c r="J184" s="3" t="str">
        <f t="shared" si="20"/>
        <v>Het</v>
      </c>
      <c r="K184" s="3" t="str">
        <f t="shared" si="19"/>
        <v>NC_000015.9:g.[78882925G&gt;A];[78882925=]</v>
      </c>
      <c r="L184" s="3" t="str">
        <f t="shared" si="19"/>
        <v>NC_000015.9:g.[78865893G&gt;A];[78865893=]</v>
      </c>
      <c r="M184" s="3" t="str">
        <f t="shared" si="19"/>
        <v>NC_000015.9:g.[78873993A&gt;T];[78873993=]</v>
      </c>
    </row>
    <row r="185" spans="1:13">
      <c r="A185" s="26" t="s">
        <v>72</v>
      </c>
      <c r="C185" s="3" t="str">
        <f>CONCATENATE("                    ",CHAR(40),"variantCall ",CHAR(40),CHAR(34),L184,CHAR(34),CHAR(41)," or variantCall ",CHAR(40),CHAR(34),L185,CHAR(34),CHAR(41),CHAR(41))</f>
        <v xml:space="preserve">                    (variantCall ("NC_000015.9:g.[78865893G&gt;A];[78865893=]") or variantCall ("NC_000015.9:g.[78865893G&gt;A];[78865893G&gt;A]"))</v>
      </c>
      <c r="J185" s="3" t="str">
        <f t="shared" si="20"/>
        <v>Homo</v>
      </c>
      <c r="K185" s="3" t="str">
        <f t="shared" si="19"/>
        <v>NC_000015.9:g.[78882925G&gt;A];[78882925G&gt;A]</v>
      </c>
      <c r="L185" s="3" t="str">
        <f t="shared" si="19"/>
        <v>NC_000015.9:g.[78865893G&gt;A];[78865893G&gt;A]</v>
      </c>
      <c r="M185" s="3" t="str">
        <f t="shared" si="19"/>
        <v>NC_000015.9:g.[78873993A&gt;T];[78873993A&gt;T]</v>
      </c>
    </row>
    <row r="186" spans="1:13">
      <c r="A186" s="26"/>
      <c r="C186" s="3" t="s">
        <v>70</v>
      </c>
      <c r="J186" s="3" t="str">
        <f t="shared" si="20"/>
        <v>Wildtype</v>
      </c>
      <c r="K186" s="3" t="str">
        <f t="shared" si="19"/>
        <v>NC_000015.9:g.[78882925=];[78882925=]</v>
      </c>
      <c r="L186" s="3" t="str">
        <f t="shared" si="19"/>
        <v>NC_000015.9:g.[78865893=];[78865893=]</v>
      </c>
      <c r="M186" s="3" t="str">
        <f t="shared" si="19"/>
        <v>NC_000015.9:g.[78873993=];[78873993=]</v>
      </c>
    </row>
    <row r="187" spans="1:13">
      <c r="A187" s="26"/>
      <c r="C187" s="3" t="str">
        <f>CONCATENATE("                    ",CHAR(40),"variantCall ",CHAR(40),CHAR(34),M184,CHAR(34),CHAR(41)," or variantCall ",CHAR(40),CHAR(34),M185,CHAR(34),CHAR(41),CHAR(41))</f>
        <v xml:space="preserve">                    (variantCall ("NC_000015.9:g.[78873993A&gt;T];[78873993=]") or variantCall ("NC_000015.9:g.[78873993A&gt;T];[78873993A&gt;T]"))</v>
      </c>
      <c r="J187" s="3" t="str">
        <f t="shared" si="20"/>
        <v>Het%</v>
      </c>
      <c r="K187" s="3">
        <f t="shared" si="19"/>
        <v>39.200000000000003</v>
      </c>
      <c r="L187" s="3">
        <f t="shared" si="19"/>
        <v>39.200000000000003</v>
      </c>
      <c r="M187" s="3">
        <f t="shared" si="19"/>
        <v>27.3</v>
      </c>
    </row>
    <row r="188" spans="1:13">
      <c r="A188" s="26"/>
      <c r="C188" s="3" t="str">
        <f>CONCATENATE("                  } &gt; ")</f>
        <v xml:space="preserve">                  } &gt; </v>
      </c>
      <c r="J188" s="3" t="str">
        <f t="shared" si="20"/>
        <v>Homo%</v>
      </c>
      <c r="K188" s="3">
        <f t="shared" si="19"/>
        <v>5.2</v>
      </c>
      <c r="L188" s="3">
        <f t="shared" si="19"/>
        <v>17.899999999999999</v>
      </c>
      <c r="M188" s="3">
        <f t="shared" si="19"/>
        <v>9.5</v>
      </c>
    </row>
    <row r="189" spans="1:13">
      <c r="A189" s="14"/>
      <c r="J189" s="3" t="str">
        <f t="shared" si="20"/>
        <v>Wildtype%</v>
      </c>
      <c r="K189" s="3">
        <f t="shared" si="19"/>
        <v>55.6</v>
      </c>
      <c r="L189" s="3">
        <f t="shared" si="19"/>
        <v>42.9</v>
      </c>
      <c r="M189" s="3">
        <f t="shared" si="19"/>
        <v>63.2</v>
      </c>
    </row>
    <row r="190" spans="1:13">
      <c r="A190" s="14"/>
      <c r="C190" s="3" t="s">
        <v>26</v>
      </c>
    </row>
    <row r="191" spans="1:13">
      <c r="A191" s="14"/>
    </row>
    <row r="192" spans="1:13">
      <c r="A192" s="14"/>
      <c r="C192" s="3" t="str">
        <f>CONCATENATE("    ",B183)</f>
        <v xml:space="preserve">    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row>
    <row r="193" spans="1:13">
      <c r="A193" s="14"/>
    </row>
    <row r="194" spans="1:13">
      <c r="A194" s="26"/>
      <c r="C194" s="3" t="s">
        <v>29</v>
      </c>
    </row>
    <row r="195" spans="1:13">
      <c r="A195" s="26"/>
    </row>
    <row r="196" spans="1:13">
      <c r="A196" s="26"/>
      <c r="C196" s="3" t="str">
        <f>CONCATENATE(B184)</f>
        <v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197" spans="1:13">
      <c r="A197" s="26"/>
    </row>
    <row r="198" spans="1:13">
      <c r="A198" s="26"/>
      <c r="C198" s="3" t="s">
        <v>30</v>
      </c>
    </row>
    <row r="199" spans="1:13">
      <c r="A199" s="26"/>
    </row>
    <row r="200" spans="1:13">
      <c r="A200" s="26"/>
      <c r="C200" s="3" t="str">
        <f>CONCATENATE( "    &lt;piechart percentage=",B185," /&gt;")</f>
        <v xml:space="preserve">    &lt;piechart percentage= /&gt;</v>
      </c>
    </row>
    <row r="201" spans="1:13">
      <c r="A201" s="26"/>
      <c r="C201" s="3" t="str">
        <f>"  &lt;/Analysis&gt;"</f>
        <v xml:space="preserve">  &lt;/Analysis&gt;</v>
      </c>
      <c r="K201" s="3" t="str">
        <f t="shared" ref="K201:M203" si="21">K179</f>
        <v>rs16969968</v>
      </c>
      <c r="L201" s="3" t="str">
        <f t="shared" si="21"/>
        <v>rs3913434</v>
      </c>
      <c r="M201" s="3" t="str">
        <f t="shared" si="21"/>
        <v>rs270838</v>
      </c>
    </row>
    <row r="202" spans="1:13" s="21" customFormat="1">
      <c r="A202" s="28" t="s">
        <v>69</v>
      </c>
      <c r="B202" s="20" t="str">
        <f>CONCATENATE(B70," and ",B92," and ",B136)</f>
        <v>G1192A (A;A) and A78573551G (A;G) and A78581651T (A;T)</v>
      </c>
      <c r="C202" s="21" t="str">
        <f>CONCATENATE("&lt;# ",B202," #&gt;")</f>
        <v>&lt;# G1192A (A;A) and A78573551G (A;G) and A78581651T (A;T) #&gt;</v>
      </c>
      <c r="K202" s="21" t="str">
        <f t="shared" si="21"/>
        <v>G1192A</v>
      </c>
      <c r="L202" s="21" t="str">
        <f t="shared" si="21"/>
        <v>A78573551G</v>
      </c>
      <c r="M202" s="21" t="str">
        <f t="shared" si="21"/>
        <v>A78581651T</v>
      </c>
    </row>
    <row r="203" spans="1:13">
      <c r="A203" s="14" t="s">
        <v>21</v>
      </c>
      <c r="B203" s="15" t="str">
        <f>K74</f>
        <v>NC_000015.9:g.[78882925G&gt;A];[78882925=]</v>
      </c>
      <c r="K203" s="3" t="str">
        <f t="shared" si="21"/>
        <v>NC_000015.9:g.</v>
      </c>
      <c r="L203" s="3" t="str">
        <f t="shared" si="21"/>
        <v>NC_000015.9:g.</v>
      </c>
      <c r="M203" s="3" t="str">
        <f t="shared" si="21"/>
        <v>NC_000015.9:g.</v>
      </c>
    </row>
    <row r="204" spans="1:13">
      <c r="A204" s="14" t="s">
        <v>71</v>
      </c>
      <c r="C204" s="3" t="str">
        <f>CONCATENATE("  &lt;Analysis name=",CHAR(34),B202,CHAR(34))</f>
        <v xml:space="preserve">  &lt;Analysis name="G1192A (A;A) and A78573551G (A;G) and A78581651T (A;T)"</v>
      </c>
      <c r="J204" s="3" t="str">
        <f t="shared" ref="J204:M211" si="22">J182</f>
        <v>Variant</v>
      </c>
      <c r="K204" s="3" t="str">
        <f t="shared" si="22"/>
        <v>[78882925G&gt;A]</v>
      </c>
      <c r="L204" s="3" t="str">
        <f t="shared" si="22"/>
        <v>[78865893G&gt;A]</v>
      </c>
      <c r="M204" s="3" t="str">
        <f t="shared" si="22"/>
        <v>[78873993A&gt;T]</v>
      </c>
    </row>
    <row r="205" spans="1:13">
      <c r="A205" s="26" t="s">
        <v>74</v>
      </c>
      <c r="B205" s="15" t="str">
        <f>CONCATENATE("People with this variant have copies of the ",B22,", ",B31, ", and ",B40," variants. This substitution of a single nucleotide is known as a missense mutation.")</f>
        <v>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c r="C205" s="3" t="str">
        <f>CONCATENATE("            case={  variantCall ",CHAR(40),CHAR(34),K207,CHAR(34),CHAR(41))</f>
        <v xml:space="preserve">            case={  variantCall ("NC_000015.9:g.[78882925G&gt;A];[78882925G&gt;A]")</v>
      </c>
      <c r="J205" s="3" t="str">
        <f t="shared" si="22"/>
        <v>Wildtype</v>
      </c>
      <c r="K205" s="3" t="str">
        <f t="shared" si="22"/>
        <v>[78882925=]</v>
      </c>
      <c r="L205" s="3" t="str">
        <f t="shared" si="22"/>
        <v>[78865893=]</v>
      </c>
      <c r="M205" s="3" t="str">
        <f t="shared" si="22"/>
        <v>[78873993=]</v>
      </c>
    </row>
    <row r="206" spans="1:13">
      <c r="A206" s="26" t="s">
        <v>28</v>
      </c>
      <c r="B206" s="15" t="s">
        <v>198</v>
      </c>
      <c r="C206" s="3" t="s">
        <v>70</v>
      </c>
      <c r="J206" s="3" t="str">
        <f t="shared" si="22"/>
        <v>Het</v>
      </c>
      <c r="K206" s="3" t="str">
        <f t="shared" si="22"/>
        <v>NC_000015.9:g.[78882925G&gt;A];[78882925=]</v>
      </c>
      <c r="L206" s="3" t="str">
        <f t="shared" si="22"/>
        <v>NC_000015.9:g.[78865893G&gt;A];[78865893=]</v>
      </c>
      <c r="M206" s="3" t="str">
        <f t="shared" si="22"/>
        <v>NC_000015.9:g.[78873993A&gt;T];[78873993=]</v>
      </c>
    </row>
    <row r="207" spans="1:13">
      <c r="A207" s="26" t="s">
        <v>72</v>
      </c>
      <c r="C207" s="3" t="str">
        <f>CONCATENATE("                    ",CHAR(40),"variantCall ",CHAR(40),CHAR(34),L206,CHAR(34),CHAR(41)," or variantCall ",CHAR(40),CHAR(34),L207,CHAR(34),CHAR(41),CHAR(41))</f>
        <v xml:space="preserve">                    (variantCall ("NC_000015.9:g.[78865893G&gt;A];[78865893=]") or variantCall ("NC_000015.9:g.[78865893G&gt;A];[78865893G&gt;A]"))</v>
      </c>
      <c r="J207" s="3" t="str">
        <f t="shared" si="22"/>
        <v>Homo</v>
      </c>
      <c r="K207" s="3" t="str">
        <f t="shared" si="22"/>
        <v>NC_000015.9:g.[78882925G&gt;A];[78882925G&gt;A]</v>
      </c>
      <c r="L207" s="3" t="str">
        <f t="shared" si="22"/>
        <v>NC_000015.9:g.[78865893G&gt;A];[78865893G&gt;A]</v>
      </c>
      <c r="M207" s="3" t="str">
        <f t="shared" si="22"/>
        <v>NC_000015.9:g.[78873993A&gt;T];[78873993A&gt;T]</v>
      </c>
    </row>
    <row r="208" spans="1:13">
      <c r="A208" s="26"/>
      <c r="C208" s="3" t="s">
        <v>70</v>
      </c>
      <c r="J208" s="3" t="str">
        <f t="shared" si="22"/>
        <v>Wildtype</v>
      </c>
      <c r="K208" s="3" t="str">
        <f t="shared" si="22"/>
        <v>NC_000015.9:g.[78882925=];[78882925=]</v>
      </c>
      <c r="L208" s="3" t="str">
        <f t="shared" si="22"/>
        <v>NC_000015.9:g.[78865893=];[78865893=]</v>
      </c>
      <c r="M208" s="3" t="str">
        <f t="shared" si="22"/>
        <v>NC_000015.9:g.[78873993=];[78873993=]</v>
      </c>
    </row>
    <row r="209" spans="1:13">
      <c r="A209" s="26"/>
      <c r="C209" s="3" t="str">
        <f>CONCATENATE("                    ",CHAR(40),"variantCall ",CHAR(40),CHAR(34),M206,CHAR(34),CHAR(41)," or variantCall ",CHAR(40),CHAR(34),M207,CHAR(34),CHAR(41),CHAR(41))</f>
        <v xml:space="preserve">                    (variantCall ("NC_000015.9:g.[78873993A&gt;T];[78873993=]") or variantCall ("NC_000015.9:g.[78873993A&gt;T];[78873993A&gt;T]"))</v>
      </c>
      <c r="J209" s="3" t="str">
        <f t="shared" si="22"/>
        <v>Het%</v>
      </c>
      <c r="K209" s="3">
        <f t="shared" si="22"/>
        <v>39.200000000000003</v>
      </c>
      <c r="L209" s="3">
        <f t="shared" si="22"/>
        <v>39.200000000000003</v>
      </c>
      <c r="M209" s="3">
        <f t="shared" si="22"/>
        <v>27.3</v>
      </c>
    </row>
    <row r="210" spans="1:13">
      <c r="A210" s="26"/>
      <c r="C210" s="3" t="str">
        <f>CONCATENATE("                  } &gt; ")</f>
        <v xml:space="preserve">                  } &gt; </v>
      </c>
      <c r="J210" s="3" t="str">
        <f t="shared" si="22"/>
        <v>Homo%</v>
      </c>
      <c r="K210" s="3">
        <f t="shared" si="22"/>
        <v>5.2</v>
      </c>
      <c r="L210" s="3">
        <f t="shared" si="22"/>
        <v>17.899999999999999</v>
      </c>
      <c r="M210" s="3">
        <f t="shared" si="22"/>
        <v>9.5</v>
      </c>
    </row>
    <row r="211" spans="1:13">
      <c r="A211" s="14"/>
      <c r="J211" s="3" t="str">
        <f t="shared" si="22"/>
        <v>Wildtype%</v>
      </c>
      <c r="K211" s="3">
        <f t="shared" si="22"/>
        <v>55.6</v>
      </c>
      <c r="L211" s="3">
        <f t="shared" si="22"/>
        <v>42.9</v>
      </c>
      <c r="M211" s="3">
        <f t="shared" si="22"/>
        <v>63.2</v>
      </c>
    </row>
    <row r="212" spans="1:13">
      <c r="A212" s="14"/>
      <c r="C212" s="3" t="s">
        <v>26</v>
      </c>
    </row>
    <row r="213" spans="1:13">
      <c r="A213" s="14"/>
    </row>
    <row r="214" spans="1:13">
      <c r="A214" s="14"/>
      <c r="C214" s="3" t="str">
        <f>CONCATENATE("    ",B205)</f>
        <v xml:space="preserve">    People with this variant have copies of the [G1192A (Asp398Asn)](https://www.ncbi.nlm.nih.gov/clinvar/variation/17497/), [A78573551G](https://www.ncbi.nlm.nih.gov/projects/SNP/snp_ref.cgi?rs=6495306), and [A78581651T](https://www.ncbi.nlm.nih.gov/projects/SNP/snp_ref.cgi?rs=7180002) variants. This substitution of a single nucleotide is known as a missense mutation.</v>
      </c>
    </row>
    <row r="215" spans="1:13">
      <c r="A215" s="14"/>
    </row>
    <row r="216" spans="1:13">
      <c r="A216" s="26"/>
      <c r="C216" s="3" t="s">
        <v>29</v>
      </c>
    </row>
    <row r="217" spans="1:13">
      <c r="A217" s="26"/>
    </row>
    <row r="218" spans="1:13">
      <c r="A218" s="26"/>
      <c r="C218" s="3" t="str">
        <f>CONCATENATE(B206)</f>
        <v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219" spans="1:13">
      <c r="A219" s="26"/>
    </row>
    <row r="220" spans="1:13">
      <c r="A220" s="26"/>
      <c r="C220" s="3" t="s">
        <v>30</v>
      </c>
    </row>
    <row r="221" spans="1:13">
      <c r="A221" s="26"/>
    </row>
    <row r="222" spans="1:13">
      <c r="A222" s="26"/>
      <c r="C222" s="3" t="str">
        <f>CONCATENATE( "    &lt;piechart percentage=",B207," /&gt;")</f>
        <v xml:space="preserve">    &lt;piechart percentage= /&gt;</v>
      </c>
    </row>
    <row r="223" spans="1:13">
      <c r="A223" s="26"/>
      <c r="C223" s="3" t="str">
        <f>"  &lt;/Analysis&gt;"</f>
        <v xml:space="preserve">  &lt;/Analysis&gt;</v>
      </c>
      <c r="K223" s="3" t="str">
        <f t="shared" ref="K223:M225" si="23">K201</f>
        <v>rs16969968</v>
      </c>
      <c r="L223" s="3" t="str">
        <f t="shared" si="23"/>
        <v>rs3913434</v>
      </c>
      <c r="M223" s="3" t="str">
        <f t="shared" si="23"/>
        <v>rs270838</v>
      </c>
    </row>
    <row r="224" spans="1:13" s="21" customFormat="1">
      <c r="A224" s="28" t="s">
        <v>69</v>
      </c>
      <c r="B224" s="20" t="str">
        <f>CONCATENATE(B48," and ",B92)</f>
        <v>G1192A (G;A) and A78573551G (A;G)</v>
      </c>
      <c r="C224" s="21" t="str">
        <f>CONCATENATE("&lt;# ",B224," #&gt;")</f>
        <v>&lt;# G1192A (G;A) and A78573551G (A;G) #&gt;</v>
      </c>
      <c r="K224" s="21" t="str">
        <f t="shared" si="23"/>
        <v>G1192A</v>
      </c>
      <c r="L224" s="21" t="str">
        <f t="shared" si="23"/>
        <v>A78573551G</v>
      </c>
      <c r="M224" s="21" t="str">
        <f t="shared" si="23"/>
        <v>A78581651T</v>
      </c>
    </row>
    <row r="225" spans="1:13">
      <c r="A225" s="14" t="s">
        <v>21</v>
      </c>
      <c r="B225" s="15" t="str">
        <f>K96</f>
        <v>NC_000015.9:g.[78882925G&gt;A];[78882925=]</v>
      </c>
      <c r="K225" s="3" t="str">
        <f t="shared" si="23"/>
        <v>NC_000015.9:g.</v>
      </c>
      <c r="L225" s="3" t="str">
        <f t="shared" si="23"/>
        <v>NC_000015.9:g.</v>
      </c>
      <c r="M225" s="3" t="str">
        <f t="shared" si="23"/>
        <v>NC_000015.9:g.</v>
      </c>
    </row>
    <row r="226" spans="1:13">
      <c r="A226" s="14" t="s">
        <v>71</v>
      </c>
      <c r="C226" s="3" t="str">
        <f>CONCATENATE("  &lt;Analysis name=",CHAR(34),B224,CHAR(34))</f>
        <v xml:space="preserve">  &lt;Analysis name="G1192A (G;A) and A78573551G (A;G)"</v>
      </c>
      <c r="J226" s="3" t="str">
        <f t="shared" ref="J226:M233" si="24">J204</f>
        <v>Variant</v>
      </c>
      <c r="K226" s="3" t="str">
        <f t="shared" si="24"/>
        <v>[78882925G&gt;A]</v>
      </c>
      <c r="L226" s="3" t="str">
        <f t="shared" si="24"/>
        <v>[78865893G&gt;A]</v>
      </c>
      <c r="M226" s="3" t="str">
        <f t="shared" si="24"/>
        <v>[78873993A&gt;T]</v>
      </c>
    </row>
    <row r="227" spans="1:13">
      <c r="A227" s="26" t="s">
        <v>74</v>
      </c>
      <c r="B227" s="15" t="str">
        <f>CONCATENATE("People with this variant have copies of the ",B22, ", and ",B31," variants. This substitution of a single nucleotide is known as a missense mutation.")</f>
        <v>People with this variant have copies of the [G1192A (Asp398Asn)](https://www.ncbi.nlm.nih.gov/clinvar/variation/17497/), and [A78573551G](https://www.ncbi.nlm.nih.gov/projects/SNP/snp_ref.cgi?rs=6495306) variants. This substitution of a single nucleotide is known as a missense mutation.</v>
      </c>
      <c r="C227" s="3" t="str">
        <f>CONCATENATE("            case={  variantCall ",CHAR(40),CHAR(34),K228,CHAR(34),CHAR(41))</f>
        <v xml:space="preserve">            case={  variantCall ("NC_000015.9:g.[78882925G&gt;A];[78882925=]")</v>
      </c>
      <c r="J227" s="3" t="str">
        <f t="shared" si="24"/>
        <v>Wildtype</v>
      </c>
      <c r="K227" s="3" t="str">
        <f t="shared" si="24"/>
        <v>[78882925=]</v>
      </c>
      <c r="L227" s="3" t="str">
        <f t="shared" si="24"/>
        <v>[78865893=]</v>
      </c>
      <c r="M227" s="3" t="str">
        <f t="shared" si="24"/>
        <v>[78873993=]</v>
      </c>
    </row>
    <row r="228" spans="1:13">
      <c r="A228" s="26" t="s">
        <v>28</v>
      </c>
      <c r="B228" s="15" t="s">
        <v>203</v>
      </c>
      <c r="C228" s="3" t="s">
        <v>70</v>
      </c>
      <c r="J228" s="3" t="str">
        <f t="shared" si="24"/>
        <v>Het</v>
      </c>
      <c r="K228" s="3" t="str">
        <f t="shared" si="24"/>
        <v>NC_000015.9:g.[78882925G&gt;A];[78882925=]</v>
      </c>
      <c r="L228" s="3" t="str">
        <f t="shared" si="24"/>
        <v>NC_000015.9:g.[78865893G&gt;A];[78865893=]</v>
      </c>
      <c r="M228" s="3" t="str">
        <f t="shared" si="24"/>
        <v>NC_000015.9:g.[78873993A&gt;T];[78873993=]</v>
      </c>
    </row>
    <row r="229" spans="1:13">
      <c r="A229" s="26" t="s">
        <v>72</v>
      </c>
      <c r="C229" s="3" t="str">
        <f>CONCATENATE("                    ",CHAR(40),"variantCall ",CHAR(40),CHAR(34),L228,CHAR(34),CHAR(41)," or variantCall ",CHAR(40),CHAR(34),L229,CHAR(34),CHAR(41),CHAR(41))</f>
        <v xml:space="preserve">                    (variantCall ("NC_000015.9:g.[78865893G&gt;A];[78865893=]") or variantCall ("NC_000015.9:g.[78865893G&gt;A];[78865893G&gt;A]"))</v>
      </c>
      <c r="J229" s="3" t="str">
        <f t="shared" si="24"/>
        <v>Homo</v>
      </c>
      <c r="K229" s="3" t="str">
        <f t="shared" si="24"/>
        <v>NC_000015.9:g.[78882925G&gt;A];[78882925G&gt;A]</v>
      </c>
      <c r="L229" s="3" t="str">
        <f t="shared" si="24"/>
        <v>NC_000015.9:g.[78865893G&gt;A];[78865893G&gt;A]</v>
      </c>
      <c r="M229" s="3" t="str">
        <f t="shared" si="24"/>
        <v>NC_000015.9:g.[78873993A&gt;T];[78873993A&gt;T]</v>
      </c>
    </row>
    <row r="230" spans="1:13">
      <c r="A230" s="26"/>
      <c r="C230" s="3" t="s">
        <v>70</v>
      </c>
      <c r="J230" s="3" t="str">
        <f t="shared" si="24"/>
        <v>Wildtype</v>
      </c>
      <c r="K230" s="3" t="str">
        <f t="shared" si="24"/>
        <v>NC_000015.9:g.[78882925=];[78882925=]</v>
      </c>
      <c r="L230" s="3" t="str">
        <f t="shared" si="24"/>
        <v>NC_000015.9:g.[78865893=];[78865893=]</v>
      </c>
      <c r="M230" s="3" t="str">
        <f t="shared" si="24"/>
        <v>NC_000015.9:g.[78873993=];[78873993=]</v>
      </c>
    </row>
    <row r="231" spans="1:13">
      <c r="A231" s="26"/>
      <c r="C231" s="3" t="str">
        <f>CONCATENATE("                    variantCall ",CHAR(40),CHAR(34),M230,CHAR(34),CHAR(41))</f>
        <v xml:space="preserve">                    variantCall ("NC_000015.9:g.[78873993=];[78873993=]")</v>
      </c>
      <c r="J231" s="3" t="str">
        <f t="shared" si="24"/>
        <v>Het%</v>
      </c>
      <c r="K231" s="3">
        <f t="shared" si="24"/>
        <v>39.200000000000003</v>
      </c>
      <c r="L231" s="3">
        <f t="shared" si="24"/>
        <v>39.200000000000003</v>
      </c>
      <c r="M231" s="3">
        <f t="shared" si="24"/>
        <v>27.3</v>
      </c>
    </row>
    <row r="232" spans="1:13">
      <c r="A232" s="26"/>
      <c r="C232" s="3" t="str">
        <f>CONCATENATE("                  } &gt; ")</f>
        <v xml:space="preserve">                  } &gt; </v>
      </c>
      <c r="J232" s="3" t="str">
        <f t="shared" si="24"/>
        <v>Homo%</v>
      </c>
      <c r="K232" s="3">
        <f t="shared" si="24"/>
        <v>5.2</v>
      </c>
      <c r="L232" s="3">
        <f t="shared" si="24"/>
        <v>17.899999999999999</v>
      </c>
      <c r="M232" s="3">
        <f t="shared" si="24"/>
        <v>9.5</v>
      </c>
    </row>
    <row r="233" spans="1:13">
      <c r="A233" s="14"/>
      <c r="J233" s="3" t="str">
        <f t="shared" si="24"/>
        <v>Wildtype%</v>
      </c>
      <c r="K233" s="3">
        <f t="shared" si="24"/>
        <v>55.6</v>
      </c>
      <c r="L233" s="3">
        <f t="shared" si="24"/>
        <v>42.9</v>
      </c>
      <c r="M233" s="3">
        <f t="shared" si="24"/>
        <v>63.2</v>
      </c>
    </row>
    <row r="234" spans="1:13">
      <c r="A234" s="14"/>
      <c r="C234" s="3" t="s">
        <v>26</v>
      </c>
    </row>
    <row r="235" spans="1:13">
      <c r="A235" s="14"/>
    </row>
    <row r="236" spans="1:13">
      <c r="A236" s="14"/>
      <c r="C236" s="3" t="str">
        <f>CONCATENATE("    ",B227)</f>
        <v xml:space="preserve">    People with this variant have copies of the [G1192A (Asp398Asn)](https://www.ncbi.nlm.nih.gov/clinvar/variation/17497/), and [A78573551G](https://www.ncbi.nlm.nih.gov/projects/SNP/snp_ref.cgi?rs=6495306) variants. This substitution of a single nucleotide is known as a missense mutation.</v>
      </c>
    </row>
    <row r="237" spans="1:13">
      <c r="A237" s="14"/>
    </row>
    <row r="238" spans="1:13">
      <c r="A238" s="26"/>
      <c r="C238" s="3" t="s">
        <v>29</v>
      </c>
    </row>
    <row r="239" spans="1:13">
      <c r="A239" s="26"/>
    </row>
    <row r="240" spans="1:13">
      <c r="A240" s="26"/>
      <c r="C240" s="3" t="str">
        <f>CONCATENATE(B228)</f>
        <v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241" spans="1:13">
      <c r="A241" s="26"/>
    </row>
    <row r="242" spans="1:13">
      <c r="A242" s="26"/>
      <c r="C242" s="3" t="s">
        <v>30</v>
      </c>
    </row>
    <row r="243" spans="1:13">
      <c r="A243" s="26"/>
    </row>
    <row r="244" spans="1:13">
      <c r="A244" s="26"/>
      <c r="C244" s="3" t="str">
        <f>CONCATENATE( "    &lt;piechart percentage=",B229," /&gt;")</f>
        <v xml:space="preserve">    &lt;piechart percentage= /&gt;</v>
      </c>
    </row>
    <row r="245" spans="1:13">
      <c r="A245" s="26"/>
      <c r="C245" s="3" t="str">
        <f>"  &lt;/Analysis&gt;"</f>
        <v xml:space="preserve">  &lt;/Analysis&gt;</v>
      </c>
      <c r="K245" s="3" t="str">
        <f t="shared" ref="K245:M255" si="25">K223</f>
        <v>rs16969968</v>
      </c>
      <c r="L245" s="3" t="str">
        <f t="shared" si="25"/>
        <v>rs3913434</v>
      </c>
      <c r="M245" s="3" t="str">
        <f t="shared" si="25"/>
        <v>rs270838</v>
      </c>
    </row>
    <row r="246" spans="1:13" s="21" customFormat="1">
      <c r="A246" s="28" t="s">
        <v>69</v>
      </c>
      <c r="B246" s="20" t="str">
        <f>CONCATENATE(B48," and ",B136)</f>
        <v>G1192A (G;A) and A78581651T (A;T)</v>
      </c>
      <c r="C246" s="21" t="str">
        <f>CONCATENATE("&lt;# ",B246," #&gt;")</f>
        <v>&lt;# G1192A (G;A) and A78581651T (A;T) #&gt;</v>
      </c>
      <c r="K246" s="21" t="str">
        <f t="shared" si="25"/>
        <v>G1192A</v>
      </c>
      <c r="L246" s="21" t="str">
        <f t="shared" si="25"/>
        <v>A78573551G</v>
      </c>
      <c r="M246" s="21" t="str">
        <f t="shared" si="25"/>
        <v>A78581651T</v>
      </c>
    </row>
    <row r="247" spans="1:13">
      <c r="A247" s="14" t="s">
        <v>21</v>
      </c>
      <c r="B247" s="15" t="str">
        <f>K140</f>
        <v>NC_000015.9:g.[78882925G&gt;A];[78882925=]</v>
      </c>
      <c r="K247" s="3" t="str">
        <f t="shared" si="25"/>
        <v>NC_000015.9:g.</v>
      </c>
      <c r="L247" s="3" t="str">
        <f t="shared" si="25"/>
        <v>NC_000015.9:g.</v>
      </c>
      <c r="M247" s="3" t="str">
        <f t="shared" si="25"/>
        <v>NC_000015.9:g.</v>
      </c>
    </row>
    <row r="248" spans="1:13">
      <c r="A248" s="14" t="s">
        <v>71</v>
      </c>
      <c r="C248" s="3" t="str">
        <f>CONCATENATE("  &lt;Analysis name=",CHAR(34),B246,CHAR(34))</f>
        <v xml:space="preserve">  &lt;Analysis name="G1192A (G;A) and A78581651T (A;T)"</v>
      </c>
      <c r="J248" s="3" t="str">
        <f t="shared" ref="J248:J255" si="26">J226</f>
        <v>Variant</v>
      </c>
      <c r="K248" s="3" t="str">
        <f t="shared" si="25"/>
        <v>[78882925G&gt;A]</v>
      </c>
      <c r="L248" s="3" t="str">
        <f t="shared" si="25"/>
        <v>[78865893G&gt;A]</v>
      </c>
      <c r="M248" s="3" t="str">
        <f t="shared" si="25"/>
        <v>[78873993A&gt;T]</v>
      </c>
    </row>
    <row r="249" spans="1:13">
      <c r="A249" s="26" t="s">
        <v>74</v>
      </c>
      <c r="B249" s="15" t="str">
        <f>CONCATENATE("People with this variant have copies of the ",B22," and ",B40," variants. This substitution of a single nucleotide is known as a missense mutation.")</f>
        <v>People with this variant have copies of the [G1192A (Asp398Asn)](https://www.ncbi.nlm.nih.gov/clinvar/variation/17497/) and [A78581651T](https://www.ncbi.nlm.nih.gov/projects/SNP/snp_ref.cgi?rs=7180002) variants. This substitution of a single nucleotide is known as a missense mutation.</v>
      </c>
      <c r="C249" s="3" t="str">
        <f>CONCATENATE("            case={  variantCall ",CHAR(40),CHAR(34),K250,CHAR(34),CHAR(41))</f>
        <v xml:space="preserve">            case={  variantCall ("NC_000015.9:g.[78882925G&gt;A];[78882925=]")</v>
      </c>
      <c r="J249" s="3" t="str">
        <f t="shared" si="26"/>
        <v>Wildtype</v>
      </c>
      <c r="K249" s="3" t="str">
        <f t="shared" si="25"/>
        <v>[78882925=]</v>
      </c>
      <c r="L249" s="3" t="str">
        <f t="shared" si="25"/>
        <v>[78865893=]</v>
      </c>
      <c r="M249" s="3" t="str">
        <f t="shared" si="25"/>
        <v>[78873993=]</v>
      </c>
    </row>
    <row r="250" spans="1:13">
      <c r="A250" s="26" t="s">
        <v>28</v>
      </c>
      <c r="B250" s="15" t="s">
        <v>202</v>
      </c>
      <c r="C250" s="3" t="s">
        <v>70</v>
      </c>
      <c r="J250" s="3" t="str">
        <f t="shared" si="26"/>
        <v>Het</v>
      </c>
      <c r="K250" s="3" t="str">
        <f t="shared" si="25"/>
        <v>NC_000015.9:g.[78882925G&gt;A];[78882925=]</v>
      </c>
      <c r="L250" s="3" t="str">
        <f t="shared" si="25"/>
        <v>NC_000015.9:g.[78865893G&gt;A];[78865893=]</v>
      </c>
      <c r="M250" s="3" t="str">
        <f t="shared" si="25"/>
        <v>NC_000015.9:g.[78873993A&gt;T];[78873993=]</v>
      </c>
    </row>
    <row r="251" spans="1:13">
      <c r="A251" s="26" t="s">
        <v>72</v>
      </c>
      <c r="C251" s="3" t="str">
        <f>CONCATENATE("                    variantCall ",CHAR(40),CHAR(34),L252,CHAR(34),CHAR(41))</f>
        <v xml:space="preserve">                    variantCall ("NC_000015.9:g.[78865893=];[78865893=]")</v>
      </c>
      <c r="J251" s="3" t="str">
        <f t="shared" si="26"/>
        <v>Homo</v>
      </c>
      <c r="K251" s="3" t="str">
        <f t="shared" si="25"/>
        <v>NC_000015.9:g.[78882925G&gt;A];[78882925G&gt;A]</v>
      </c>
      <c r="L251" s="3" t="str">
        <f t="shared" si="25"/>
        <v>NC_000015.9:g.[78865893G&gt;A];[78865893G&gt;A]</v>
      </c>
      <c r="M251" s="3" t="str">
        <f t="shared" si="25"/>
        <v>NC_000015.9:g.[78873993A&gt;T];[78873993A&gt;T]</v>
      </c>
    </row>
    <row r="252" spans="1:13">
      <c r="A252" s="26"/>
      <c r="C252" s="3" t="s">
        <v>70</v>
      </c>
      <c r="J252" s="3" t="str">
        <f t="shared" si="26"/>
        <v>Wildtype</v>
      </c>
      <c r="K252" s="3" t="str">
        <f t="shared" si="25"/>
        <v>NC_000015.9:g.[78882925=];[78882925=]</v>
      </c>
      <c r="L252" s="3" t="str">
        <f t="shared" si="25"/>
        <v>NC_000015.9:g.[78865893=];[78865893=]</v>
      </c>
      <c r="M252" s="3" t="str">
        <f t="shared" si="25"/>
        <v>NC_000015.9:g.[78873993=];[78873993=]</v>
      </c>
    </row>
    <row r="253" spans="1:13">
      <c r="A253" s="26"/>
      <c r="C253" s="3" t="str">
        <f>CONCATENATE("                    ",CHAR(40),"variantCall ",CHAR(40),CHAR(34),M250,CHAR(34),CHAR(41)," or variantCall ",CHAR(40),CHAR(34),M251,CHAR(34),CHAR(41),CHAR(41))</f>
        <v xml:space="preserve">                    (variantCall ("NC_000015.9:g.[78873993A&gt;T];[78873993=]") or variantCall ("NC_000015.9:g.[78873993A&gt;T];[78873993A&gt;T]"))</v>
      </c>
      <c r="J253" s="3" t="str">
        <f t="shared" si="26"/>
        <v>Het%</v>
      </c>
      <c r="K253" s="3">
        <f t="shared" si="25"/>
        <v>39.200000000000003</v>
      </c>
      <c r="L253" s="3">
        <f t="shared" si="25"/>
        <v>39.200000000000003</v>
      </c>
      <c r="M253" s="3">
        <f t="shared" si="25"/>
        <v>27.3</v>
      </c>
    </row>
    <row r="254" spans="1:13">
      <c r="A254" s="26"/>
      <c r="C254" s="3" t="str">
        <f>CONCATENATE("                  } &gt; ")</f>
        <v xml:space="preserve">                  } &gt; </v>
      </c>
      <c r="J254" s="3" t="str">
        <f t="shared" si="26"/>
        <v>Homo%</v>
      </c>
      <c r="K254" s="3">
        <f t="shared" si="25"/>
        <v>5.2</v>
      </c>
      <c r="L254" s="3">
        <f t="shared" si="25"/>
        <v>17.899999999999999</v>
      </c>
      <c r="M254" s="3">
        <f t="shared" si="25"/>
        <v>9.5</v>
      </c>
    </row>
    <row r="255" spans="1:13">
      <c r="A255" s="14"/>
      <c r="J255" s="3" t="str">
        <f t="shared" si="26"/>
        <v>Wildtype%</v>
      </c>
      <c r="K255" s="3">
        <f t="shared" si="25"/>
        <v>55.6</v>
      </c>
      <c r="L255" s="3">
        <f t="shared" si="25"/>
        <v>42.9</v>
      </c>
      <c r="M255" s="3">
        <f t="shared" si="25"/>
        <v>63.2</v>
      </c>
    </row>
    <row r="256" spans="1:13">
      <c r="A256" s="14"/>
      <c r="C256" s="3" t="s">
        <v>26</v>
      </c>
    </row>
    <row r="257" spans="1:13">
      <c r="A257" s="14"/>
    </row>
    <row r="258" spans="1:13">
      <c r="A258" s="14"/>
      <c r="C258" s="3" t="str">
        <f>CONCATENATE("    ",B249)</f>
        <v xml:space="preserve">    People with this variant have copies of the [G1192A (Asp398Asn)](https://www.ncbi.nlm.nih.gov/clinvar/variation/17497/) and [A78581651T](https://www.ncbi.nlm.nih.gov/projects/SNP/snp_ref.cgi?rs=7180002) variants. This substitution of a single nucleotide is known as a missense mutation.</v>
      </c>
    </row>
    <row r="259" spans="1:13">
      <c r="A259" s="14"/>
    </row>
    <row r="260" spans="1:13">
      <c r="A260" s="26"/>
      <c r="C260" s="3" t="s">
        <v>29</v>
      </c>
    </row>
    <row r="261" spans="1:13">
      <c r="A261" s="26"/>
    </row>
    <row r="262" spans="1:13">
      <c r="A262" s="26"/>
      <c r="C262" s="3" t="str">
        <f>CONCATENATE(B250)</f>
        <v xml:space="preserve">    There is currently no data on the interaction between these variants.  However, some information exists on the individual variants.
    # What is the effect of G1192A (G;A)?
    This variant controls [cognitive function, working memory, and gray matter volume in the brain](https://www.ncbi.nlm.nih.gov/pubmed/24819610). Males with this variant have faster [information processing](https://www.ncbi.nlm.nih.gov/pubmed/25674902), including [much better behavioral performance, more efficient brain activity, and a larger brain volume.](https://www.ncbi.nlm.nih.gov/pubmed/24819610) Females with this variant exhibit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263" spans="1:13">
      <c r="A263" s="26"/>
    </row>
    <row r="264" spans="1:13">
      <c r="A264" s="26"/>
      <c r="C264" s="3" t="s">
        <v>30</v>
      </c>
    </row>
    <row r="265" spans="1:13">
      <c r="A265" s="26"/>
    </row>
    <row r="266" spans="1:13">
      <c r="A266" s="26"/>
      <c r="C266" s="3" t="str">
        <f>CONCATENATE( "    &lt;piechart percentage=",B251," /&gt;")</f>
        <v xml:space="preserve">    &lt;piechart percentage= /&gt;</v>
      </c>
    </row>
    <row r="267" spans="1:13">
      <c r="A267" s="26"/>
      <c r="C267" s="3" t="str">
        <f>"  &lt;/Analysis&gt;"</f>
        <v xml:space="preserve">  &lt;/Analysis&gt;</v>
      </c>
      <c r="K267" s="3" t="str">
        <f t="shared" ref="K267:M269" si="27">K245</f>
        <v>rs16969968</v>
      </c>
      <c r="L267" s="3" t="str">
        <f t="shared" si="27"/>
        <v>rs3913434</v>
      </c>
      <c r="M267" s="3" t="str">
        <f t="shared" si="27"/>
        <v>rs270838</v>
      </c>
    </row>
    <row r="268" spans="1:13" s="21" customFormat="1">
      <c r="A268" s="28" t="s">
        <v>69</v>
      </c>
      <c r="B268" s="20" t="str">
        <f>CONCATENATE(B70," and ",B92)</f>
        <v>G1192A (A;A) and A78573551G (A;G)</v>
      </c>
      <c r="C268" s="21" t="str">
        <f>CONCATENATE("&lt;# ",B268," #&gt;")</f>
        <v>&lt;# G1192A (A;A) and A78573551G (A;G) #&gt;</v>
      </c>
      <c r="K268" s="21" t="str">
        <f t="shared" si="27"/>
        <v>G1192A</v>
      </c>
      <c r="L268" s="21" t="str">
        <f t="shared" si="27"/>
        <v>A78573551G</v>
      </c>
      <c r="M268" s="21" t="str">
        <f t="shared" si="27"/>
        <v>A78581651T</v>
      </c>
    </row>
    <row r="269" spans="1:13">
      <c r="A269" s="14" t="s">
        <v>21</v>
      </c>
      <c r="B269" s="15" t="str">
        <f>K184</f>
        <v>NC_000015.9:g.[78882925G&gt;A];[78882925=]</v>
      </c>
      <c r="K269" s="3" t="str">
        <f t="shared" si="27"/>
        <v>NC_000015.9:g.</v>
      </c>
      <c r="L269" s="3" t="str">
        <f t="shared" si="27"/>
        <v>NC_000015.9:g.</v>
      </c>
      <c r="M269" s="3" t="str">
        <f t="shared" si="27"/>
        <v>NC_000015.9:g.</v>
      </c>
    </row>
    <row r="270" spans="1:13">
      <c r="A270" s="14" t="s">
        <v>71</v>
      </c>
      <c r="C270" s="3" t="str">
        <f>CONCATENATE("  &lt;Analysis name=",CHAR(34),B268,CHAR(34))</f>
        <v xml:space="preserve">  &lt;Analysis name="G1192A (A;A) and A78573551G (A;G)"</v>
      </c>
      <c r="J270" s="3" t="str">
        <f t="shared" ref="J270:M277" si="28">J248</f>
        <v>Variant</v>
      </c>
      <c r="K270" s="3" t="str">
        <f t="shared" si="28"/>
        <v>[78882925G&gt;A]</v>
      </c>
      <c r="L270" s="3" t="str">
        <f t="shared" si="28"/>
        <v>[78865893G&gt;A]</v>
      </c>
      <c r="M270" s="3" t="str">
        <f t="shared" si="28"/>
        <v>[78873993A&gt;T]</v>
      </c>
    </row>
    <row r="271" spans="1:13">
      <c r="A271" s="26" t="s">
        <v>74</v>
      </c>
      <c r="B271" s="15" t="str">
        <f>CONCATENATE("People with this variant have copies of the ",B22," variant and one copy of the ",B31," variant. This substitution of a single nucleotide is known as a missense mutation.")</f>
        <v>People with this variant have copies of the [G1192A (Asp398Asn)](https://www.ncbi.nlm.nih.gov/clinvar/variation/17497/) variant and one copy of the [A78573551G](https://www.ncbi.nlm.nih.gov/projects/SNP/snp_ref.cgi?rs=6495306) variant. This substitution of a single nucleotide is known as a missense mutation.</v>
      </c>
      <c r="C271" s="3" t="str">
        <f>CONCATENATE("            case={  variantCall ",CHAR(40),CHAR(34),K272,CHAR(34),CHAR(41))</f>
        <v xml:space="preserve">            case={  variantCall ("NC_000015.9:g.[78882925G&gt;A];[78882925=]")</v>
      </c>
      <c r="J271" s="3" t="str">
        <f t="shared" si="28"/>
        <v>Wildtype</v>
      </c>
      <c r="K271" s="3" t="str">
        <f t="shared" si="28"/>
        <v>[78882925=]</v>
      </c>
      <c r="L271" s="3" t="str">
        <f t="shared" si="28"/>
        <v>[78865893=]</v>
      </c>
      <c r="M271" s="3" t="str">
        <f t="shared" si="28"/>
        <v>[78873993=]</v>
      </c>
    </row>
    <row r="272" spans="1:13">
      <c r="A272" s="26" t="s">
        <v>28</v>
      </c>
      <c r="B272" s="15" t="s">
        <v>201</v>
      </c>
      <c r="C272" s="3" t="s">
        <v>70</v>
      </c>
      <c r="J272" s="3" t="str">
        <f t="shared" si="28"/>
        <v>Het</v>
      </c>
      <c r="K272" s="3" t="str">
        <f t="shared" si="28"/>
        <v>NC_000015.9:g.[78882925G&gt;A];[78882925=]</v>
      </c>
      <c r="L272" s="3" t="str">
        <f t="shared" si="28"/>
        <v>NC_000015.9:g.[78865893G&gt;A];[78865893=]</v>
      </c>
      <c r="M272" s="3" t="str">
        <f t="shared" si="28"/>
        <v>NC_000015.9:g.[78873993A&gt;T];[78873993=]</v>
      </c>
    </row>
    <row r="273" spans="1:13">
      <c r="A273" s="26" t="s">
        <v>72</v>
      </c>
      <c r="C273" s="3" t="str">
        <f>CONCATENATE("                    ",CHAR(40),"variantCall ",CHAR(40),CHAR(34),L272,CHAR(34),CHAR(41)," or variantCall ",CHAR(40),CHAR(34),L273,CHAR(34),CHAR(41),CHAR(41))</f>
        <v xml:space="preserve">                    (variantCall ("NC_000015.9:g.[78865893G&gt;A];[78865893=]") or variantCall ("NC_000015.9:g.[78865893G&gt;A];[78865893G&gt;A]"))</v>
      </c>
      <c r="J273" s="3" t="str">
        <f t="shared" si="28"/>
        <v>Homo</v>
      </c>
      <c r="K273" s="3" t="str">
        <f t="shared" si="28"/>
        <v>NC_000015.9:g.[78882925G&gt;A];[78882925G&gt;A]</v>
      </c>
      <c r="L273" s="3" t="str">
        <f t="shared" si="28"/>
        <v>NC_000015.9:g.[78865893G&gt;A];[78865893G&gt;A]</v>
      </c>
      <c r="M273" s="3" t="str">
        <f t="shared" si="28"/>
        <v>NC_000015.9:g.[78873993A&gt;T];[78873993A&gt;T]</v>
      </c>
    </row>
    <row r="274" spans="1:13">
      <c r="A274" s="26"/>
      <c r="C274" s="3" t="s">
        <v>70</v>
      </c>
      <c r="J274" s="3" t="str">
        <f t="shared" si="28"/>
        <v>Wildtype</v>
      </c>
      <c r="K274" s="3" t="str">
        <f t="shared" si="28"/>
        <v>NC_000015.9:g.[78882925=];[78882925=]</v>
      </c>
      <c r="L274" s="3" t="str">
        <f t="shared" si="28"/>
        <v>NC_000015.9:g.[78865893=];[78865893=]</v>
      </c>
      <c r="M274" s="3" t="str">
        <f t="shared" si="28"/>
        <v>NC_000015.9:g.[78873993=];[78873993=]</v>
      </c>
    </row>
    <row r="275" spans="1:13">
      <c r="A275" s="26"/>
      <c r="C275" s="3" t="str">
        <f>CONCATENATE("                    variantCall ",CHAR(40),CHAR(34),M274,CHAR(34),CHAR(41))</f>
        <v xml:space="preserve">                    variantCall ("NC_000015.9:g.[78873993=];[78873993=]")</v>
      </c>
      <c r="J275" s="3" t="str">
        <f t="shared" si="28"/>
        <v>Het%</v>
      </c>
      <c r="K275" s="3">
        <f t="shared" si="28"/>
        <v>39.200000000000003</v>
      </c>
      <c r="L275" s="3">
        <f t="shared" si="28"/>
        <v>39.200000000000003</v>
      </c>
      <c r="M275" s="3">
        <f t="shared" si="28"/>
        <v>27.3</v>
      </c>
    </row>
    <row r="276" spans="1:13">
      <c r="A276" s="26"/>
      <c r="C276" s="3" t="str">
        <f>CONCATENATE("                  } &gt; ")</f>
        <v xml:space="preserve">                  } &gt; </v>
      </c>
      <c r="J276" s="3" t="str">
        <f t="shared" si="28"/>
        <v>Homo%</v>
      </c>
      <c r="K276" s="3">
        <f t="shared" si="28"/>
        <v>5.2</v>
      </c>
      <c r="L276" s="3">
        <f t="shared" si="28"/>
        <v>17.899999999999999</v>
      </c>
      <c r="M276" s="3">
        <f t="shared" si="28"/>
        <v>9.5</v>
      </c>
    </row>
    <row r="277" spans="1:13">
      <c r="A277" s="14"/>
      <c r="J277" s="3" t="str">
        <f t="shared" si="28"/>
        <v>Wildtype%</v>
      </c>
      <c r="K277" s="3">
        <f t="shared" si="28"/>
        <v>55.6</v>
      </c>
      <c r="L277" s="3">
        <f t="shared" si="28"/>
        <v>42.9</v>
      </c>
      <c r="M277" s="3">
        <f t="shared" si="28"/>
        <v>63.2</v>
      </c>
    </row>
    <row r="278" spans="1:13">
      <c r="A278" s="14"/>
      <c r="C278" s="3" t="s">
        <v>26</v>
      </c>
    </row>
    <row r="279" spans="1:13">
      <c r="A279" s="14"/>
    </row>
    <row r="280" spans="1:13">
      <c r="A280" s="14"/>
      <c r="C280" s="3" t="str">
        <f>CONCATENATE("    ",B271)</f>
        <v xml:space="preserve">    People with this variant have copies of the [G1192A (Asp398Asn)](https://www.ncbi.nlm.nih.gov/clinvar/variation/17497/) variant and one copy of the [A78573551G](https://www.ncbi.nlm.nih.gov/projects/SNP/snp_ref.cgi?rs=6495306) variant. This substitution of a single nucleotide is known as a missense mutation.</v>
      </c>
    </row>
    <row r="281" spans="1:13">
      <c r="A281" s="14"/>
    </row>
    <row r="282" spans="1:13">
      <c r="A282" s="26"/>
      <c r="C282" s="3" t="s">
        <v>29</v>
      </c>
    </row>
    <row r="283" spans="1:13">
      <c r="A283" s="26"/>
    </row>
    <row r="284" spans="1:13">
      <c r="A284" s="26"/>
      <c r="C284" s="3" t="str">
        <f>CONCATENATE(B272)</f>
        <v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[medications](http://www.uniprot.org/uniprot/P30532#pathology_and_biotech) that act on variants in CHRNA5, including [Ethanol](https://www.drugbank.ca/drugs/DB00898), [Galantamine](https://www.drugbank.ca/drugs/DB00674), and [nicotine](https://www.drugbank.ca/drugs/DB00184).</v>
      </c>
    </row>
    <row r="285" spans="1:13">
      <c r="A285" s="26"/>
    </row>
    <row r="286" spans="1:13">
      <c r="A286" s="26"/>
      <c r="C286" s="3" t="s">
        <v>30</v>
      </c>
    </row>
    <row r="287" spans="1:13">
      <c r="A287" s="26"/>
    </row>
    <row r="288" spans="1:13">
      <c r="A288" s="26"/>
      <c r="C288" s="3" t="str">
        <f>CONCATENATE( "    &lt;piechart percentage=",B273," /&gt;")</f>
        <v xml:space="preserve">    &lt;piechart percentage= /&gt;</v>
      </c>
    </row>
    <row r="289" spans="1:13">
      <c r="A289" s="26"/>
      <c r="C289" s="3" t="str">
        <f>"  &lt;/Analysis&gt;"</f>
        <v xml:space="preserve">  &lt;/Analysis&gt;</v>
      </c>
      <c r="K289" s="3" t="str">
        <f t="shared" ref="K289:M291" si="29">K267</f>
        <v>rs16969968</v>
      </c>
      <c r="L289" s="3" t="str">
        <f t="shared" si="29"/>
        <v>rs3913434</v>
      </c>
      <c r="M289" s="3" t="str">
        <f t="shared" si="29"/>
        <v>rs270838</v>
      </c>
    </row>
    <row r="290" spans="1:13" s="21" customFormat="1">
      <c r="A290" s="28" t="s">
        <v>69</v>
      </c>
      <c r="B290" s="20" t="str">
        <f>CONCATENATE(B70," and ",B136)</f>
        <v>G1192A (A;A) and A78581651T (A;T)</v>
      </c>
      <c r="C290" s="21" t="str">
        <f>CONCATENATE("&lt;# ",B290," #&gt;")</f>
        <v>&lt;# G1192A (A;A) and A78581651T (A;T) #&gt;</v>
      </c>
      <c r="K290" s="21" t="str">
        <f t="shared" si="29"/>
        <v>G1192A</v>
      </c>
      <c r="L290" s="21" t="str">
        <f t="shared" si="29"/>
        <v>A78573551G</v>
      </c>
      <c r="M290" s="21" t="str">
        <f t="shared" si="29"/>
        <v>A78581651T</v>
      </c>
    </row>
    <row r="291" spans="1:13">
      <c r="A291" s="14" t="s">
        <v>21</v>
      </c>
      <c r="B291" s="15" t="str">
        <f>K206</f>
        <v>NC_000015.9:g.[78882925G&gt;A];[78882925=]</v>
      </c>
      <c r="K291" s="3" t="str">
        <f t="shared" si="29"/>
        <v>NC_000015.9:g.</v>
      </c>
      <c r="L291" s="3" t="str">
        <f t="shared" si="29"/>
        <v>NC_000015.9:g.</v>
      </c>
      <c r="M291" s="3" t="str">
        <f t="shared" si="29"/>
        <v>NC_000015.9:g.</v>
      </c>
    </row>
    <row r="292" spans="1:13">
      <c r="A292" s="14" t="s">
        <v>71</v>
      </c>
      <c r="C292" s="3" t="str">
        <f>CONCATENATE("  &lt;Analysis name=",CHAR(34),B290,CHAR(34))</f>
        <v xml:space="preserve">  &lt;Analysis name="G1192A (A;A) and A78581651T (A;T)"</v>
      </c>
      <c r="J292" s="3" t="str">
        <f t="shared" ref="J292:M299" si="30">J270</f>
        <v>Variant</v>
      </c>
      <c r="K292" s="3" t="str">
        <f t="shared" si="30"/>
        <v>[78882925G&gt;A]</v>
      </c>
      <c r="L292" s="3" t="str">
        <f t="shared" si="30"/>
        <v>[78865893G&gt;A]</v>
      </c>
      <c r="M292" s="3" t="str">
        <f t="shared" si="30"/>
        <v>[78873993A&gt;T]</v>
      </c>
    </row>
    <row r="293" spans="1:13">
      <c r="A293" s="26" t="s">
        <v>74</v>
      </c>
      <c r="B293" s="15" t="str">
        <f>CONCATENATE("People with this variant have copies of the ",B22," variant and one copy of the ",B40," variant. This substitution of a single nucleotide is known as a missense mutation.")</f>
        <v>People with this variant have copies of the [G1192A (Asp398Asn)](https://www.ncbi.nlm.nih.gov/clinvar/variation/17497/) variant and one copy of the [A78581651T](https://www.ncbi.nlm.nih.gov/projects/SNP/snp_ref.cgi?rs=7180002) variant. This substitution of a single nucleotide is known as a missense mutation.</v>
      </c>
      <c r="C293" s="3" t="str">
        <f>CONCATENATE("            case={  variantCall ",CHAR(40),CHAR(34),K294,CHAR(34),CHAR(41))</f>
        <v xml:space="preserve">            case={  variantCall ("NC_000015.9:g.[78882925G&gt;A];[78882925=]")</v>
      </c>
      <c r="J293" s="3" t="str">
        <f t="shared" si="30"/>
        <v>Wildtype</v>
      </c>
      <c r="K293" s="3" t="str">
        <f t="shared" si="30"/>
        <v>[78882925=]</v>
      </c>
      <c r="L293" s="3" t="str">
        <f t="shared" si="30"/>
        <v>[78865893=]</v>
      </c>
      <c r="M293" s="3" t="str">
        <f t="shared" si="30"/>
        <v>[78873993=]</v>
      </c>
    </row>
    <row r="294" spans="1:13">
      <c r="A294" s="26" t="s">
        <v>28</v>
      </c>
      <c r="B294" s="15" t="s">
        <v>199</v>
      </c>
      <c r="C294" s="3" t="s">
        <v>70</v>
      </c>
      <c r="J294" s="3" t="str">
        <f t="shared" si="30"/>
        <v>Het</v>
      </c>
      <c r="K294" s="3" t="str">
        <f t="shared" si="30"/>
        <v>NC_000015.9:g.[78882925G&gt;A];[78882925=]</v>
      </c>
      <c r="L294" s="3" t="str">
        <f t="shared" si="30"/>
        <v>NC_000015.9:g.[78865893G&gt;A];[78865893=]</v>
      </c>
      <c r="M294" s="3" t="str">
        <f t="shared" si="30"/>
        <v>NC_000015.9:g.[78873993A&gt;T];[78873993=]</v>
      </c>
    </row>
    <row r="295" spans="1:13">
      <c r="A295" s="26" t="s">
        <v>72</v>
      </c>
      <c r="C295" s="3" t="str">
        <f>CONCATENATE("                    variantCall ",CHAR(40),CHAR(34),L296,CHAR(34),CHAR(41))</f>
        <v xml:space="preserve">                    variantCall ("NC_000015.9:g.[78865893=];[78865893=]")</v>
      </c>
      <c r="J295" s="3" t="str">
        <f t="shared" si="30"/>
        <v>Homo</v>
      </c>
      <c r="K295" s="3" t="str">
        <f t="shared" si="30"/>
        <v>NC_000015.9:g.[78882925G&gt;A];[78882925G&gt;A]</v>
      </c>
      <c r="L295" s="3" t="str">
        <f t="shared" si="30"/>
        <v>NC_000015.9:g.[78865893G&gt;A];[78865893G&gt;A]</v>
      </c>
      <c r="M295" s="3" t="str">
        <f t="shared" si="30"/>
        <v>NC_000015.9:g.[78873993A&gt;T];[78873993A&gt;T]</v>
      </c>
    </row>
    <row r="296" spans="1:13">
      <c r="A296" s="26"/>
      <c r="C296" s="3" t="s">
        <v>70</v>
      </c>
      <c r="J296" s="3" t="str">
        <f t="shared" si="30"/>
        <v>Wildtype</v>
      </c>
      <c r="K296" s="3" t="str">
        <f t="shared" si="30"/>
        <v>NC_000015.9:g.[78882925=];[78882925=]</v>
      </c>
      <c r="L296" s="3" t="str">
        <f t="shared" si="30"/>
        <v>NC_000015.9:g.[78865893=];[78865893=]</v>
      </c>
      <c r="M296" s="3" t="str">
        <f t="shared" si="30"/>
        <v>NC_000015.9:g.[78873993=];[78873993=]</v>
      </c>
    </row>
    <row r="297" spans="1:13">
      <c r="A297" s="26"/>
      <c r="C297" s="3" t="str">
        <f>CONCATENATE("                    ",CHAR(40),"variantCall ",CHAR(40),CHAR(34),M294,CHAR(34),CHAR(41)," or variantCall ",CHAR(40),CHAR(34),M295,CHAR(34),CHAR(41),CHAR(41))</f>
        <v xml:space="preserve">                    (variantCall ("NC_000015.9:g.[78873993A&gt;T];[78873993=]") or variantCall ("NC_000015.9:g.[78873993A&gt;T];[78873993A&gt;T]"))</v>
      </c>
      <c r="J297" s="3" t="str">
        <f t="shared" si="30"/>
        <v>Het%</v>
      </c>
      <c r="K297" s="3">
        <f t="shared" si="30"/>
        <v>39.200000000000003</v>
      </c>
      <c r="L297" s="3">
        <f t="shared" si="30"/>
        <v>39.200000000000003</v>
      </c>
      <c r="M297" s="3">
        <f t="shared" si="30"/>
        <v>27.3</v>
      </c>
    </row>
    <row r="298" spans="1:13">
      <c r="A298" s="26"/>
      <c r="C298" s="3" t="str">
        <f>CONCATENATE("                  } &gt; ")</f>
        <v xml:space="preserve">                  } &gt; </v>
      </c>
      <c r="J298" s="3" t="str">
        <f t="shared" si="30"/>
        <v>Homo%</v>
      </c>
      <c r="K298" s="3">
        <f t="shared" si="30"/>
        <v>5.2</v>
      </c>
      <c r="L298" s="3">
        <f t="shared" si="30"/>
        <v>17.899999999999999</v>
      </c>
      <c r="M298" s="3">
        <f t="shared" si="30"/>
        <v>9.5</v>
      </c>
    </row>
    <row r="299" spans="1:13">
      <c r="A299" s="14"/>
      <c r="J299" s="3" t="str">
        <f t="shared" si="30"/>
        <v>Wildtype%</v>
      </c>
      <c r="K299" s="3">
        <f t="shared" si="30"/>
        <v>55.6</v>
      </c>
      <c r="L299" s="3">
        <f t="shared" si="30"/>
        <v>42.9</v>
      </c>
      <c r="M299" s="3">
        <f t="shared" si="30"/>
        <v>63.2</v>
      </c>
    </row>
    <row r="300" spans="1:13">
      <c r="A300" s="14"/>
      <c r="C300" s="3" t="s">
        <v>26</v>
      </c>
    </row>
    <row r="301" spans="1:13">
      <c r="A301" s="14"/>
    </row>
    <row r="302" spans="1:13">
      <c r="A302" s="14"/>
      <c r="C302" s="3" t="str">
        <f>CONCATENATE("    ",B293)</f>
        <v xml:space="preserve">    People with this variant have copies of the [G1192A (Asp398Asn)](https://www.ncbi.nlm.nih.gov/clinvar/variation/17497/) variant and one copy of the [A78581651T](https://www.ncbi.nlm.nih.gov/projects/SNP/snp_ref.cgi?rs=7180002) variant. This substitution of a single nucleotide is known as a missense mutation.</v>
      </c>
    </row>
    <row r="303" spans="1:13">
      <c r="A303" s="14"/>
    </row>
    <row r="304" spans="1:13">
      <c r="A304" s="26"/>
      <c r="C304" s="3" t="s">
        <v>29</v>
      </c>
    </row>
    <row r="305" spans="1:13">
      <c r="A305" s="26"/>
    </row>
    <row r="306" spans="1:13">
      <c r="A306" s="26"/>
      <c r="C306" s="3" t="str">
        <f>CONCATENATE(B294)</f>
        <v xml:space="preserve">    There is currently no data on the interaction between these variants.  However, some information exists on the individual variants.
    # What is the effect of G1192A (A;A)?
    This variant controls [cognitive function, working memory, and gray matter volume in the brain](https://www.ncbi.nlm.nih.gov/pubmed/24819610). Males with this variant have much faster [information processing](https://www.ncbi.nlm.nih.gov/pubmed/25674902), including [much better behavioral performance, more efficient brain activity, and a larger brain volume.](https://www.ncbi.nlm.nih.gov/pubmed/24819610) Females with this variant exhibit much slower information processing, which may worsen ME/CFS cognition issues. [The brain’s control of vision is also impaired](https://www.ncbi.nlm.nih.gov/pubmed/24934182), which may worsen ME/CFS related vision issues. 
    The brain changes caused by this variant is the [strongest genetic risk factor for developing nicotine dependence in African Americans and Caucasians](https://www.ncbi.nlm.nih.gov/pubmed/26239294). It may cause difficulties with smoking cessation and increases the number of [cigarettes smoked per day](https://www.ncbi.nlm.nih.gov/pubmed/27344179). People are [15% less likely](https://www.ncbi.nlm.nih.gov/pubmed/24727484) to be able to quit smoking and respond worse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an elevated risk and earlier onset of [lung cancer](https://www.ncbi.nlm.nih.gov/pubmed/27543155), [COPD](https://www.ncbi.nlm.nih.gov/pubmed/26771213) and [newborn lung and breathing problems](https://www.ncbi.nlm.nih.gov/pubmed/24838476) in the children of smoking mothers.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307" spans="1:13">
      <c r="A307" s="26"/>
    </row>
    <row r="308" spans="1:13">
      <c r="A308" s="26"/>
      <c r="C308" s="3" t="s">
        <v>30</v>
      </c>
    </row>
    <row r="309" spans="1:13">
      <c r="A309" s="26"/>
    </row>
    <row r="310" spans="1:13">
      <c r="A310" s="26"/>
      <c r="C310" s="3" t="str">
        <f>CONCATENATE( "    &lt;piechart percentage=",B295," /&gt;")</f>
        <v xml:space="preserve">    &lt;piechart percentage= /&gt;</v>
      </c>
    </row>
    <row r="311" spans="1:13">
      <c r="A311" s="26"/>
      <c r="C311" s="3" t="str">
        <f>"  &lt;/Analysis&gt;"</f>
        <v xml:space="preserve">  &lt;/Analysis&gt;</v>
      </c>
      <c r="K311" s="3" t="str">
        <f t="shared" ref="K311:M313" si="31">K289</f>
        <v>rs16969968</v>
      </c>
      <c r="L311" s="3" t="str">
        <f t="shared" si="31"/>
        <v>rs3913434</v>
      </c>
      <c r="M311" s="3" t="str">
        <f t="shared" si="31"/>
        <v>rs270838</v>
      </c>
    </row>
    <row r="312" spans="1:13" s="21" customFormat="1">
      <c r="A312" s="28" t="s">
        <v>69</v>
      </c>
      <c r="B312" s="20" t="str">
        <f>CONCATENATE(B92," and ",B136)</f>
        <v>A78573551G (A;G) and A78581651T (A;T)</v>
      </c>
      <c r="C312" s="21" t="str">
        <f>CONCATENATE("&lt;# ",B312," #&gt;")</f>
        <v>&lt;# A78573551G (A;G) and A78581651T (A;T) #&gt;</v>
      </c>
      <c r="K312" s="21" t="str">
        <f t="shared" si="31"/>
        <v>G1192A</v>
      </c>
      <c r="L312" s="21" t="str">
        <f t="shared" si="31"/>
        <v>A78573551G</v>
      </c>
      <c r="M312" s="21" t="str">
        <f t="shared" si="31"/>
        <v>A78581651T</v>
      </c>
    </row>
    <row r="313" spans="1:13">
      <c r="A313" s="14" t="s">
        <v>21</v>
      </c>
      <c r="B313" s="15" t="str">
        <f>K228</f>
        <v>NC_000015.9:g.[78882925G&gt;A];[78882925=]</v>
      </c>
      <c r="K313" s="3" t="str">
        <f t="shared" si="31"/>
        <v>NC_000015.9:g.</v>
      </c>
      <c r="L313" s="3" t="str">
        <f t="shared" si="31"/>
        <v>NC_000015.9:g.</v>
      </c>
      <c r="M313" s="3" t="str">
        <f t="shared" si="31"/>
        <v>NC_000015.9:g.</v>
      </c>
    </row>
    <row r="314" spans="1:13">
      <c r="A314" s="14" t="s">
        <v>71</v>
      </c>
      <c r="C314" s="3" t="str">
        <f>CONCATENATE("  &lt;Analysis name=",CHAR(34),B312,CHAR(34))</f>
        <v xml:space="preserve">  &lt;Analysis name="A78573551G (A;G) and A78581651T (A;T)"</v>
      </c>
      <c r="J314" s="3" t="str">
        <f t="shared" ref="J314:M321" si="32">J292</f>
        <v>Variant</v>
      </c>
      <c r="K314" s="3" t="str">
        <f t="shared" si="32"/>
        <v>[78882925G&gt;A]</v>
      </c>
      <c r="L314" s="3" t="str">
        <f t="shared" si="32"/>
        <v>[78865893G&gt;A]</v>
      </c>
      <c r="M314" s="3" t="str">
        <f t="shared" si="32"/>
        <v>[78873993A&gt;T]</v>
      </c>
    </row>
    <row r="315" spans="1:13">
      <c r="A315" s="26" t="s">
        <v>74</v>
      </c>
      <c r="B315" s="15" t="str">
        <f>CONCATENATE("People with this variant have copies of the ",B31," and ",B40," variants. This substitution of a single nucleotide is known as a missense mutation.")</f>
        <v>People with this variant have copies of the [A78573551G](https://www.ncbi.nlm.nih.gov/projects/SNP/snp_ref.cgi?rs=6495306) and [A78581651T](https://www.ncbi.nlm.nih.gov/projects/SNP/snp_ref.cgi?rs=7180002) variants. This substitution of a single nucleotide is known as a missense mutation.</v>
      </c>
      <c r="C315" s="3" t="str">
        <f>CONCATENATE("            case={  variantCall ",CHAR(40),CHAR(34),K318,CHAR(34),CHAR(41))</f>
        <v xml:space="preserve">            case={  variantCall ("NC_000015.9:g.[78882925=];[78882925=]")</v>
      </c>
      <c r="J315" s="3" t="str">
        <f t="shared" si="32"/>
        <v>Wildtype</v>
      </c>
      <c r="K315" s="3" t="str">
        <f t="shared" si="32"/>
        <v>[78882925=]</v>
      </c>
      <c r="L315" s="3" t="str">
        <f t="shared" si="32"/>
        <v>[78865893=]</v>
      </c>
      <c r="M315" s="3" t="str">
        <f t="shared" si="32"/>
        <v>[78873993=]</v>
      </c>
    </row>
    <row r="316" spans="1:13">
      <c r="A316" s="26" t="s">
        <v>28</v>
      </c>
      <c r="B316" s="15" t="s">
        <v>200</v>
      </c>
      <c r="C316" s="3" t="s">
        <v>70</v>
      </c>
      <c r="J316" s="3" t="str">
        <f t="shared" si="32"/>
        <v>Het</v>
      </c>
      <c r="K316" s="3" t="str">
        <f t="shared" si="32"/>
        <v>NC_000015.9:g.[78882925G&gt;A];[78882925=]</v>
      </c>
      <c r="L316" s="3" t="str">
        <f t="shared" si="32"/>
        <v>NC_000015.9:g.[78865893G&gt;A];[78865893=]</v>
      </c>
      <c r="M316" s="3" t="str">
        <f t="shared" si="32"/>
        <v>NC_000015.9:g.[78873993A&gt;T];[78873993=]</v>
      </c>
    </row>
    <row r="317" spans="1:13">
      <c r="A317" s="26" t="s">
        <v>72</v>
      </c>
      <c r="C317" s="3" t="str">
        <f>CONCATENATE("                    ",CHAR(40),"variantCall ",CHAR(40),CHAR(34),L316,CHAR(34),CHAR(41)," or variantCall ",CHAR(40),CHAR(34),L317,CHAR(34),CHAR(41),CHAR(41))</f>
        <v xml:space="preserve">                    (variantCall ("NC_000015.9:g.[78865893G&gt;A];[78865893=]") or variantCall ("NC_000015.9:g.[78865893G&gt;A];[78865893G&gt;A]"))</v>
      </c>
      <c r="J317" s="3" t="str">
        <f t="shared" si="32"/>
        <v>Homo</v>
      </c>
      <c r="K317" s="3" t="str">
        <f t="shared" si="32"/>
        <v>NC_000015.9:g.[78882925G&gt;A];[78882925G&gt;A]</v>
      </c>
      <c r="L317" s="3" t="str">
        <f t="shared" si="32"/>
        <v>NC_000015.9:g.[78865893G&gt;A];[78865893G&gt;A]</v>
      </c>
      <c r="M317" s="3" t="str">
        <f t="shared" si="32"/>
        <v>NC_000015.9:g.[78873993A&gt;T];[78873993A&gt;T]</v>
      </c>
    </row>
    <row r="318" spans="1:13">
      <c r="A318" s="26"/>
      <c r="C318" s="3" t="s">
        <v>70</v>
      </c>
      <c r="J318" s="3" t="str">
        <f t="shared" si="32"/>
        <v>Wildtype</v>
      </c>
      <c r="K318" s="3" t="str">
        <f t="shared" si="32"/>
        <v>NC_000015.9:g.[78882925=];[78882925=]</v>
      </c>
      <c r="L318" s="3" t="str">
        <f t="shared" si="32"/>
        <v>NC_000015.9:g.[78865893=];[78865893=]</v>
      </c>
      <c r="M318" s="3" t="str">
        <f t="shared" si="32"/>
        <v>NC_000015.9:g.[78873993=];[78873993=]</v>
      </c>
    </row>
    <row r="319" spans="1:13">
      <c r="A319" s="26"/>
      <c r="C319" s="3" t="str">
        <f>CONCATENATE("                    ",CHAR(40),"variantCall ",CHAR(40),CHAR(34),M316,CHAR(34),CHAR(41)," or variantCall ",CHAR(40),CHAR(34),M317,CHAR(34),CHAR(41),CHAR(41))</f>
        <v xml:space="preserve">                    (variantCall ("NC_000015.9:g.[78873993A&gt;T];[78873993=]") or variantCall ("NC_000015.9:g.[78873993A&gt;T];[78873993A&gt;T]"))</v>
      </c>
      <c r="J319" s="3" t="str">
        <f t="shared" si="32"/>
        <v>Het%</v>
      </c>
      <c r="K319" s="3">
        <f t="shared" si="32"/>
        <v>39.200000000000003</v>
      </c>
      <c r="L319" s="3">
        <f t="shared" si="32"/>
        <v>39.200000000000003</v>
      </c>
      <c r="M319" s="3">
        <f t="shared" si="32"/>
        <v>27.3</v>
      </c>
    </row>
    <row r="320" spans="1:13">
      <c r="A320" s="26"/>
      <c r="C320" s="3" t="str">
        <f>CONCATENATE("                  } &gt; ")</f>
        <v xml:space="preserve">                  } &gt; </v>
      </c>
      <c r="J320" s="3" t="str">
        <f t="shared" si="32"/>
        <v>Homo%</v>
      </c>
      <c r="K320" s="3">
        <f t="shared" si="32"/>
        <v>5.2</v>
      </c>
      <c r="L320" s="3">
        <f t="shared" si="32"/>
        <v>17.899999999999999</v>
      </c>
      <c r="M320" s="3">
        <f t="shared" si="32"/>
        <v>9.5</v>
      </c>
    </row>
    <row r="321" spans="1:13">
      <c r="A321" s="14"/>
      <c r="J321" s="3" t="str">
        <f t="shared" si="32"/>
        <v>Wildtype%</v>
      </c>
      <c r="K321" s="3">
        <f t="shared" si="32"/>
        <v>55.6</v>
      </c>
      <c r="L321" s="3">
        <f t="shared" si="32"/>
        <v>42.9</v>
      </c>
      <c r="M321" s="3">
        <f t="shared" si="32"/>
        <v>63.2</v>
      </c>
    </row>
    <row r="322" spans="1:13">
      <c r="A322" s="14"/>
      <c r="C322" s="3" t="s">
        <v>26</v>
      </c>
    </row>
    <row r="323" spans="1:13">
      <c r="A323" s="14"/>
    </row>
    <row r="324" spans="1:13">
      <c r="A324" s="14"/>
      <c r="C324" s="3" t="str">
        <f>CONCATENATE("    ",B315)</f>
        <v xml:space="preserve">    People with this variant have copies of the [A78573551G](https://www.ncbi.nlm.nih.gov/projects/SNP/snp_ref.cgi?rs=6495306) and [A78581651T](https://www.ncbi.nlm.nih.gov/projects/SNP/snp_ref.cgi?rs=7180002) variants. This substitution of a single nucleotide is known as a missense mutation.</v>
      </c>
    </row>
    <row r="325" spans="1:13">
      <c r="A325" s="14"/>
    </row>
    <row r="326" spans="1:13">
      <c r="A326" s="26"/>
      <c r="C326" s="3" t="s">
        <v>29</v>
      </c>
    </row>
    <row r="327" spans="1:13">
      <c r="A327" s="26"/>
    </row>
    <row r="328" spans="1:13">
      <c r="A328" s="26"/>
      <c r="C328" s="3" t="str">
        <f>CONCATENATE(B316)</f>
        <v xml:space="preserve">    There is currently no data on the interaction between these variants.  However, some information exists on the individual variants.
    # What is the effect of A78573551G?
    This variant acts in the part of the [brain](https://www.ncbi.nlm.nih.gov/pubmed/26220977) that controls motor function, problem solving, language, judgement, impulse control, sexual behavior, and memory formation and processing. This may cause ME/CFS related cognition issues. This variant causes [greater gene expression](https://www.ncbi.nlm.nih.gov/pubmed/21229299), and is associated with increased [risk of ](https://www.ncbi.nlm.nih.gov/pubmed/25233467)[lung cancer](https://www.ncbi.nlm.nih.gov/pubmed/21229299) and [nicotine addiction](https://www.ncbi.nlm.nih.gov/pubmed/28132300), especially in [Caucasians](https://www.ncbi.nlm.nih.gov/pubmed/26270548).
    # What is the effect of A78581651T?
    This variant acts in the part of the [brain](https://www.ncbi.nlm.nih.gov/pubmed/26220977) that controls motor function, problem solving, language, judgement, impulse control, sexual behavior, and memory formation and processing. This variant also is associated with increased risk of [lung cancer](https://www.ncbi.nlm.nih.gov/pubmed/25233467) and an [increased number of cigarettes smoked per day](https://www.ncbi.nlm.nih.gov/pubmed/26981579).
    Your variant is [2X](https://www.ncbi.nlm.nih.gov/pubmed/27099524) more common in [ME/CFS patients](https://www.ncbi.nlm.nih.gov/pubmed/27099524). It causes the CHRNA5 protein to be malformed, which impacts natural killer cell (NKC) activity. Natural killer cells are a type of white blood cell found in the blood, bone marrow, spleen, and lymph nodes. They kill viral infected cells and tumorous cells. Many patients with ME/CFS have NKC with lower functional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Consult your physician on [medications](http://www.uniprot.org/uniprot/P30532#pathology_and_biotech) that act on variants in CHRNA5, including [Ethanol](https://www.drugbank.ca/drugs/DB00898), [Galantamine](https://www.drugbank.ca/drugs/DB00674), and [nicotine](https://www.drugbank.ca/drugs/DB00184).</v>
      </c>
    </row>
    <row r="329" spans="1:13">
      <c r="A329" s="26"/>
    </row>
    <row r="330" spans="1:13">
      <c r="A330" s="26"/>
      <c r="C330" s="3" t="s">
        <v>30</v>
      </c>
    </row>
    <row r="331" spans="1:13">
      <c r="A331" s="26"/>
    </row>
    <row r="332" spans="1:13">
      <c r="A332" s="26"/>
      <c r="C332" s="3" t="str">
        <f>CONCATENATE( "    &lt;piechart percentage=",B317," /&gt;")</f>
        <v xml:space="preserve">    &lt;piechart percentage= /&gt;</v>
      </c>
    </row>
    <row r="333" spans="1:13">
      <c r="A333" s="26"/>
      <c r="C333" s="3" t="str">
        <f>"  &lt;/Analysis&gt;"</f>
        <v xml:space="preserve">  &lt;/Analysis&gt;</v>
      </c>
      <c r="K333" s="3" t="str">
        <f t="shared" ref="K333:M335" si="33">K179</f>
        <v>rs16969968</v>
      </c>
      <c r="L333" s="3" t="str">
        <f t="shared" si="33"/>
        <v>rs3913434</v>
      </c>
      <c r="M333" s="3" t="str">
        <f t="shared" si="33"/>
        <v>rs270838</v>
      </c>
    </row>
    <row r="334" spans="1:13" s="21" customFormat="1">
      <c r="A334" s="28" t="s">
        <v>69</v>
      </c>
      <c r="B334" s="20" t="s">
        <v>83</v>
      </c>
      <c r="C334" s="21" t="str">
        <f>CONCATENATE("&lt;# ",B334," #&gt;")</f>
        <v>&lt;# Wild type #&gt;</v>
      </c>
      <c r="K334" s="21" t="str">
        <f t="shared" si="33"/>
        <v>G1192A</v>
      </c>
      <c r="L334" s="21" t="str">
        <f t="shared" si="33"/>
        <v>A78573551G</v>
      </c>
      <c r="M334" s="21" t="str">
        <f t="shared" si="33"/>
        <v>A78581651T</v>
      </c>
    </row>
    <row r="335" spans="1:13">
      <c r="A335" s="14" t="s">
        <v>21</v>
      </c>
      <c r="B335" s="15" t="str">
        <f>K54</f>
        <v>NC_000015.9:g.[78882925=];[78882925=]</v>
      </c>
      <c r="K335" s="3" t="str">
        <f t="shared" si="33"/>
        <v>NC_000015.9:g.</v>
      </c>
      <c r="L335" s="3" t="str">
        <f t="shared" si="33"/>
        <v>NC_000015.9:g.</v>
      </c>
      <c r="M335" s="3" t="str">
        <f t="shared" si="33"/>
        <v>NC_000015.9:g.</v>
      </c>
    </row>
    <row r="336" spans="1:13">
      <c r="A336" s="14" t="s">
        <v>71</v>
      </c>
      <c r="B336" s="15" t="str">
        <f>L54</f>
        <v>NC_000015.9:g.[78865893=];[78865893=]</v>
      </c>
      <c r="C336" s="3" t="str">
        <f>CONCATENATE("  &lt;Analysis name=",CHAR(34),B334,CHAR(34))</f>
        <v xml:space="preserve">  &lt;Analysis name="Wild type"</v>
      </c>
      <c r="J336" s="3" t="str">
        <f t="shared" ref="J336:M343" si="34">J182</f>
        <v>Variant</v>
      </c>
      <c r="K336" s="3" t="str">
        <f t="shared" si="34"/>
        <v>[78882925G&gt;A]</v>
      </c>
      <c r="L336" s="3" t="str">
        <f t="shared" si="34"/>
        <v>[78865893G&gt;A]</v>
      </c>
      <c r="M336" s="3" t="str">
        <f t="shared" si="34"/>
        <v>[78873993A&gt;T]</v>
      </c>
    </row>
    <row r="337" spans="1:13">
      <c r="A337" s="26" t="s">
        <v>74</v>
      </c>
      <c r="B337" s="15" t="str">
        <f>CONCATENATE("Your ",B12," gene has no variants. A normal gene is referred to as a ",CHAR(34),"wild-type",CHAR(34)," gene.")</f>
        <v>Your CHRNA5 gene has no variants. A normal gene is referred to as a "wild-type" gene.</v>
      </c>
      <c r="C337" s="3" t="str">
        <f>CONCATENATE("            case={  variantCall ",CHAR(40),CHAR(34),B335,CHAR(34),CHAR(41))</f>
        <v xml:space="preserve">            case={  variantCall ("NC_000015.9:g.[78882925=];[78882925=]")</v>
      </c>
      <c r="J337" s="3" t="str">
        <f t="shared" si="34"/>
        <v>Wildtype</v>
      </c>
      <c r="K337" s="3" t="str">
        <f t="shared" si="34"/>
        <v>[78882925=]</v>
      </c>
      <c r="L337" s="3" t="str">
        <f t="shared" si="34"/>
        <v>[78865893=]</v>
      </c>
      <c r="M337" s="3" t="str">
        <f t="shared" si="34"/>
        <v>[78873993=]</v>
      </c>
    </row>
    <row r="338" spans="1:13">
      <c r="A338" s="26" t="s">
        <v>28</v>
      </c>
      <c r="C338" s="3" t="s">
        <v>70</v>
      </c>
      <c r="J338" s="3" t="str">
        <f t="shared" si="34"/>
        <v>Het</v>
      </c>
      <c r="K338" s="3" t="str">
        <f t="shared" si="34"/>
        <v>NC_000015.9:g.[78882925G&gt;A];[78882925=]</v>
      </c>
      <c r="L338" s="3" t="str">
        <f t="shared" si="34"/>
        <v>NC_000015.9:g.[78865893G&gt;A];[78865893=]</v>
      </c>
      <c r="M338" s="3" t="str">
        <f t="shared" si="34"/>
        <v>NC_000015.9:g.[78873993A&gt;T];[78873993=]</v>
      </c>
    </row>
    <row r="339" spans="1:13">
      <c r="A339" s="26" t="s">
        <v>72</v>
      </c>
      <c r="C339" s="3" t="str">
        <f>CONCATENATE("                    ","variantCall ",CHAR(40),CHAR(34),L340,CHAR(34),CHAR(41))</f>
        <v xml:space="preserve">                    variantCall ("NC_000015.9:g.[78865893=];[78865893=]")</v>
      </c>
      <c r="J339" s="3" t="str">
        <f t="shared" si="34"/>
        <v>Homo</v>
      </c>
      <c r="K339" s="3" t="str">
        <f t="shared" si="34"/>
        <v>NC_000015.9:g.[78882925G&gt;A];[78882925G&gt;A]</v>
      </c>
      <c r="L339" s="3" t="str">
        <f t="shared" si="34"/>
        <v>NC_000015.9:g.[78865893G&gt;A];[78865893G&gt;A]</v>
      </c>
      <c r="M339" s="3" t="str">
        <f t="shared" si="34"/>
        <v>NC_000015.9:g.[78873993A&gt;T];[78873993A&gt;T]</v>
      </c>
    </row>
    <row r="340" spans="1:13">
      <c r="A340" s="26"/>
      <c r="C340" s="3" t="s">
        <v>70</v>
      </c>
      <c r="J340" s="3" t="str">
        <f t="shared" si="34"/>
        <v>Wildtype</v>
      </c>
      <c r="K340" s="3" t="str">
        <f t="shared" si="34"/>
        <v>NC_000015.9:g.[78882925=];[78882925=]</v>
      </c>
      <c r="L340" s="3" t="str">
        <f t="shared" si="34"/>
        <v>NC_000015.9:g.[78865893=];[78865893=]</v>
      </c>
      <c r="M340" s="3" t="str">
        <f t="shared" si="34"/>
        <v>NC_000015.9:g.[78873993=];[78873993=]</v>
      </c>
    </row>
    <row r="341" spans="1:13">
      <c r="A341" s="26"/>
      <c r="C341" s="3" t="str">
        <f>CONCATENATE("                    ","variantCall ",CHAR(40),CHAR(34),M340,CHAR(34),CHAR(41))</f>
        <v xml:space="preserve">                    variantCall ("NC_000015.9:g.[78873993=];[78873993=]")</v>
      </c>
      <c r="J341" s="3" t="str">
        <f t="shared" si="34"/>
        <v>Het%</v>
      </c>
      <c r="K341" s="3">
        <f t="shared" si="34"/>
        <v>39.200000000000003</v>
      </c>
      <c r="L341" s="3">
        <f t="shared" si="34"/>
        <v>39.200000000000003</v>
      </c>
      <c r="M341" s="3">
        <f t="shared" si="34"/>
        <v>27.3</v>
      </c>
    </row>
    <row r="342" spans="1:13">
      <c r="A342" s="26"/>
      <c r="C342" s="3" t="str">
        <f>CONCATENATE("                  } &gt; ")</f>
        <v xml:space="preserve">                  } &gt; </v>
      </c>
      <c r="J342" s="3" t="str">
        <f t="shared" si="34"/>
        <v>Homo%</v>
      </c>
      <c r="K342" s="3">
        <f t="shared" si="34"/>
        <v>5.2</v>
      </c>
      <c r="L342" s="3">
        <f t="shared" si="34"/>
        <v>17.899999999999999</v>
      </c>
      <c r="M342" s="3">
        <f t="shared" si="34"/>
        <v>9.5</v>
      </c>
    </row>
    <row r="343" spans="1:13">
      <c r="A343" s="14"/>
      <c r="J343" s="3" t="str">
        <f t="shared" si="34"/>
        <v>Wildtype%</v>
      </c>
      <c r="K343" s="3">
        <f t="shared" si="34"/>
        <v>55.6</v>
      </c>
      <c r="L343" s="3">
        <f t="shared" si="34"/>
        <v>42.9</v>
      </c>
      <c r="M343" s="3">
        <f t="shared" si="34"/>
        <v>63.2</v>
      </c>
    </row>
    <row r="344" spans="1:13">
      <c r="A344" s="14"/>
      <c r="C344" s="3" t="s">
        <v>26</v>
      </c>
    </row>
    <row r="345" spans="1:13">
      <c r="A345" s="14"/>
    </row>
    <row r="346" spans="1:13">
      <c r="A346" s="26"/>
      <c r="C346" s="3" t="str">
        <f>CONCATENATE("    ",B337)</f>
        <v xml:space="preserve">    Your CHRNA5 gene has no variants. A normal gene is referred to as a "wild-type" gene.</v>
      </c>
    </row>
    <row r="347" spans="1:13">
      <c r="A347" s="26"/>
    </row>
    <row r="348" spans="1:13">
      <c r="A348" s="26"/>
      <c r="C348" s="3" t="s">
        <v>30</v>
      </c>
    </row>
    <row r="349" spans="1:13">
      <c r="A349" s="26"/>
    </row>
    <row r="350" spans="1:13">
      <c r="A350" s="26"/>
      <c r="C350" s="3" t="str">
        <f>CONCATENATE( "    &lt;piechart percentage=",B339," /&gt;")</f>
        <v xml:space="preserve">    &lt;piechart percentage= /&gt;</v>
      </c>
    </row>
    <row r="351" spans="1:13">
      <c r="A351" s="26"/>
      <c r="C351" s="3" t="str">
        <f>"  &lt;/Analysis&gt;"</f>
        <v xml:space="preserve">  &lt;/Analysis&gt;</v>
      </c>
    </row>
    <row r="352" spans="1:13" s="21" customFormat="1">
      <c r="A352" s="28" t="s">
        <v>69</v>
      </c>
      <c r="B352" s="20" t="s">
        <v>84</v>
      </c>
      <c r="C352" s="21" t="str">
        <f>CONCATENATE("&lt;# ",B352," #&gt;")</f>
        <v>&lt;# Unknown #&gt;</v>
      </c>
    </row>
    <row r="353" spans="1:3">
      <c r="A353" s="14" t="s">
        <v>21</v>
      </c>
      <c r="B353" s="15" t="str">
        <f>K72</f>
        <v>[78882925G&gt;A]</v>
      </c>
    </row>
    <row r="354" spans="1:3">
      <c r="A354" s="14" t="s">
        <v>71</v>
      </c>
      <c r="C354" s="3" t="str">
        <f>CONCATENATE("  &lt;Analysis name=",CHAR(34),B352,CHAR(34), " case=true&gt;")</f>
        <v xml:space="preserve">  &lt;Analysis name="Unknown" case=true&gt;</v>
      </c>
    </row>
    <row r="355" spans="1:3">
      <c r="A355" s="26" t="s">
        <v>74</v>
      </c>
      <c r="B355" s="15" t="s">
        <v>31</v>
      </c>
    </row>
    <row r="356" spans="1:3">
      <c r="A356" s="26" t="s">
        <v>72</v>
      </c>
      <c r="B356" s="15">
        <v>0</v>
      </c>
      <c r="C356" s="3" t="s">
        <v>26</v>
      </c>
    </row>
    <row r="357" spans="1:3">
      <c r="A357" s="26"/>
    </row>
    <row r="358" spans="1:3">
      <c r="A358" s="14"/>
      <c r="C358" s="3" t="str">
        <f>CONCATENATE("    ",B355)</f>
        <v xml:space="preserve">    The effect is unknown.</v>
      </c>
    </row>
    <row r="359" spans="1:3">
      <c r="A359" s="14"/>
    </row>
    <row r="360" spans="1:3">
      <c r="A360" s="14"/>
      <c r="C360" s="3" t="s">
        <v>30</v>
      </c>
    </row>
    <row r="361" spans="1:3">
      <c r="A361" s="26"/>
    </row>
    <row r="362" spans="1:3">
      <c r="A362" s="26"/>
      <c r="C362" s="3" t="str">
        <f>CONCATENATE( "    &lt;piechart percentage=",B356," /&gt;")</f>
        <v xml:space="preserve">    &lt;piechart percentage=0 /&gt;</v>
      </c>
    </row>
    <row r="363" spans="1:3">
      <c r="A363" s="26"/>
      <c r="C363" s="3" t="str">
        <f>"  &lt;/Analysis&gt;"</f>
        <v xml:space="preserve">  &lt;/Analysis&gt;</v>
      </c>
    </row>
    <row r="364" spans="1:3">
      <c r="A364" s="14"/>
      <c r="C364" s="31" t="s">
        <v>369</v>
      </c>
    </row>
    <row r="365" spans="1:3" s="21" customFormat="1">
      <c r="A365" s="19"/>
      <c r="B365" s="20"/>
      <c r="C365" s="35"/>
    </row>
    <row r="366" spans="1:3">
      <c r="A366" s="14" t="s">
        <v>77</v>
      </c>
      <c r="B366" s="40" t="s">
        <v>170</v>
      </c>
      <c r="C366" s="10" t="str">
        <f>CONCATENATE("&lt;# ",A366," ",B366," #&gt;")</f>
        <v>&lt;# Tissues brain D001921  respiratory system and lung D012137  bone marrow and immune system D007107 #&gt;</v>
      </c>
    </row>
    <row r="367" spans="1:3">
      <c r="A367" s="14"/>
    </row>
    <row r="368" spans="1:3">
      <c r="A368" s="14"/>
      <c r="B368" s="40" t="s">
        <v>172</v>
      </c>
      <c r="C368" s="31" t="str">
        <f>CONCATENATE("&lt;TopicBar ",B368," /&gt;")</f>
        <v>&lt;TopicBar mesh_D001921 mesh_D012137 mesh_D007107 /&gt;</v>
      </c>
    </row>
    <row r="369" spans="1:3">
      <c r="A369" s="14"/>
    </row>
    <row r="370" spans="1:3">
      <c r="A370" s="14" t="s">
        <v>32</v>
      </c>
      <c r="B370" s="40" t="s">
        <v>169</v>
      </c>
      <c r="C370" s="10" t="str">
        <f>CONCATENATE("&lt;# ",A370," ",B370," #&gt;")</f>
        <v>&lt;# Symptoms anxiety; pain; inflammation; #&gt;</v>
      </c>
    </row>
    <row r="371" spans="1:3">
      <c r="A371" s="14"/>
    </row>
    <row r="372" spans="1:3">
      <c r="A372" s="14"/>
      <c r="B372" s="40" t="s">
        <v>173</v>
      </c>
      <c r="C372" s="31" t="str">
        <f>CONCATENATE("&lt;TopicBar ",B372," /&gt;")</f>
        <v>&lt;TopicBar mesh_D001007 mesh_D010146  mesh_D007249 /&gt;</v>
      </c>
    </row>
    <row r="373" spans="1:3">
      <c r="A373" s="14"/>
      <c r="C373" s="31"/>
    </row>
    <row r="374" spans="1:3">
      <c r="A374" s="14" t="s">
        <v>48</v>
      </c>
      <c r="B374" s="40" t="s">
        <v>171</v>
      </c>
      <c r="C374" s="10" t="str">
        <f>CONCATENATE("&lt;# ",A374," ",B374," #&gt;")</f>
        <v>&lt;# Diseases cancer; COPD; anxiety; ME/CFS; nicotine dependency; autoimmune disorder; Disease susceptibility - increased susceptibility to viral, bacterial, and parasitic infections; mood disorder #&gt;</v>
      </c>
    </row>
    <row r="375" spans="1:3">
      <c r="A375" s="14"/>
    </row>
    <row r="376" spans="1:3">
      <c r="A376" s="14"/>
      <c r="B376" s="40" t="s">
        <v>174</v>
      </c>
      <c r="C376" s="31" t="str">
        <f>CONCATENATE("&lt;TopicBar ",B376," /&gt;")</f>
        <v>&lt;TopicBar mesh_D009369 mesh_D029424 mesh_D001008 mesh_D015673 mesh_D014029 mesh_D001327 mesh_D004198 mesh_D019964 /&gt;</v>
      </c>
    </row>
    <row r="377" spans="1:3">
      <c r="A377" s="14"/>
    </row>
    <row r="378" spans="1:3" s="21" customFormat="1">
      <c r="A378" s="28"/>
      <c r="B378" s="20"/>
    </row>
    <row r="379" spans="1:3">
      <c r="B379" s="30"/>
    </row>
    <row r="381" spans="1:3">
      <c r="B381" s="30"/>
    </row>
    <row r="383" spans="1:3">
      <c r="B383" s="30"/>
    </row>
    <row r="385" spans="2:2">
      <c r="B385" s="30"/>
    </row>
    <row r="387" spans="2:2">
      <c r="B387" s="3"/>
    </row>
    <row r="389" spans="2:2">
      <c r="B389" s="3"/>
    </row>
    <row r="1061" spans="3:3">
      <c r="C1061" s="3" t="str">
        <f>CONCATENATE("    This variant is a change at a specific point in the ",B1052," gene from ",B1061," to ",B1062,"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7" spans="3:3">
      <c r="C1067" s="3" t="str">
        <f>CONCATENATE("    This variant is a change at a specific point in the ",B1052," gene from ",B1067," to ",B1068,"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7" spans="3:3">
      <c r="C1197" s="3" t="str">
        <f>CONCATENATE("    This variant is a change at a specific point in the ",B1188," gene from ",B1197," to ",B1198,"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03" spans="3:3">
      <c r="C1203" s="3" t="str">
        <f>CONCATENATE("    This variant is a change at a specific point in the ",B1188," gene from ",B1203," to ",B1204,"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5" spans="3:3">
      <c r="C1605" s="3" t="str">
        <f>CONCATENATE("    This variant is a change at a specific point in the ",B1596," gene from ",B1605," to ",B1606,"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c r="C1611" s="3" t="str">
        <f>CONCATENATE("    This variant is a change at a specific point in the ",B1596," gene from ",B1611," to ",B1612,"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1" spans="3:3">
      <c r="C1741" s="3" t="str">
        <f>CONCATENATE("    This variant is a change at a specific point in the ",B1732," gene from ",B1741," to ",B1742,"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c r="C1747" s="3" t="str">
        <f>CONCATENATE("    This variant is a change at a specific point in the ",B1732," gene from ",B1747," to ",B1748,"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7" spans="3:3">
      <c r="C1877" s="3" t="str">
        <f>CONCATENATE("    This variant is a change at a specific point in the ",B1868," gene from ",B1877," to ",B1878,"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c r="C1883" s="3" t="str">
        <f>CONCATENATE("    This variant is a change at a specific point in the ",B1868," gene from ",B1883," to ",B1884,"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3" spans="3:3">
      <c r="C2013" s="3" t="str">
        <f>CONCATENATE("    This variant is a change at a specific point in the ",B2004," gene from ",B2013," to ",B2014,"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c r="C2019" s="3" t="str">
        <f>CONCATENATE("    This variant is a change at a specific point in the ",B2004," gene from ",B2019," to ",B2020,"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9" spans="3:3">
      <c r="C2149" s="3" t="str">
        <f>CONCATENATE("    This variant is a change at a specific point in the ",B2140," gene from ",B2149," to ",B2150,"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c r="C2155" s="3" t="str">
        <f>CONCATENATE("    This variant is a change at a specific point in the ",B2140," gene from ",B2155," to ",B2156,"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5" spans="3:3">
      <c r="C2285" s="3" t="str">
        <f>CONCATENATE("    This variant is a change at a specific point in the ",B2276," gene from ",B2285," to ",B2286,"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c r="C2291" s="3" t="str">
        <f>CONCATENATE("    This variant is a change at a specific point in the ",B2276," gene from ",B2291," to ",B2292,"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1" spans="3:3">
      <c r="C2421" s="3" t="str">
        <f>CONCATENATE("    This variant is a change at a specific point in the ",B2412," gene from ",B2421," to ",B2422,"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7" spans="3:3">
      <c r="C2427" s="3" t="str">
        <f>CONCATENATE("    This variant is a change at a specific point in the ",B2412," gene from ",B2427," to ",B2428,"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7" spans="3:3">
      <c r="C2557" s="3" t="str">
        <f>CONCATENATE("    This variant is a change at a specific point in the ",B2548," gene from ",B2557," to ",B2558,"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63" spans="3:3">
      <c r="C2563" s="3" t="str">
        <f>CONCATENATE("    This variant is a change at a specific point in the ",B2548," gene from ",B2563," to ",B2564,"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5800-0380-458E-9056-58818A8D8CB2}">
  <dimension ref="A1:AJ2563"/>
  <sheetViews>
    <sheetView workbookViewId="0">
      <selection activeCell="B74" sqref="B74"/>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s="15" t="s">
        <v>205</v>
      </c>
      <c r="C2" s="3" t="str">
        <f>CONCATENATE("&lt;",A2," ",B2," /&gt;")</f>
        <v>&lt;Gene_Name CHRNB4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206</v>
      </c>
      <c r="C4" s="3" t="str">
        <f>CONCATENATE("&lt;",A4," ",B4," /&gt;")</f>
        <v>&lt;GeneName_full neuronal acetylcholine receptor subunit beta-4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CHRNB4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213</v>
      </c>
      <c r="C8" s="3" t="str">
        <f>CONCATENATE(B8," This gene is located on chromosome ",B9,".")</f>
        <v>The [CHRNB4](http://www.uniprot.org/uniprot/P30926) gene creates a protein that is part of [nicotine receptor](https://www.ncbi.nlm.nih.gov/gene/1143). It also affects muscle contraction and the function of neurons. Variants in CHRNB4 have been linked to an increased risk of [lung cancer](https://www.ncbi.nlm.nih.gov/pubmed/18385738?dopt=Abstract) and [nicotine dependence](https://www.ncbi.nlm.nih.gov/pubmed/19443489). For ME/CFS patients, variants are associated with [severe cognitive and sleep symptoms](https://www.ncbi.nlm.nih.gov/pubmed/28633629) and decreased function of [natural killer cells (NKC)](https://www.ncbi.nlm.nih.gov/pubmed/27099524), a type of white blood cell that helps the body respond to viral infections. This gene is located on chromosome 15.</v>
      </c>
      <c r="I8" s="17"/>
      <c r="X8" s="18"/>
      <c r="Y8" s="16"/>
      <c r="Z8" s="16"/>
      <c r="AA8" s="16"/>
      <c r="AC8" s="16"/>
    </row>
    <row r="9" spans="1:36">
      <c r="A9" s="14" t="s">
        <v>6</v>
      </c>
      <c r="B9" s="2">
        <v>15</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s="15" t="s">
        <v>205</v>
      </c>
      <c r="C12" s="3" t="str">
        <f>CONCATENATE("&lt;GeneMap name= ",CHAR(34),B12,CHAR(34)," interval=",CHAR(34),B13,"=",CHAR(34),"&gt;")</f>
        <v>&lt;GeneMap name= "CHRNB4" interval="NC_000015.9:g.78916636_78933587="&gt;</v>
      </c>
      <c r="J12" s="23"/>
      <c r="K12" s="23"/>
      <c r="L12" s="23"/>
      <c r="M12" s="23"/>
      <c r="N12" s="23"/>
      <c r="O12" s="24"/>
      <c r="P12" s="25"/>
      <c r="Q12" s="24"/>
      <c r="R12" s="24"/>
      <c r="S12" s="25"/>
      <c r="T12" s="25"/>
      <c r="U12" s="24"/>
      <c r="V12" s="24"/>
      <c r="W12" s="25"/>
      <c r="X12" s="25"/>
      <c r="Y12" s="25"/>
      <c r="Z12" s="25"/>
    </row>
    <row r="13" spans="1:36">
      <c r="A13" s="14" t="s">
        <v>9</v>
      </c>
      <c r="B13" t="s">
        <v>204</v>
      </c>
      <c r="J13" s="15"/>
      <c r="K13" s="15"/>
      <c r="L13" s="15"/>
      <c r="M13" s="15"/>
      <c r="N13" s="15"/>
      <c r="O13" s="15"/>
      <c r="P13" s="15"/>
      <c r="Q13" s="15"/>
      <c r="R13" s="15"/>
      <c r="S13" s="15"/>
      <c r="T13" s="15"/>
      <c r="U13" s="15"/>
      <c r="V13" s="15"/>
      <c r="W13" s="15"/>
      <c r="X13" s="15"/>
      <c r="Y13" s="15"/>
      <c r="Z13" s="15"/>
    </row>
    <row r="14" spans="1:36">
      <c r="A14" s="14" t="s">
        <v>11</v>
      </c>
      <c r="B14" t="s">
        <v>89</v>
      </c>
      <c r="C14" s="3" t="str">
        <f>CONCATENATE("# What are some common variants of ",B12,"?")</f>
        <v># What are some common variants of CHRNB4?</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",B31,", and ",B40,".")</f>
        <v>A variant is a change at a specific point in the gene from the expected nucleotide sequence to another, resulting in incorrect protein function. There are three common variants in CHRNB4: [C78631645T](https://www.ncbi.nlm.nih.gov/projects/SNP/snp_ref.cgi?rs=17487223), [G78635922T](http://journals.sagepub.com/doi/10.4137/III.S25147), and [A78638168G](http://journals.sagepub.com/doi/10.4137/III.S25147).</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6" t="s">
        <v>214</v>
      </c>
      <c r="C18" s="3" t="str">
        <f>CONCATENATE("&lt;# ",B19," #&gt;")</f>
        <v>&lt;# C78631645T #&gt;</v>
      </c>
      <c r="J18" s="15"/>
      <c r="K18" s="15"/>
      <c r="L18" s="15"/>
      <c r="M18" s="15"/>
      <c r="N18" s="15"/>
      <c r="O18" s="15"/>
      <c r="P18" s="15"/>
      <c r="Q18" s="15"/>
      <c r="R18" s="15"/>
      <c r="S18" s="15"/>
      <c r="T18" s="15"/>
      <c r="U18" s="15"/>
      <c r="V18" s="15"/>
      <c r="W18" s="15"/>
      <c r="X18" s="15"/>
      <c r="Y18" s="15"/>
      <c r="Z18" s="15"/>
    </row>
    <row r="19" spans="1:26">
      <c r="A19" s="26" t="s">
        <v>15</v>
      </c>
      <c r="B19" s="29" t="s">
        <v>207</v>
      </c>
      <c r="J19" s="6"/>
      <c r="K19" s="15"/>
      <c r="L19" s="15"/>
      <c r="M19" s="15"/>
      <c r="N19" s="15"/>
      <c r="O19" s="15"/>
      <c r="P19" s="15"/>
      <c r="Q19" s="15"/>
      <c r="R19" s="15"/>
      <c r="S19" s="15"/>
      <c r="T19" s="15"/>
      <c r="U19" s="15"/>
      <c r="V19" s="15"/>
      <c r="W19" s="15"/>
      <c r="X19" s="15"/>
      <c r="Y19" s="15"/>
      <c r="Z19" s="15"/>
    </row>
    <row r="20" spans="1:26">
      <c r="A20" s="26" t="s">
        <v>17</v>
      </c>
      <c r="B20" s="15" t="str">
        <f>"cytosine (C)"</f>
        <v>cytosine (C)</v>
      </c>
      <c r="C20" s="3" t="str">
        <f>CONCATENATE("  &lt;Variant hgvs=",CHAR(34),B18,CHAR(34)," name=",CHAR(34),B19,CHAR(34),"&gt; ")</f>
        <v xml:space="preserve">  &lt;Variant hgvs="NC_000015.9:g.78923987C&gt;T" name="C78631645T"&gt; </v>
      </c>
      <c r="J20" s="2"/>
      <c r="K20" s="15"/>
      <c r="L20" s="15"/>
      <c r="M20" s="15"/>
      <c r="N20" s="15"/>
      <c r="O20" s="15"/>
      <c r="P20" s="15"/>
      <c r="Q20" s="15"/>
      <c r="R20" s="15"/>
      <c r="S20" s="15"/>
      <c r="T20" s="15"/>
      <c r="U20" s="15"/>
      <c r="V20" s="15"/>
      <c r="W20" s="15"/>
      <c r="X20" s="15"/>
      <c r="Y20" s="15"/>
      <c r="Z20" s="15"/>
    </row>
    <row r="21" spans="1:26">
      <c r="A21" s="26" t="s">
        <v>19</v>
      </c>
      <c r="B21" s="15" t="s">
        <v>20</v>
      </c>
      <c r="H21" s="15"/>
      <c r="I21" s="15"/>
      <c r="J21" s="2"/>
      <c r="K21" s="15"/>
      <c r="L21" s="15"/>
      <c r="M21" s="15"/>
      <c r="N21" s="15"/>
      <c r="O21" s="15"/>
      <c r="P21" s="15"/>
      <c r="Q21" s="15"/>
      <c r="R21" s="15"/>
      <c r="S21" s="15"/>
      <c r="T21" s="15"/>
      <c r="U21" s="15"/>
      <c r="V21" s="15"/>
      <c r="W21" s="15"/>
      <c r="X21" s="15"/>
      <c r="Y21" s="15"/>
      <c r="Z21" s="15"/>
    </row>
    <row r="22" spans="1:26">
      <c r="A22" s="26" t="s">
        <v>21</v>
      </c>
      <c r="B22" s="15" t="s">
        <v>208</v>
      </c>
      <c r="C22" s="3" t="str">
        <f>CONCATENATE("    Instead of ",B20,", there is an ",B21," nucleotide.")</f>
        <v xml:space="preserve">    Instead of cytosine (C), there is an thymine (T) nucleotide.</v>
      </c>
      <c r="H22" s="15"/>
      <c r="I22" s="15"/>
      <c r="J22" s="7"/>
      <c r="K22" s="15"/>
      <c r="L22" s="15"/>
      <c r="M22" s="15"/>
      <c r="N22" s="15"/>
      <c r="O22" s="15"/>
      <c r="P22" s="15"/>
      <c r="Q22" s="15"/>
      <c r="R22" s="15"/>
      <c r="S22" s="15"/>
      <c r="T22" s="15"/>
      <c r="U22" s="15"/>
      <c r="V22" s="15"/>
      <c r="W22" s="15"/>
      <c r="X22" s="15"/>
      <c r="Y22" s="15"/>
      <c r="Z22" s="15"/>
    </row>
    <row r="23" spans="1:26">
      <c r="A23" s="3" t="s">
        <v>64</v>
      </c>
      <c r="B23" s="6" t="s">
        <v>151</v>
      </c>
      <c r="H23" s="2"/>
      <c r="I23" s="2"/>
      <c r="J23" s="15"/>
      <c r="K23" s="15"/>
      <c r="L23" s="15"/>
      <c r="M23" s="15"/>
      <c r="N23" s="15"/>
      <c r="O23" s="15"/>
      <c r="P23" s="15"/>
      <c r="Q23" s="15"/>
      <c r="R23" s="15"/>
      <c r="S23" s="15"/>
      <c r="T23" s="15"/>
      <c r="U23" s="15"/>
      <c r="V23" s="15"/>
      <c r="W23" s="15"/>
      <c r="X23" s="15"/>
      <c r="Y23" s="15"/>
      <c r="Z23" s="15"/>
    </row>
    <row r="24" spans="1:26">
      <c r="A24" s="3" t="s">
        <v>51</v>
      </c>
      <c r="B24" s="7" t="s">
        <v>215</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216</v>
      </c>
      <c r="J25" s="6"/>
    </row>
    <row r="26" spans="1:26">
      <c r="A26" s="26"/>
      <c r="B26" s="7"/>
      <c r="J26" s="6"/>
    </row>
    <row r="27" spans="1:26">
      <c r="A27" s="14" t="s">
        <v>14</v>
      </c>
      <c r="B27" s="41" t="s">
        <v>217</v>
      </c>
      <c r="C27" s="3" t="str">
        <f>CONCATENATE("&lt;# ",B28," #&gt;")</f>
        <v>&lt;# G78635922T #&gt;</v>
      </c>
      <c r="J27" s="6"/>
    </row>
    <row r="28" spans="1:26">
      <c r="A28" s="26" t="s">
        <v>15</v>
      </c>
      <c r="B28" s="15" t="s">
        <v>209</v>
      </c>
      <c r="J28" s="2"/>
    </row>
    <row r="29" spans="1:26">
      <c r="A29" s="26" t="s">
        <v>17</v>
      </c>
      <c r="B29" s="15" t="s">
        <v>44</v>
      </c>
      <c r="C29" s="3" t="str">
        <f>CONCATENATE("  &lt;Variant hgvs=",CHAR(34),B27,CHAR(34)," name=",CHAR(34),B28,CHAR(34),"&gt; ")</f>
        <v xml:space="preserve">  &lt;Variant hgvs="NC_000015.9:g.78928264G&gt;T" name="G78635922T"&gt; </v>
      </c>
      <c r="J29" s="2"/>
    </row>
    <row r="30" spans="1:26">
      <c r="A30" s="26" t="s">
        <v>19</v>
      </c>
      <c r="B30" s="15" t="s">
        <v>20</v>
      </c>
      <c r="J30" s="7"/>
    </row>
    <row r="31" spans="1:26">
      <c r="A31" s="26" t="s">
        <v>21</v>
      </c>
      <c r="B31" s="15" t="s">
        <v>210</v>
      </c>
      <c r="C31" s="3" t="str">
        <f>CONCATENATE("    Instead of ",B29,", there is an ",B30," nucleotide.")</f>
        <v xml:space="preserve">    Instead of guanine (G), there is an thymine (T) nucleotide.</v>
      </c>
    </row>
    <row r="32" spans="1:26">
      <c r="A32" s="3" t="s">
        <v>64</v>
      </c>
      <c r="B32" s="3" t="s">
        <v>151</v>
      </c>
      <c r="J32" s="7"/>
    </row>
    <row r="33" spans="1:13">
      <c r="A33" s="3" t="s">
        <v>51</v>
      </c>
      <c r="B33" s="3" t="s">
        <v>218</v>
      </c>
      <c r="C33" s="3" t="str">
        <f>"  &lt;/Variant&gt;"</f>
        <v xml:space="preserve">  &lt;/Variant&gt;</v>
      </c>
      <c r="J33" s="7"/>
    </row>
    <row r="34" spans="1:13">
      <c r="A34" s="26" t="s">
        <v>52</v>
      </c>
      <c r="B34" s="7" t="s">
        <v>219</v>
      </c>
    </row>
    <row r="35" spans="1:13">
      <c r="B35" s="3"/>
    </row>
    <row r="36" spans="1:13">
      <c r="A36" s="14" t="s">
        <v>14</v>
      </c>
      <c r="B36" s="41" t="s">
        <v>220</v>
      </c>
      <c r="C36" s="3" t="str">
        <f>CONCATENATE("&lt;# ",B37," #&gt;")</f>
        <v>&lt;# A78638168G #&gt;</v>
      </c>
      <c r="J36" s="6"/>
    </row>
    <row r="37" spans="1:13">
      <c r="A37" s="26" t="s">
        <v>15</v>
      </c>
      <c r="B37" s="15" t="s">
        <v>211</v>
      </c>
      <c r="J37" s="2"/>
    </row>
    <row r="38" spans="1:13">
      <c r="A38" s="26" t="s">
        <v>17</v>
      </c>
      <c r="B38" s="15" t="s">
        <v>24</v>
      </c>
      <c r="C38" s="3" t="str">
        <f>CONCATENATE("  &lt;Variant hgvs=",CHAR(34),B36,CHAR(34)," name=",CHAR(34),B37,CHAR(34),"&gt; ")</f>
        <v xml:space="preserve">  &lt;Variant hgvs="NC_000015.9:g.78930510A&gt;G" name="A78638168G"&gt; </v>
      </c>
      <c r="J38" s="2"/>
    </row>
    <row r="39" spans="1:13">
      <c r="A39" s="26" t="s">
        <v>19</v>
      </c>
      <c r="B39" s="15" t="s">
        <v>44</v>
      </c>
      <c r="J39" s="7"/>
    </row>
    <row r="40" spans="1:13">
      <c r="A40" s="26" t="s">
        <v>21</v>
      </c>
      <c r="B40" s="15" t="s">
        <v>212</v>
      </c>
      <c r="C40" s="3" t="str">
        <f>CONCATENATE("    Instead of ",B38,", there is a ",B39," nucleotide.")</f>
        <v xml:space="preserve">    Instead of adenine (A), there is a guanine (G) nucleotide.</v>
      </c>
    </row>
    <row r="41" spans="1:13">
      <c r="A41" s="3" t="s">
        <v>64</v>
      </c>
      <c r="B41" s="3" t="s">
        <v>151</v>
      </c>
      <c r="J41" s="7"/>
    </row>
    <row r="42" spans="1:13">
      <c r="A42" s="3" t="s">
        <v>51</v>
      </c>
      <c r="B42" s="3" t="s">
        <v>221</v>
      </c>
      <c r="C42" s="3" t="str">
        <f>"  &lt;/Variant&gt;"</f>
        <v xml:space="preserve">  &lt;/Variant&gt;</v>
      </c>
      <c r="J42" s="7"/>
    </row>
    <row r="43" spans="1:13">
      <c r="A43" s="26" t="s">
        <v>52</v>
      </c>
      <c r="B43" s="7" t="s">
        <v>222</v>
      </c>
    </row>
    <row r="44" spans="1:13">
      <c r="B44" s="3"/>
    </row>
    <row r="45" spans="1:13" s="21" customFormat="1">
      <c r="A45" s="28"/>
      <c r="B45" s="20"/>
    </row>
    <row r="46" spans="1:13" s="10" customFormat="1" ht="16.5" thickBot="1">
      <c r="A46" s="32"/>
      <c r="B46" s="33"/>
      <c r="C46" s="34" t="s">
        <v>368</v>
      </c>
      <c r="L46" s="38"/>
    </row>
    <row r="47" spans="1:13" s="10" customFormat="1" ht="16.5" thickBot="1">
      <c r="A47" s="32"/>
      <c r="B47" s="33"/>
      <c r="K47" s="45" t="s">
        <v>226</v>
      </c>
      <c r="L47" s="45" t="s">
        <v>227</v>
      </c>
      <c r="M47" s="46" t="s">
        <v>228</v>
      </c>
    </row>
    <row r="48" spans="1:13" s="21" customFormat="1" ht="16.5" thickBot="1">
      <c r="A48" s="28" t="s">
        <v>69</v>
      </c>
      <c r="B48" s="20" t="str">
        <f>CONCATENATE(B19," (C;T)")</f>
        <v>C78631645T (C;T)</v>
      </c>
      <c r="C48" s="21" t="str">
        <f>CONCATENATE("&lt;# ",B48," #&gt;")</f>
        <v>&lt;# C78631645T (C;T) #&gt;</v>
      </c>
      <c r="K48" s="21" t="str">
        <f>B19</f>
        <v>C78631645T</v>
      </c>
      <c r="L48" s="21" t="str">
        <f>B28</f>
        <v>G78635922T</v>
      </c>
      <c r="M48" s="21" t="str">
        <f>B37</f>
        <v>A78638168G</v>
      </c>
    </row>
    <row r="49" spans="1:17" s="10" customFormat="1" ht="16.5" thickBot="1">
      <c r="A49" s="3" t="s">
        <v>21</v>
      </c>
      <c r="B49" s="29" t="str">
        <f>K52</f>
        <v>NC_000015.9:g.[78923987C&gt;T];[78923987=]</v>
      </c>
      <c r="J49" s="3"/>
      <c r="K49" s="22" t="str">
        <f>B23</f>
        <v>NC_000015.9:g.</v>
      </c>
      <c r="L49" s="22" t="str">
        <f>B32</f>
        <v>NC_000015.9:g.</v>
      </c>
      <c r="M49" s="10" t="str">
        <f>B41</f>
        <v>NC_000015.9:g.</v>
      </c>
      <c r="N49" s="45"/>
      <c r="O49" s="15"/>
      <c r="P49" s="15"/>
      <c r="Q49" s="15"/>
    </row>
    <row r="50" spans="1:17" ht="16.5" thickBot="1">
      <c r="B50" s="29"/>
      <c r="C50" s="3" t="str">
        <f>CONCATENATE("  &lt;Analysis name=",CHAR(34),B48,CHAR(34))</f>
        <v xml:space="preserve">  &lt;Analysis name="C78631645T (C;T)"</v>
      </c>
      <c r="J50" s="3" t="s">
        <v>21</v>
      </c>
      <c r="K50" s="15" t="str">
        <f>B24</f>
        <v>[78923987C&gt;T]</v>
      </c>
      <c r="L50" s="22" t="str">
        <f>B33</f>
        <v>[78928264G&gt;T]</v>
      </c>
      <c r="M50" s="10" t="str">
        <f t="shared" ref="M50:M51" si="0">B42</f>
        <v>[78930510A&gt;G]</v>
      </c>
      <c r="N50" s="45"/>
      <c r="O50" s="15"/>
      <c r="P50" s="15"/>
      <c r="Q50" s="15"/>
    </row>
    <row r="51" spans="1:17" ht="16.5" thickBot="1">
      <c r="A51" s="5" t="s">
        <v>27</v>
      </c>
      <c r="B51" s="2" t="str">
        <f>CONCATENATE("People with this variant have one copy of the ",B22,"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C51" s="3" t="str">
        <f>CONCATENATE("            case={  variantCall ",CHAR(40),CHAR(34),K52,CHAR(34),CHAR(41))</f>
        <v xml:space="preserve">            case={  variantCall ("NC_000015.9:g.[78923987C&gt;T];[78923987=]")</v>
      </c>
      <c r="J51" s="3" t="s">
        <v>52</v>
      </c>
      <c r="K51" s="15" t="str">
        <f>B25</f>
        <v>[78923987=]</v>
      </c>
      <c r="L51" s="22" t="str">
        <f>B34</f>
        <v>[78928264=]</v>
      </c>
      <c r="M51" s="10" t="str">
        <f t="shared" si="0"/>
        <v>[78930510=]</v>
      </c>
      <c r="N51" s="46"/>
      <c r="Q51" s="15"/>
    </row>
    <row r="52" spans="1:17" ht="409.5">
      <c r="A52" s="1" t="s">
        <v>28</v>
      </c>
      <c r="B52" s="43" t="s">
        <v>224</v>
      </c>
      <c r="C52" s="3" t="s">
        <v>70</v>
      </c>
      <c r="J52" s="3" t="s">
        <v>62</v>
      </c>
      <c r="K52" s="15" t="str">
        <f>CONCATENATE(K49,K50,";",K51)</f>
        <v>NC_000015.9:g.[78923987C&gt;T];[78923987=]</v>
      </c>
      <c r="L52" s="15" t="str">
        <f>CONCATENATE(L49,L50,";",L51)</f>
        <v>NC_000015.9:g.[78928264G&gt;T];[78928264=]</v>
      </c>
      <c r="M52" s="15" t="str">
        <f>CONCATENATE(M49,M50,";",M51)</f>
        <v>NC_000015.9:g.[78930510A&gt;G];[78930510=]</v>
      </c>
      <c r="O52" s="15"/>
      <c r="P52" s="15"/>
      <c r="Q52" s="15"/>
    </row>
    <row r="53" spans="1:17">
      <c r="A53" s="3" t="s">
        <v>72</v>
      </c>
      <c r="B53" s="29">
        <f>K55</f>
        <v>29</v>
      </c>
      <c r="C53" s="3" t="str">
        <f>CONCATENATE("                    ",CHAR(40),"variantCall ",CHAR(40),CHAR(34),L54,CHAR(34),CHAR(41)," OR variantCall ",CHAR(40),CHAR(34),L52,CHAR(34),CHAR(41),CHAR(41))</f>
        <v xml:space="preserve">                    (variantCall ("NC_000015.9:g.[78928264=];[78928264=]") OR variantCall ("NC_000015.9:g.[78928264G&gt;T];[78928264=]"))</v>
      </c>
      <c r="J53" s="3" t="s">
        <v>63</v>
      </c>
      <c r="K53" s="15" t="str">
        <f>CONCATENATE(K49,K50,";",K50)</f>
        <v>NC_000015.9:g.[78923987C&gt;T];[78923987C&gt;T]</v>
      </c>
      <c r="L53" s="15" t="str">
        <f>CONCATENATE(L49,L50,";",L50)</f>
        <v>NC_000015.9:g.[78928264G&gt;T];[78928264G&gt;T]</v>
      </c>
      <c r="M53" s="15" t="str">
        <f>CONCATENATE(M49,M50,";",M50)</f>
        <v>NC_000015.9:g.[78930510A&gt;G];[78930510A&gt;G]</v>
      </c>
      <c r="O53" s="15"/>
      <c r="P53" s="15"/>
      <c r="Q53" s="15"/>
    </row>
    <row r="54" spans="1:17">
      <c r="C54" s="3" t="s">
        <v>70</v>
      </c>
      <c r="J54" s="3" t="s">
        <v>52</v>
      </c>
      <c r="K54" s="2" t="str">
        <f>CONCATENATE(K49,K51,";",K51)</f>
        <v>NC_000015.9:g.[78923987=];[78923987=]</v>
      </c>
      <c r="L54" s="2" t="str">
        <f>CONCATENATE(L49,L51,";",L51)</f>
        <v>NC_000015.9:g.[78928264=];[78928264=]</v>
      </c>
      <c r="M54" s="2" t="str">
        <f>CONCATENATE(M49,M51,";",M51)</f>
        <v>NC_000015.9:g.[78930510=];[78930510=]</v>
      </c>
      <c r="O54" s="15"/>
      <c r="P54" s="15"/>
      <c r="Q54" s="15"/>
    </row>
    <row r="55" spans="1:17">
      <c r="C55" s="3" t="str">
        <f>CONCATENATE("                    ",CHAR(40),"variantCall ",CHAR(40),CHAR(34),M54,CHAR(34),CHAR(41)," OR variantCall ",CHAR(40),CHAR(34),M53,CHAR(34),CHAR(41),CHAR(41))</f>
        <v xml:space="preserve">                    (variantCall ("NC_000015.9:g.[78930510=];[78930510=]") OR variantCall ("NC_000015.9:g.[78930510A&gt;G];[78930510A&gt;G]"))</v>
      </c>
      <c r="J55" s="3" t="s">
        <v>66</v>
      </c>
      <c r="K55" s="15">
        <v>29</v>
      </c>
      <c r="L55" s="15">
        <v>48.5</v>
      </c>
      <c r="M55" s="15">
        <v>44.3</v>
      </c>
      <c r="O55" s="15"/>
      <c r="P55" s="15"/>
      <c r="Q55" s="15"/>
    </row>
    <row r="56" spans="1:17">
      <c r="A56" s="14"/>
      <c r="C56" s="3" t="str">
        <f>CONCATENATE("                  } &gt; ")</f>
        <v xml:space="preserve">                  } &gt; </v>
      </c>
      <c r="J56" s="3" t="s">
        <v>67</v>
      </c>
      <c r="K56" s="15">
        <v>10.4</v>
      </c>
      <c r="L56" s="15">
        <v>29.2</v>
      </c>
      <c r="M56" s="15">
        <v>38.200000000000003</v>
      </c>
    </row>
    <row r="57" spans="1:17">
      <c r="A57" s="26"/>
      <c r="J57" s="3" t="s">
        <v>68</v>
      </c>
      <c r="K57" s="15">
        <v>60.6</v>
      </c>
      <c r="L57" s="15">
        <v>22.3</v>
      </c>
      <c r="M57" s="15">
        <v>17.5</v>
      </c>
    </row>
    <row r="58" spans="1:17">
      <c r="A58" s="14"/>
      <c r="C58" s="3" t="s">
        <v>26</v>
      </c>
      <c r="K58"/>
      <c r="L58" s="2"/>
      <c r="M58" s="2"/>
    </row>
    <row r="59" spans="1:17">
      <c r="A59" s="14"/>
      <c r="K59" s="15"/>
      <c r="L59" s="15"/>
      <c r="M59" s="15"/>
    </row>
    <row r="60" spans="1:17">
      <c r="A60" s="26"/>
      <c r="C60" s="3" t="str">
        <f>CONCATENATE("    ",B51)</f>
        <v xml:space="preserve">    People with this variant have one copy of the [C78631645T](https://www.ncbi.nlm.nih.gov/projects/SNP/snp_ref.cgi?rs=17487223) variant. This substitution of a single nucleotide is known as a missense mutation.</v>
      </c>
      <c r="K60" s="15"/>
      <c r="L60" s="15"/>
      <c r="M60" s="15"/>
    </row>
    <row r="61" spans="1:17">
      <c r="A61" s="14"/>
      <c r="K61" s="2"/>
      <c r="L61" s="2"/>
      <c r="M61" s="2"/>
    </row>
    <row r="62" spans="1:17">
      <c r="A62" s="14"/>
      <c r="C62" s="3" t="s">
        <v>29</v>
      </c>
    </row>
    <row r="63" spans="1:17">
      <c r="A63" s="14"/>
    </row>
    <row r="64" spans="1:17">
      <c r="A64" s="14"/>
      <c r="C64" s="3" t="str">
        <f>CONCATENATE(B52)</f>
        <v xml:space="preserve">    CHRN genes play a large role in the risk for nicotine dependence, smoking, and lung cancer. This CHRNB4 variant is associated:
    - [Higher risk of habitual smoking in Caucasians](https://www.ncbi.nlm.nih.gov/pubmed/18519524?dopt=Abstract) 
    - [1.45X](https://www.ncbi.nlm.nih.gov/pubmed/19259974?dopt=Abstract) higher risk for a risk of heavy smoking 
    - [1.33 higher risk](https://www.ncbi.nlm.nih.gov/pubmed/19259974?dopt=Abstract) of [nicotine dependence](https://www.ncbi.nlm.nih.gov/pubmed/19443489?dopt=Abstract) 
    - Increased susceptibility to [lung cancer](https://www.ncbi.nlm.nih.gov/pubmed/18385738?dopt=Abstract). 
    For ME/CFS patients, [previous and current smoking](https://www.ncbi.nlm.nih.gov/pubmed/25811400) are associated with a [3X higher risk of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including [abdominal pain, stress, fainting, depression, muscle weakness, muscle twitching, headache, and dizziness](https://medlineplus.gov/ency/article/002510.htm), which may be worsened by smoking.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v>
      </c>
    </row>
    <row r="65" spans="1:13">
      <c r="A65" s="26"/>
    </row>
    <row r="66" spans="1:13">
      <c r="A66" s="26"/>
      <c r="C66" s="3" t="s">
        <v>30</v>
      </c>
    </row>
    <row r="67" spans="1:13">
      <c r="A67" s="26"/>
    </row>
    <row r="68" spans="1:13">
      <c r="A68" s="26"/>
      <c r="C68" s="3" t="str">
        <f>CONCATENATE( "    &lt;piechart percentage=",B53," /&gt;")</f>
        <v xml:space="preserve">    &lt;piechart percentage=29 /&gt;</v>
      </c>
    </row>
    <row r="69" spans="1:13">
      <c r="A69" s="26"/>
      <c r="C69" s="3" t="str">
        <f>"  &lt;/Analysis&gt;"</f>
        <v xml:space="preserve">  &lt;/Analysis&gt;</v>
      </c>
      <c r="K69" s="3" t="str">
        <f t="shared" ref="K69:M71" si="1">K47</f>
        <v>rs17487223</v>
      </c>
      <c r="L69" s="3" t="str">
        <f t="shared" si="1"/>
        <v>rs12441088</v>
      </c>
      <c r="M69" s="3" t="str">
        <f t="shared" si="1"/>
        <v>rs1316971</v>
      </c>
    </row>
    <row r="70" spans="1:13" s="21" customFormat="1">
      <c r="A70" s="28" t="s">
        <v>69</v>
      </c>
      <c r="B70" s="20" t="str">
        <f>CONCATENATE(B19," (T;T)")</f>
        <v>C78631645T (T;T)</v>
      </c>
      <c r="C70" s="21" t="str">
        <f>CONCATENATE("&lt;# ",B70," #&gt;")</f>
        <v>&lt;# C78631645T (T;T) #&gt;</v>
      </c>
      <c r="K70" s="21" t="str">
        <f t="shared" si="1"/>
        <v>C78631645T</v>
      </c>
      <c r="L70" s="21" t="str">
        <f t="shared" si="1"/>
        <v>G78635922T</v>
      </c>
      <c r="M70" s="21" t="str">
        <f t="shared" si="1"/>
        <v>A78638168G</v>
      </c>
    </row>
    <row r="71" spans="1:13">
      <c r="A71" s="3" t="s">
        <v>21</v>
      </c>
      <c r="B71" s="29" t="str">
        <f>K53</f>
        <v>NC_000015.9:g.[78923987C&gt;T];[78923987C&gt;T]</v>
      </c>
      <c r="C71" s="10"/>
      <c r="K71" s="3" t="str">
        <f t="shared" si="1"/>
        <v>NC_000015.9:g.</v>
      </c>
      <c r="L71" s="3" t="str">
        <f t="shared" si="1"/>
        <v>NC_000015.9:g.</v>
      </c>
      <c r="M71" s="3" t="str">
        <f t="shared" si="1"/>
        <v>NC_000015.9:g.</v>
      </c>
    </row>
    <row r="72" spans="1:13">
      <c r="B72" s="29"/>
      <c r="C72" s="3" t="str">
        <f>CONCATENATE("  &lt;Analysis name=",CHAR(34),B70,CHAR(34))</f>
        <v xml:space="preserve">  &lt;Analysis name="C78631645T (T;T)"</v>
      </c>
      <c r="J72" s="3" t="str">
        <f t="shared" ref="J72:M79" si="2">J50</f>
        <v>Variant</v>
      </c>
      <c r="K72" s="3" t="str">
        <f t="shared" si="2"/>
        <v>[78923987C&gt;T]</v>
      </c>
      <c r="L72" s="3" t="str">
        <f t="shared" si="2"/>
        <v>[78928264G&gt;T]</v>
      </c>
      <c r="M72" s="3" t="str">
        <f t="shared" si="2"/>
        <v>[78930510A&gt;G]</v>
      </c>
    </row>
    <row r="73" spans="1:13">
      <c r="A73" s="5" t="s">
        <v>74</v>
      </c>
      <c r="B73" s="2" t="str">
        <f>CONCATENATE("People with this variant have two copies of the ",B22,"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C73" s="3" t="str">
        <f>CONCATENATE("            case={  variantCall ",CHAR(40),CHAR(34),B71,CHAR(34),CHAR(41))</f>
        <v xml:space="preserve">            case={  variantCall ("NC_000015.9:g.[78923987C&gt;T];[78923987C&gt;T]")</v>
      </c>
      <c r="J73" s="3" t="str">
        <f t="shared" si="2"/>
        <v>Wildtype</v>
      </c>
      <c r="K73" s="3" t="str">
        <f t="shared" si="2"/>
        <v>[78923987=]</v>
      </c>
      <c r="L73" s="3" t="str">
        <f t="shared" si="2"/>
        <v>[78928264=]</v>
      </c>
      <c r="M73" s="3" t="str">
        <f t="shared" si="2"/>
        <v>[78930510=]</v>
      </c>
    </row>
    <row r="74" spans="1:13">
      <c r="A74" s="1" t="s">
        <v>28</v>
      </c>
      <c r="B74" s="29" t="s">
        <v>223</v>
      </c>
      <c r="C74" s="3" t="s">
        <v>70</v>
      </c>
      <c r="J74" s="3" t="str">
        <f t="shared" si="2"/>
        <v>Het</v>
      </c>
      <c r="K74" s="3" t="str">
        <f t="shared" si="2"/>
        <v>NC_000015.9:g.[78923987C&gt;T];[78923987=]</v>
      </c>
      <c r="L74" s="3" t="str">
        <f t="shared" si="2"/>
        <v>NC_000015.9:g.[78928264G&gt;T];[78928264=]</v>
      </c>
      <c r="M74" s="3" t="str">
        <f t="shared" si="2"/>
        <v>NC_000015.9:g.[78930510A&gt;G];[78930510=]</v>
      </c>
    </row>
    <row r="75" spans="1:13">
      <c r="A75" s="3" t="s">
        <v>72</v>
      </c>
      <c r="B75" s="29">
        <f>K56</f>
        <v>10.4</v>
      </c>
      <c r="C75" s="3" t="str">
        <f>CONCATENATE("                    ",CHAR(40),"variantCall ",CHAR(40),CHAR(34),L76,CHAR(34),CHAR(41)," OR variantCall ",CHAR(40),CHAR(34),L74,CHAR(34),CHAR(41),CHAR(41))</f>
        <v xml:space="preserve">                    (variantCall ("NC_000015.9:g.[78928264=];[78928264=]") OR variantCall ("NC_000015.9:g.[78928264G&gt;T];[78928264=]"))</v>
      </c>
      <c r="J75" s="3" t="str">
        <f t="shared" si="2"/>
        <v>Homo</v>
      </c>
      <c r="K75" s="3" t="str">
        <f t="shared" si="2"/>
        <v>NC_000015.9:g.[78923987C&gt;T];[78923987C&gt;T]</v>
      </c>
      <c r="L75" s="3" t="str">
        <f t="shared" si="2"/>
        <v>NC_000015.9:g.[78928264G&gt;T];[78928264G&gt;T]</v>
      </c>
      <c r="M75" s="3" t="str">
        <f t="shared" si="2"/>
        <v>NC_000015.9:g.[78930510A&gt;G];[78930510A&gt;G]</v>
      </c>
    </row>
    <row r="76" spans="1:13">
      <c r="C76" s="3" t="s">
        <v>70</v>
      </c>
      <c r="J76" s="3" t="str">
        <f t="shared" si="2"/>
        <v>Wildtype</v>
      </c>
      <c r="K76" s="3" t="str">
        <f t="shared" si="2"/>
        <v>NC_000015.9:g.[78923987=];[78923987=]</v>
      </c>
      <c r="L76" s="3" t="str">
        <f t="shared" si="2"/>
        <v>NC_000015.9:g.[78928264=];[78928264=]</v>
      </c>
      <c r="M76" s="3" t="str">
        <f t="shared" si="2"/>
        <v>NC_000015.9:g.[78930510=];[78930510=]</v>
      </c>
    </row>
    <row r="77" spans="1:13">
      <c r="C77" s="3" t="str">
        <f>CONCATENATE("                    ",CHAR(40),"variantCall ",CHAR(40),CHAR(34),M76,CHAR(34),CHAR(41)," OR variantCall ",CHAR(40),CHAR(34),M75,CHAR(34),CHAR(41),CHAR(41))</f>
        <v xml:space="preserve">                    (variantCall ("NC_000015.9:g.[78930510=];[78930510=]") OR variantCall ("NC_000015.9:g.[78930510A&gt;G];[78930510A&gt;G]"))</v>
      </c>
      <c r="J77" s="3" t="str">
        <f t="shared" si="2"/>
        <v>Het%</v>
      </c>
      <c r="K77" s="3">
        <f t="shared" si="2"/>
        <v>29</v>
      </c>
      <c r="L77" s="3">
        <f t="shared" si="2"/>
        <v>48.5</v>
      </c>
      <c r="M77" s="3">
        <f t="shared" si="2"/>
        <v>44.3</v>
      </c>
    </row>
    <row r="78" spans="1:13">
      <c r="A78" s="14"/>
      <c r="C78" s="3" t="str">
        <f>CONCATENATE("                  } &gt; ")</f>
        <v xml:space="preserve">                  } &gt; </v>
      </c>
      <c r="J78" s="3" t="str">
        <f t="shared" si="2"/>
        <v>Homo%</v>
      </c>
      <c r="K78" s="3">
        <f t="shared" si="2"/>
        <v>10.4</v>
      </c>
      <c r="L78" s="3">
        <f t="shared" si="2"/>
        <v>29.2</v>
      </c>
      <c r="M78" s="3">
        <f t="shared" si="2"/>
        <v>38.200000000000003</v>
      </c>
    </row>
    <row r="79" spans="1:13">
      <c r="A79" s="26"/>
      <c r="J79" s="3" t="str">
        <f t="shared" si="2"/>
        <v>Wildtype%</v>
      </c>
      <c r="K79" s="3">
        <f t="shared" si="2"/>
        <v>60.6</v>
      </c>
      <c r="L79" s="3">
        <f t="shared" si="2"/>
        <v>22.3</v>
      </c>
      <c r="M79" s="3">
        <f t="shared" si="2"/>
        <v>17.5</v>
      </c>
    </row>
    <row r="80" spans="1:13">
      <c r="A80" s="14"/>
      <c r="C80" s="3" t="s">
        <v>26</v>
      </c>
    </row>
    <row r="81" spans="1:13">
      <c r="A81" s="14"/>
    </row>
    <row r="82" spans="1:13">
      <c r="A82" s="26"/>
      <c r="C82" s="3" t="str">
        <f>CONCATENATE("    ",B73)</f>
        <v xml:space="preserve">    People with this variant have two copies of the [C78631645T](https://www.ncbi.nlm.nih.gov/projects/SNP/snp_ref.cgi?rs=17487223) variant. This substitution of a single nucleotide is known as a missense mutation.</v>
      </c>
    </row>
    <row r="83" spans="1:13">
      <c r="A83" s="14"/>
    </row>
    <row r="84" spans="1:13">
      <c r="A84" s="14"/>
      <c r="C84" s="3" t="s">
        <v>29</v>
      </c>
    </row>
    <row r="85" spans="1:13">
      <c r="A85" s="14"/>
    </row>
    <row r="86" spans="1:13">
      <c r="A86" s="14"/>
      <c r="C86" s="3" t="str">
        <f>CONCATENATE(B74)</f>
        <v xml:space="preserve">    CHRN genes play a large role in the risk for nicotine dependence, smoking, and lung cancer. This homozygous CHRNB4 variant is associated with:
    - A [much higher risk of habitual smoking in Caucasians](https://www.ncbi.nlm.nih.gov/pubmed/18519524?dopt=Abstract) 
    - [1.64X higher](https://www.ncbi.nlm.nih.gov/pubmed/19259974?dopt=Abstract) risk of heavy smoking 
    - [1.33X higher risk](https://www.ncbi.nlm.nih.gov/pubmed/19259974?dopt=Abstract) of [nicotine dependence](https://www.ncbi.nlm.nih.gov/pubmed/19443489?dopt=Abstract) 
    - 1.28X greater risk of [lung cancer](https://www.ncbi.nlm.nih.gov/pubmed/18385738?dopt=Abstract). 
    For ME/CFS patients, [previous and current smoking](https://www.ncbi.nlm.nih.gov/pubmed/25811400) are associated with [3X higher risk of severe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such as [abdominal pain, stress, fainting, depression, muscle weakness, muscle twitching, headache, and dizziness](https://medlineplus.gov/ency/article/002510.htm), and smoking may lead to a worsening of these symptoms.
    # What should I do about this?
    People should not smoke. If you do smoke, be aware of your risk for dependency or increased difficulty of quitting smoking. Consider regular checks for lung cancer. Avoid [radiation, toxins such as heavy metal](https://www.cancer.gov/types/lung/patient/lung-prevention-pdq#section/all), and eat more [yellow and orange fruits and vegetables](https://www.cancer.gov/types/lung/patient/lung-prevention-pdq#section/all).
    Consult your physician on [medications](http://www.uniprot.org/uniprot/P30926) that act on variants in CHRNB4, including [Dextromethorphan](https://www.drugbank.ca/drugs/DB00514), [Ethanol](https://www.drugbank.ca/drugs/DB00898), [Galantamine](https://www.drugbank.ca/drugs/DB00674), [Levomethadyl acetate](https://www.drugbank.ca/drugs/DB01227), [Nicotine](https://www.drugbank.ca/drugs/DB00184), and [Pentolinium](https://www.drugbank.ca/drugs/DB01090).</v>
      </c>
    </row>
    <row r="87" spans="1:13">
      <c r="A87" s="26"/>
    </row>
    <row r="88" spans="1:13">
      <c r="A88" s="26"/>
      <c r="C88" s="3" t="s">
        <v>30</v>
      </c>
    </row>
    <row r="89" spans="1:13">
      <c r="A89" s="26"/>
    </row>
    <row r="90" spans="1:13">
      <c r="A90" s="26"/>
      <c r="C90" s="3" t="str">
        <f>CONCATENATE( "    &lt;piechart percentage=",B75," /&gt;")</f>
        <v xml:space="preserve">    &lt;piechart percentage=10.4 /&gt;</v>
      </c>
    </row>
    <row r="91" spans="1:13">
      <c r="A91" s="26"/>
      <c r="C91" s="3" t="str">
        <f>"  &lt;/Analysis&gt;"</f>
        <v xml:space="preserve">  &lt;/Analysis&gt;</v>
      </c>
      <c r="K91" s="3" t="str">
        <f t="shared" ref="K91:M93" si="3">K69</f>
        <v>rs17487223</v>
      </c>
      <c r="L91" s="3" t="str">
        <f t="shared" si="3"/>
        <v>rs12441088</v>
      </c>
      <c r="M91" s="3" t="str">
        <f t="shared" si="3"/>
        <v>rs1316971</v>
      </c>
    </row>
    <row r="92" spans="1:13" s="21" customFormat="1">
      <c r="A92" s="28"/>
      <c r="B92" s="20"/>
      <c r="K92" s="21" t="str">
        <f t="shared" si="3"/>
        <v>C78631645T</v>
      </c>
      <c r="L92" s="21" t="str">
        <f t="shared" si="3"/>
        <v>G78635922T</v>
      </c>
      <c r="M92" s="21" t="str">
        <f t="shared" si="3"/>
        <v>A78638168G</v>
      </c>
    </row>
    <row r="93" spans="1:13" s="10" customFormat="1">
      <c r="A93" s="3"/>
      <c r="B93" s="29"/>
      <c r="J93" s="3"/>
      <c r="K93" s="22" t="str">
        <f t="shared" si="3"/>
        <v>NC_000015.9:g.</v>
      </c>
      <c r="L93" s="22" t="str">
        <f t="shared" si="3"/>
        <v>NC_000015.9:g.</v>
      </c>
      <c r="M93" s="10" t="str">
        <f t="shared" si="3"/>
        <v>NC_000015.9:g.</v>
      </c>
    </row>
    <row r="94" spans="1:13">
      <c r="B94" s="29"/>
      <c r="J94" s="3" t="str">
        <f t="shared" ref="J94:M101" si="4">J72</f>
        <v>Variant</v>
      </c>
      <c r="K94" s="15" t="str">
        <f t="shared" si="4"/>
        <v>[78923987C&gt;T]</v>
      </c>
      <c r="L94" s="22" t="str">
        <f t="shared" si="4"/>
        <v>[78928264G&gt;T]</v>
      </c>
      <c r="M94" s="3" t="str">
        <f t="shared" si="4"/>
        <v>[78930510A&gt;G]</v>
      </c>
    </row>
    <row r="95" spans="1:13">
      <c r="A95" s="5"/>
      <c r="B95" s="2"/>
      <c r="J95" s="3" t="str">
        <f t="shared" si="4"/>
        <v>Wildtype</v>
      </c>
      <c r="K95" s="15" t="str">
        <f t="shared" si="4"/>
        <v>[78923987=]</v>
      </c>
      <c r="L95" s="22" t="str">
        <f t="shared" si="4"/>
        <v>[78928264=]</v>
      </c>
      <c r="M95" s="3" t="str">
        <f t="shared" si="4"/>
        <v>[78930510=]</v>
      </c>
    </row>
    <row r="96" spans="1:13">
      <c r="A96" s="1"/>
      <c r="B96" s="2"/>
      <c r="J96" s="3" t="str">
        <f t="shared" si="4"/>
        <v>Het</v>
      </c>
      <c r="K96" s="15" t="str">
        <f t="shared" si="4"/>
        <v>NC_000015.9:g.[78923987C&gt;T];[78923987=]</v>
      </c>
      <c r="L96" s="15" t="str">
        <f t="shared" si="4"/>
        <v>NC_000015.9:g.[78928264G&gt;T];[78928264=]</v>
      </c>
      <c r="M96" s="3" t="str">
        <f t="shared" si="4"/>
        <v>NC_000015.9:g.[78930510A&gt;G];[78930510=]</v>
      </c>
    </row>
    <row r="97" spans="1:13">
      <c r="B97" s="29"/>
      <c r="J97" s="3" t="str">
        <f t="shared" si="4"/>
        <v>Homo</v>
      </c>
      <c r="K97" s="15" t="str">
        <f t="shared" si="4"/>
        <v>NC_000015.9:g.[78923987C&gt;T];[78923987C&gt;T]</v>
      </c>
      <c r="L97" s="15" t="str">
        <f t="shared" si="4"/>
        <v>NC_000015.9:g.[78928264G&gt;T];[78928264G&gt;T]</v>
      </c>
      <c r="M97" s="3" t="str">
        <f t="shared" si="4"/>
        <v>NC_000015.9:g.[78930510A&gt;G];[78930510A&gt;G]</v>
      </c>
    </row>
    <row r="98" spans="1:13">
      <c r="B98" s="29"/>
      <c r="J98" s="3" t="str">
        <f t="shared" si="4"/>
        <v>Wildtype</v>
      </c>
      <c r="K98" s="2" t="str">
        <f t="shared" si="4"/>
        <v>NC_000015.9:g.[78923987=];[78923987=]</v>
      </c>
      <c r="L98" s="2" t="str">
        <f t="shared" si="4"/>
        <v>NC_000015.9:g.[78928264=];[78928264=]</v>
      </c>
      <c r="M98" s="3" t="str">
        <f t="shared" si="4"/>
        <v>NC_000015.9:g.[78930510=];[78930510=]</v>
      </c>
    </row>
    <row r="99" spans="1:13">
      <c r="B99" s="29"/>
      <c r="J99" s="3" t="str">
        <f t="shared" si="4"/>
        <v>Het%</v>
      </c>
      <c r="K99" s="15">
        <f t="shared" si="4"/>
        <v>29</v>
      </c>
      <c r="L99" s="15">
        <f t="shared" si="4"/>
        <v>48.5</v>
      </c>
      <c r="M99" s="3">
        <f t="shared" si="4"/>
        <v>44.3</v>
      </c>
    </row>
    <row r="100" spans="1:13">
      <c r="J100" s="3" t="str">
        <f t="shared" si="4"/>
        <v>Homo%</v>
      </c>
      <c r="K100" s="2">
        <f t="shared" si="4"/>
        <v>10.4</v>
      </c>
      <c r="L100" s="2">
        <f t="shared" si="4"/>
        <v>29.2</v>
      </c>
      <c r="M100" s="3">
        <f t="shared" si="4"/>
        <v>38.200000000000003</v>
      </c>
    </row>
    <row r="101" spans="1:13">
      <c r="J101" s="3" t="str">
        <f t="shared" si="4"/>
        <v>Wildtype%</v>
      </c>
      <c r="K101" s="2">
        <f t="shared" si="4"/>
        <v>60.6</v>
      </c>
      <c r="L101" s="2">
        <f t="shared" si="4"/>
        <v>22.3</v>
      </c>
      <c r="M101" s="3">
        <f t="shared" si="4"/>
        <v>17.5</v>
      </c>
    </row>
    <row r="102" spans="1:13">
      <c r="A102" s="14"/>
    </row>
    <row r="103" spans="1:13">
      <c r="A103" s="26"/>
    </row>
    <row r="104" spans="1:13">
      <c r="A104" s="14"/>
    </row>
    <row r="105" spans="1:13">
      <c r="A105" s="14"/>
    </row>
    <row r="106" spans="1:13">
      <c r="A106" s="26"/>
    </row>
    <row r="107" spans="1:13">
      <c r="A107" s="14"/>
    </row>
    <row r="108" spans="1:13">
      <c r="A108" s="14"/>
    </row>
    <row r="109" spans="1:13">
      <c r="A109" s="14"/>
    </row>
    <row r="110" spans="1:13">
      <c r="A110" s="14"/>
    </row>
    <row r="111" spans="1:13">
      <c r="A111" s="26"/>
    </row>
    <row r="112" spans="1:13">
      <c r="A112" s="26"/>
    </row>
    <row r="113" spans="1:13">
      <c r="A113" s="26"/>
      <c r="K113" s="3" t="str">
        <f t="shared" ref="K113:M113" si="5">K91</f>
        <v>rs17487223</v>
      </c>
      <c r="L113" s="3" t="str">
        <f t="shared" si="5"/>
        <v>rs12441088</v>
      </c>
      <c r="M113" s="3" t="str">
        <f t="shared" si="5"/>
        <v>rs1316971</v>
      </c>
    </row>
    <row r="114" spans="1:13" s="21" customFormat="1">
      <c r="A114" s="28" t="s">
        <v>69</v>
      </c>
      <c r="B114" s="20" t="str">
        <f>CONCATENATE(B28," (T;T)")</f>
        <v>G78635922T (T;T)</v>
      </c>
      <c r="C114" s="21" t="str">
        <f>CONCATENATE("&lt;# ",B114," #&gt;")</f>
        <v>&lt;# G78635922T (T;T) #&gt;</v>
      </c>
      <c r="K114" s="21" t="str">
        <f t="shared" ref="K114:M123" si="6">K92</f>
        <v>C78631645T</v>
      </c>
      <c r="L114" s="21" t="str">
        <f t="shared" si="6"/>
        <v>G78635922T</v>
      </c>
      <c r="M114" s="21" t="str">
        <f t="shared" si="6"/>
        <v>A78638168G</v>
      </c>
    </row>
    <row r="115" spans="1:13" s="10" customFormat="1">
      <c r="A115" s="3" t="s">
        <v>21</v>
      </c>
      <c r="B115" s="29" t="str">
        <f>L118</f>
        <v>NC_000015.9:g.[78928264G&gt;T];[78928264=]</v>
      </c>
      <c r="J115" s="3"/>
      <c r="K115" s="22" t="str">
        <f t="shared" si="6"/>
        <v>NC_000015.9:g.</v>
      </c>
      <c r="L115" s="22" t="str">
        <f t="shared" si="6"/>
        <v>NC_000015.9:g.</v>
      </c>
      <c r="M115" s="10" t="str">
        <f t="shared" si="6"/>
        <v>NC_000015.9:g.</v>
      </c>
    </row>
    <row r="116" spans="1:13">
      <c r="A116" s="3" t="s">
        <v>71</v>
      </c>
      <c r="B116" s="29"/>
      <c r="C116" s="3" t="str">
        <f>CONCATENATE("  &lt;Analysis name=",CHAR(34),B114,CHAR(34))</f>
        <v xml:space="preserve">  &lt;Analysis name="G78635922T (T;T)"</v>
      </c>
      <c r="J116" s="3" t="str">
        <f t="shared" ref="J116:J123" si="7">J94</f>
        <v>Variant</v>
      </c>
      <c r="K116" s="15" t="str">
        <f t="shared" si="6"/>
        <v>[78923987C&gt;T]</v>
      </c>
      <c r="L116" s="22" t="str">
        <f t="shared" si="6"/>
        <v>[78928264G&gt;T]</v>
      </c>
      <c r="M116" s="3" t="str">
        <f t="shared" si="6"/>
        <v>[78930510A&gt;G]</v>
      </c>
    </row>
    <row r="117" spans="1:13">
      <c r="A117" s="5" t="s">
        <v>27</v>
      </c>
      <c r="B117" s="2" t="str">
        <f>CONCATENATE("People with this variant have two copies of the ",B31," variant. This substitution of a single nucleotide is known as a missense mutation.")</f>
        <v>People with this variant have two copies of the [G78635922T](http://journals.sagepub.com/doi/10.4137/III.S25147) variant. This substitution of a single nucleotide is known as a missense mutation.</v>
      </c>
      <c r="C117" s="3" t="str">
        <f>CONCATENATE("            case={  variantCall ",CHAR(40),CHAR(34),L118,CHAR(34),CHAR(41))</f>
        <v xml:space="preserve">            case={  variantCall ("NC_000015.9:g.[78928264G&gt;T];[78928264=]")</v>
      </c>
      <c r="J117" s="3" t="str">
        <f t="shared" si="7"/>
        <v>Wildtype</v>
      </c>
      <c r="K117" s="15" t="str">
        <f t="shared" si="6"/>
        <v>[78923987=]</v>
      </c>
      <c r="L117" s="22" t="str">
        <f t="shared" si="6"/>
        <v>[78928264=]</v>
      </c>
      <c r="M117" s="3" t="str">
        <f t="shared" si="6"/>
        <v>[78930510=]</v>
      </c>
    </row>
    <row r="118" spans="1:13">
      <c r="A118" s="1" t="s">
        <v>28</v>
      </c>
      <c r="B118" s="2" t="s">
        <v>229</v>
      </c>
      <c r="C118" s="3" t="s">
        <v>70</v>
      </c>
      <c r="J118" s="3" t="str">
        <f t="shared" si="7"/>
        <v>Het</v>
      </c>
      <c r="K118" s="15" t="str">
        <f t="shared" si="6"/>
        <v>NC_000015.9:g.[78923987C&gt;T];[78923987=]</v>
      </c>
      <c r="L118" s="15" t="str">
        <f t="shared" si="6"/>
        <v>NC_000015.9:g.[78928264G&gt;T];[78928264=]</v>
      </c>
      <c r="M118" s="3" t="str">
        <f t="shared" si="6"/>
        <v>NC_000015.9:g.[78930510A&gt;G];[78930510=]</v>
      </c>
    </row>
    <row r="119" spans="1:13">
      <c r="A119" s="3" t="s">
        <v>72</v>
      </c>
      <c r="B119" s="29">
        <f>L78</f>
        <v>29.2</v>
      </c>
      <c r="C119" s="3" t="str">
        <f>CONCATENATE("                    ",CHAR(40),"variantCall ",CHAR(40),CHAR(34),L120,CHAR(34),CHAR(41)," OR variantCall ",CHAR(40),CHAR(34),L118,CHAR(34),CHAR(41),CHAR(41))</f>
        <v xml:space="preserve">                    (variantCall ("NC_000015.9:g.[78928264=];[78928264=]") OR variantCall ("NC_000015.9:g.[78928264G&gt;T];[78928264=]"))</v>
      </c>
      <c r="J119" s="3" t="str">
        <f t="shared" si="7"/>
        <v>Homo</v>
      </c>
      <c r="K119" s="15" t="str">
        <f t="shared" si="6"/>
        <v>NC_000015.9:g.[78923987C&gt;T];[78923987C&gt;T]</v>
      </c>
      <c r="L119" s="15" t="str">
        <f t="shared" si="6"/>
        <v>NC_000015.9:g.[78928264G&gt;T];[78928264G&gt;T]</v>
      </c>
      <c r="M119" s="3" t="str">
        <f t="shared" si="6"/>
        <v>NC_000015.9:g.[78930510A&gt;G];[78930510A&gt;G]</v>
      </c>
    </row>
    <row r="120" spans="1:13">
      <c r="B120" s="29"/>
      <c r="C120" s="3" t="s">
        <v>70</v>
      </c>
      <c r="J120" s="3" t="str">
        <f t="shared" si="7"/>
        <v>Wildtype</v>
      </c>
      <c r="K120" s="2" t="str">
        <f t="shared" si="6"/>
        <v>NC_000015.9:g.[78923987=];[78923987=]</v>
      </c>
      <c r="L120" s="2" t="str">
        <f t="shared" si="6"/>
        <v>NC_000015.9:g.[78928264=];[78928264=]</v>
      </c>
      <c r="M120" s="3" t="str">
        <f t="shared" si="6"/>
        <v>NC_000015.9:g.[78930510=];[78930510=]</v>
      </c>
    </row>
    <row r="121" spans="1:13">
      <c r="B121" s="29"/>
      <c r="C121" s="3" t="str">
        <f>CONCATENATE("                    ",CHAR(40),"variantCall ",CHAR(40),CHAR(34),M120,CHAR(34),CHAR(41)," OR variantCall ",CHAR(40),CHAR(34),M119,CHAR(34),CHAR(41),CHAR(41))</f>
        <v xml:space="preserve">                    (variantCall ("NC_000015.9:g.[78930510=];[78930510=]") OR variantCall ("NC_000015.9:g.[78930510A&gt;G];[78930510A&gt;G]"))</v>
      </c>
      <c r="J121" s="3" t="str">
        <f t="shared" si="7"/>
        <v>Het%</v>
      </c>
      <c r="K121" s="15">
        <f t="shared" si="6"/>
        <v>29</v>
      </c>
      <c r="L121" s="15">
        <f t="shared" si="6"/>
        <v>48.5</v>
      </c>
      <c r="M121" s="3">
        <f t="shared" si="6"/>
        <v>44.3</v>
      </c>
    </row>
    <row r="122" spans="1:13">
      <c r="C122" s="3" t="str">
        <f>CONCATENATE("                  } &gt; ")</f>
        <v xml:space="preserve">                  } &gt; </v>
      </c>
      <c r="J122" s="3" t="str">
        <f t="shared" si="7"/>
        <v>Homo%</v>
      </c>
      <c r="K122" s="2">
        <f t="shared" si="6"/>
        <v>10.4</v>
      </c>
      <c r="L122" s="2">
        <f t="shared" si="6"/>
        <v>29.2</v>
      </c>
      <c r="M122" s="3">
        <f t="shared" si="6"/>
        <v>38.200000000000003</v>
      </c>
    </row>
    <row r="123" spans="1:13">
      <c r="J123" s="3" t="str">
        <f t="shared" si="7"/>
        <v>Wildtype%</v>
      </c>
      <c r="K123" s="2">
        <f t="shared" si="6"/>
        <v>60.6</v>
      </c>
      <c r="L123" s="2">
        <f t="shared" si="6"/>
        <v>22.3</v>
      </c>
      <c r="M123" s="3">
        <f t="shared" si="6"/>
        <v>17.5</v>
      </c>
    </row>
    <row r="124" spans="1:13">
      <c r="A124" s="14"/>
      <c r="C124" s="3" t="s">
        <v>26</v>
      </c>
    </row>
    <row r="125" spans="1:13">
      <c r="A125" s="26"/>
    </row>
    <row r="126" spans="1:13">
      <c r="A126" s="14"/>
      <c r="C126" s="3" t="str">
        <f>CONCATENATE("    ",B117)</f>
        <v xml:space="preserve">    People with this variant have two copies of the [G78635922T](http://journals.sagepub.com/doi/10.4137/III.S25147) variant. This substitution of a single nucleotide is known as a missense mutation.</v>
      </c>
    </row>
    <row r="127" spans="1:13">
      <c r="A127" s="14"/>
    </row>
    <row r="128" spans="1:13">
      <c r="A128" s="26"/>
      <c r="C128" s="3" t="s">
        <v>29</v>
      </c>
    </row>
    <row r="129" spans="1:13">
      <c r="A129" s="14"/>
    </row>
    <row r="130" spans="1:13">
      <c r="A130" s="14"/>
      <c r="C130" s="3" t="str">
        <f>CONCATENATE(B118)</f>
        <v xml:space="preserve">    Your variant is [1.2X](https://www.ncbi.nlm.nih.gov/pubmed/27099524)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31" spans="1:13">
      <c r="A131" s="14"/>
    </row>
    <row r="132" spans="1:13">
      <c r="A132" s="14"/>
      <c r="C132" s="3" t="s">
        <v>30</v>
      </c>
    </row>
    <row r="133" spans="1:13">
      <c r="A133" s="26"/>
    </row>
    <row r="134" spans="1:13">
      <c r="A134" s="26"/>
      <c r="C134" s="3" t="str">
        <f>CONCATENATE( "    &lt;piechart percentage=",B119," /&gt;")</f>
        <v xml:space="preserve">    &lt;piechart percentage=29.2 /&gt;</v>
      </c>
    </row>
    <row r="135" spans="1:13">
      <c r="A135" s="26"/>
      <c r="C135" s="3" t="str">
        <f>"  &lt;/Analysis&gt;"</f>
        <v xml:space="preserve">  &lt;/Analysis&gt;</v>
      </c>
      <c r="K135" s="3" t="str">
        <f t="shared" ref="K135:M145" si="8">K91</f>
        <v>rs17487223</v>
      </c>
      <c r="L135" s="3" t="str">
        <f t="shared" si="8"/>
        <v>rs12441088</v>
      </c>
      <c r="M135" s="3" t="str">
        <f t="shared" si="8"/>
        <v>rs1316971</v>
      </c>
    </row>
    <row r="136" spans="1:13" s="21" customFormat="1">
      <c r="A136" s="28" t="s">
        <v>69</v>
      </c>
      <c r="B136" s="20" t="str">
        <f>CONCATENATE(B37," (A;G)")</f>
        <v>A78638168G (A;G)</v>
      </c>
      <c r="C136" s="21" t="str">
        <f>CONCATENATE("&lt;# ",B136," #&gt;")</f>
        <v>&lt;# A78638168G (A;G) #&gt;</v>
      </c>
      <c r="K136" s="21" t="str">
        <f t="shared" si="8"/>
        <v>C78631645T</v>
      </c>
      <c r="L136" s="21" t="str">
        <f t="shared" si="8"/>
        <v>G78635922T</v>
      </c>
      <c r="M136" s="21" t="str">
        <f t="shared" si="8"/>
        <v>A78638168G</v>
      </c>
    </row>
    <row r="137" spans="1:13">
      <c r="A137" s="3" t="s">
        <v>21</v>
      </c>
      <c r="B137" s="29" t="str">
        <f>M140</f>
        <v>NC_000015.9:g.[78930510A&gt;G];[78930510=]</v>
      </c>
      <c r="C137" s="10"/>
      <c r="K137" s="3" t="str">
        <f t="shared" si="8"/>
        <v>NC_000015.9:g.</v>
      </c>
      <c r="L137" s="3" t="str">
        <f t="shared" si="8"/>
        <v>NC_000015.9:g.</v>
      </c>
      <c r="M137" s="3" t="str">
        <f t="shared" si="8"/>
        <v>NC_000015.9:g.</v>
      </c>
    </row>
    <row r="138" spans="1:13">
      <c r="A138" s="3" t="s">
        <v>71</v>
      </c>
      <c r="B138" s="29" t="str">
        <f>L53</f>
        <v>NC_000015.9:g.[78928264G&gt;T];[78928264G&gt;T]</v>
      </c>
      <c r="C138" s="3" t="str">
        <f>CONCATENATE("  &lt;Analysis name=",CHAR(34),B136,CHAR(34))</f>
        <v xml:space="preserve">  &lt;Analysis name="A78638168G (A;G)"</v>
      </c>
      <c r="J138" s="3" t="str">
        <f t="shared" ref="J138:J145" si="9">J94</f>
        <v>Variant</v>
      </c>
      <c r="K138" s="3" t="str">
        <f t="shared" si="8"/>
        <v>[78923987C&gt;T]</v>
      </c>
      <c r="L138" s="3" t="str">
        <f t="shared" si="8"/>
        <v>[78928264G&gt;T]</v>
      </c>
      <c r="M138" s="3" t="str">
        <f t="shared" si="8"/>
        <v>[78930510A&gt;G]</v>
      </c>
    </row>
    <row r="139" spans="1:13">
      <c r="A139" s="5" t="s">
        <v>74</v>
      </c>
      <c r="B139" s="2" t="str">
        <f>CONCATENATE("People with this variant have one copy of the ",B40," variant. This substitution of a single nucleotide is known as a missense mutation.")</f>
        <v>People with this variant have one copy of the [A78638168G](http://journals.sagepub.com/doi/10.4137/III.S25147) variant. This substitution of a single nucleotide is known as a missense mutation.</v>
      </c>
      <c r="C139" s="3" t="str">
        <f>CONCATENATE("            case={  variantCall ",CHAR(40),CHAR(34),B137,CHAR(34),CHAR(41))</f>
        <v xml:space="preserve">            case={  variantCall ("NC_000015.9:g.[78930510A&gt;G];[78930510=]")</v>
      </c>
      <c r="J139" s="3" t="str">
        <f t="shared" si="9"/>
        <v>Wildtype</v>
      </c>
      <c r="K139" s="3" t="str">
        <f t="shared" si="8"/>
        <v>[78923987=]</v>
      </c>
      <c r="L139" s="3" t="str">
        <f t="shared" si="8"/>
        <v>[78928264=]</v>
      </c>
      <c r="M139" s="3" t="str">
        <f t="shared" si="8"/>
        <v>[78930510=]</v>
      </c>
    </row>
    <row r="140" spans="1:13" ht="409.5">
      <c r="A140" s="1" t="s">
        <v>28</v>
      </c>
      <c r="B140" s="44" t="s">
        <v>225</v>
      </c>
      <c r="C140" s="3" t="s">
        <v>70</v>
      </c>
      <c r="J140" s="3" t="str">
        <f t="shared" si="9"/>
        <v>Het</v>
      </c>
      <c r="K140" s="3" t="str">
        <f t="shared" si="8"/>
        <v>NC_000015.9:g.[78923987C&gt;T];[78923987=]</v>
      </c>
      <c r="L140" s="3" t="str">
        <f t="shared" si="8"/>
        <v>NC_000015.9:g.[78928264G&gt;T];[78928264=]</v>
      </c>
      <c r="M140" s="3" t="str">
        <f t="shared" si="8"/>
        <v>NC_000015.9:g.[78930510A&gt;G];[78930510=]</v>
      </c>
    </row>
    <row r="141" spans="1:13">
      <c r="A141" s="3" t="s">
        <v>72</v>
      </c>
      <c r="B141" s="29">
        <f>M143</f>
        <v>44.3</v>
      </c>
      <c r="C141" s="3" t="str">
        <f>CONCATENATE("                    ",CHAR(40),"variantCall ",CHAR(40),CHAR(34),L142,CHAR(34),CHAR(41)," OR variantCall ",CHAR(40),CHAR(34),L140,CHAR(34),CHAR(41),CHAR(41))</f>
        <v xml:space="preserve">                    (variantCall ("NC_000015.9:g.[78928264=];[78928264=]") OR variantCall ("NC_000015.9:g.[78928264G&gt;T];[78928264=]"))</v>
      </c>
      <c r="J141" s="3" t="str">
        <f t="shared" si="9"/>
        <v>Homo</v>
      </c>
      <c r="K141" s="3" t="str">
        <f t="shared" si="8"/>
        <v>NC_000015.9:g.[78923987C&gt;T];[78923987C&gt;T]</v>
      </c>
      <c r="L141" s="3" t="str">
        <f t="shared" si="8"/>
        <v>NC_000015.9:g.[78928264G&gt;T];[78928264G&gt;T]</v>
      </c>
      <c r="M141" s="3" t="str">
        <f t="shared" si="8"/>
        <v>NC_000015.9:g.[78930510A&gt;G];[78930510A&gt;G]</v>
      </c>
    </row>
    <row r="142" spans="1:13">
      <c r="C142" s="3" t="s">
        <v>70</v>
      </c>
      <c r="J142" s="3" t="str">
        <f t="shared" si="9"/>
        <v>Wildtype</v>
      </c>
      <c r="K142" s="3" t="str">
        <f t="shared" si="8"/>
        <v>NC_000015.9:g.[78923987=];[78923987=]</v>
      </c>
      <c r="L142" s="3" t="str">
        <f t="shared" si="8"/>
        <v>NC_000015.9:g.[78928264=];[78928264=]</v>
      </c>
      <c r="M142" s="3" t="str">
        <f t="shared" si="8"/>
        <v>NC_000015.9:g.[78930510=];[78930510=]</v>
      </c>
    </row>
    <row r="143" spans="1:13">
      <c r="C143" s="3" t="str">
        <f>CONCATENATE("                    ",CHAR(40),"variantCall ",CHAR(40),CHAR(34),M142,CHAR(34),CHAR(41)," OR variantCall ",CHAR(40),CHAR(34),M141,CHAR(34),CHAR(41),CHAR(41))</f>
        <v xml:space="preserve">                    (variantCall ("NC_000015.9:g.[78930510=];[78930510=]") OR variantCall ("NC_000015.9:g.[78930510A&gt;G];[78930510A&gt;G]"))</v>
      </c>
      <c r="J143" s="3" t="str">
        <f t="shared" si="9"/>
        <v>Het%</v>
      </c>
      <c r="K143" s="3">
        <f t="shared" si="8"/>
        <v>29</v>
      </c>
      <c r="L143" s="3">
        <f t="shared" si="8"/>
        <v>48.5</v>
      </c>
      <c r="M143" s="3">
        <f t="shared" si="8"/>
        <v>44.3</v>
      </c>
    </row>
    <row r="144" spans="1:13">
      <c r="A144" s="14"/>
      <c r="C144" s="3" t="str">
        <f>CONCATENATE("                  } &gt; ")</f>
        <v xml:space="preserve">                  } &gt; </v>
      </c>
      <c r="J144" s="3" t="str">
        <f t="shared" si="9"/>
        <v>Homo%</v>
      </c>
      <c r="K144" s="3">
        <f t="shared" si="8"/>
        <v>10.4</v>
      </c>
      <c r="L144" s="3">
        <f t="shared" si="8"/>
        <v>29.2</v>
      </c>
      <c r="M144" s="3">
        <f t="shared" si="8"/>
        <v>38.200000000000003</v>
      </c>
    </row>
    <row r="145" spans="1:13">
      <c r="A145" s="26"/>
      <c r="J145" s="3" t="str">
        <f t="shared" si="9"/>
        <v>Wildtype%</v>
      </c>
      <c r="K145" s="3">
        <f t="shared" si="8"/>
        <v>60.6</v>
      </c>
      <c r="L145" s="3">
        <f t="shared" si="8"/>
        <v>22.3</v>
      </c>
      <c r="M145" s="3">
        <f t="shared" si="8"/>
        <v>17.5</v>
      </c>
    </row>
    <row r="146" spans="1:13">
      <c r="A146" s="14"/>
      <c r="C146" s="3" t="s">
        <v>26</v>
      </c>
    </row>
    <row r="147" spans="1:13">
      <c r="A147" s="14"/>
    </row>
    <row r="148" spans="1:13">
      <c r="A148" s="26"/>
      <c r="C148" s="3" t="str">
        <f>CONCATENATE("    ",B139)</f>
        <v xml:space="preserve">    People with this variant have one copy of the [A78638168G](http://journals.sagepub.com/doi/10.4137/III.S25147) variant. This substitution of a single nucleotide is known as a missense mutation.</v>
      </c>
    </row>
    <row r="149" spans="1:13">
      <c r="A149" s="14"/>
    </row>
    <row r="150" spans="1:13">
      <c r="A150" s="14"/>
      <c r="C150" s="3" t="s">
        <v>29</v>
      </c>
    </row>
    <row r="151" spans="1:13">
      <c r="A151" s="14"/>
    </row>
    <row r="152" spans="1:13">
      <c r="A152" s="14"/>
      <c r="C152" s="3" t="str">
        <f>CONCATENATE(B140)</f>
        <v xml:space="preserve">    Your variant is [2.5X](http://journals.sagepub.com/doi/10.4137/III.S25147) more common in ME/CFS patients. The malformed CHRNB4 protein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53" spans="1:13">
      <c r="A153" s="26"/>
    </row>
    <row r="154" spans="1:13">
      <c r="A154" s="26"/>
      <c r="C154" s="3" t="s">
        <v>30</v>
      </c>
    </row>
    <row r="155" spans="1:13">
      <c r="A155" s="26"/>
    </row>
    <row r="156" spans="1:13">
      <c r="A156" s="26"/>
      <c r="C156" s="3" t="str">
        <f>CONCATENATE( "    &lt;piechart percentage=",B141," /&gt;")</f>
        <v xml:space="preserve">    &lt;piechart percentage=44.3 /&gt;</v>
      </c>
    </row>
    <row r="157" spans="1:13">
      <c r="A157" s="26"/>
      <c r="C157" s="3" t="str">
        <f>"  &lt;/Analysis&gt;"</f>
        <v xml:space="preserve">  &lt;/Analysis&gt;</v>
      </c>
      <c r="K157" s="3" t="str">
        <f>K113</f>
        <v>rs17487223</v>
      </c>
      <c r="L157" s="3" t="str">
        <f>L113</f>
        <v>rs12441088</v>
      </c>
      <c r="M157" s="3" t="str">
        <f>M113</f>
        <v>rs1316971</v>
      </c>
    </row>
    <row r="158" spans="1:13" s="21" customFormat="1">
      <c r="A158" s="28"/>
      <c r="B158" s="20"/>
      <c r="K158" s="21" t="str">
        <f t="shared" ref="K158:M167" si="10">K114</f>
        <v>C78631645T</v>
      </c>
      <c r="L158" s="21" t="str">
        <f t="shared" si="10"/>
        <v>G78635922T</v>
      </c>
      <c r="M158" s="21" t="str">
        <f t="shared" si="10"/>
        <v>A78638168G</v>
      </c>
    </row>
    <row r="159" spans="1:13">
      <c r="B159" s="29"/>
      <c r="C159" s="10"/>
      <c r="K159" s="3" t="str">
        <f t="shared" si="10"/>
        <v>NC_000015.9:g.</v>
      </c>
      <c r="L159" s="3" t="str">
        <f t="shared" si="10"/>
        <v>NC_000015.9:g.</v>
      </c>
      <c r="M159" s="3" t="str">
        <f t="shared" si="10"/>
        <v>NC_000015.9:g.</v>
      </c>
    </row>
    <row r="160" spans="1:13">
      <c r="B160" s="29"/>
      <c r="J160" s="3" t="str">
        <f t="shared" ref="J160:J167" si="11">J116</f>
        <v>Variant</v>
      </c>
      <c r="K160" s="3" t="str">
        <f t="shared" si="10"/>
        <v>[78923987C&gt;T]</v>
      </c>
      <c r="L160" s="3" t="str">
        <f t="shared" si="10"/>
        <v>[78928264G&gt;T]</v>
      </c>
      <c r="M160" s="3" t="str">
        <f t="shared" si="10"/>
        <v>[78930510A&gt;G]</v>
      </c>
    </row>
    <row r="161" spans="1:13">
      <c r="A161" s="5"/>
      <c r="B161" s="2"/>
      <c r="J161" s="3" t="str">
        <f t="shared" si="11"/>
        <v>Wildtype</v>
      </c>
      <c r="K161" s="3" t="str">
        <f t="shared" si="10"/>
        <v>[78923987=]</v>
      </c>
      <c r="L161" s="3" t="str">
        <f t="shared" si="10"/>
        <v>[78928264=]</v>
      </c>
      <c r="M161" s="3" t="str">
        <f t="shared" si="10"/>
        <v>[78930510=]</v>
      </c>
    </row>
    <row r="162" spans="1:13">
      <c r="A162" s="1"/>
      <c r="B162" s="43"/>
      <c r="J162" s="3" t="str">
        <f t="shared" si="11"/>
        <v>Het</v>
      </c>
      <c r="K162" s="3" t="str">
        <f t="shared" si="10"/>
        <v>NC_000015.9:g.[78923987C&gt;T];[78923987=]</v>
      </c>
      <c r="L162" s="3" t="str">
        <f t="shared" si="10"/>
        <v>NC_000015.9:g.[78928264G&gt;T];[78928264=]</v>
      </c>
      <c r="M162" s="3" t="str">
        <f t="shared" si="10"/>
        <v>NC_000015.9:g.[78930510A&gt;G];[78930510=]</v>
      </c>
    </row>
    <row r="163" spans="1:13">
      <c r="B163" s="29"/>
      <c r="J163" s="3" t="str">
        <f t="shared" si="11"/>
        <v>Homo</v>
      </c>
      <c r="K163" s="3" t="str">
        <f t="shared" si="10"/>
        <v>NC_000015.9:g.[78923987C&gt;T];[78923987C&gt;T]</v>
      </c>
      <c r="L163" s="3" t="str">
        <f t="shared" si="10"/>
        <v>NC_000015.9:g.[78928264G&gt;T];[78928264G&gt;T]</v>
      </c>
      <c r="M163" s="3" t="str">
        <f t="shared" si="10"/>
        <v>NC_000015.9:g.[78930510A&gt;G];[78930510A&gt;G]</v>
      </c>
    </row>
    <row r="164" spans="1:13">
      <c r="J164" s="3" t="str">
        <f t="shared" si="11"/>
        <v>Wildtype</v>
      </c>
      <c r="K164" s="3" t="str">
        <f t="shared" si="10"/>
        <v>NC_000015.9:g.[78923987=];[78923987=]</v>
      </c>
      <c r="L164" s="3" t="str">
        <f t="shared" si="10"/>
        <v>NC_000015.9:g.[78928264=];[78928264=]</v>
      </c>
      <c r="M164" s="3" t="str">
        <f t="shared" si="10"/>
        <v>NC_000015.9:g.[78930510=];[78930510=]</v>
      </c>
    </row>
    <row r="165" spans="1:13">
      <c r="J165" s="3" t="str">
        <f t="shared" si="11"/>
        <v>Het%</v>
      </c>
      <c r="K165" s="3">
        <f t="shared" si="10"/>
        <v>29</v>
      </c>
      <c r="L165" s="3">
        <f t="shared" si="10"/>
        <v>48.5</v>
      </c>
      <c r="M165" s="3">
        <f t="shared" si="10"/>
        <v>44.3</v>
      </c>
    </row>
    <row r="166" spans="1:13">
      <c r="A166" s="14"/>
      <c r="J166" s="3" t="str">
        <f t="shared" si="11"/>
        <v>Homo%</v>
      </c>
      <c r="K166" s="3">
        <f t="shared" si="10"/>
        <v>10.4</v>
      </c>
      <c r="L166" s="3">
        <f t="shared" si="10"/>
        <v>29.2</v>
      </c>
      <c r="M166" s="3">
        <f t="shared" si="10"/>
        <v>38.200000000000003</v>
      </c>
    </row>
    <row r="167" spans="1:13">
      <c r="A167" s="26"/>
      <c r="J167" s="3" t="str">
        <f t="shared" si="11"/>
        <v>Wildtype%</v>
      </c>
      <c r="K167" s="3">
        <f t="shared" si="10"/>
        <v>60.6</v>
      </c>
      <c r="L167" s="3">
        <f t="shared" si="10"/>
        <v>22.3</v>
      </c>
      <c r="M167" s="3">
        <f t="shared" si="10"/>
        <v>17.5</v>
      </c>
    </row>
    <row r="168" spans="1:13">
      <c r="A168" s="14"/>
    </row>
    <row r="169" spans="1:13">
      <c r="A169" s="14"/>
    </row>
    <row r="170" spans="1:13">
      <c r="A170" s="26"/>
    </row>
    <row r="171" spans="1:13">
      <c r="A171" s="14"/>
    </row>
    <row r="172" spans="1:13">
      <c r="A172" s="14"/>
    </row>
    <row r="173" spans="1:13">
      <c r="A173" s="14"/>
    </row>
    <row r="174" spans="1:13">
      <c r="A174" s="14"/>
    </row>
    <row r="175" spans="1:13">
      <c r="A175" s="26"/>
    </row>
    <row r="176" spans="1:13">
      <c r="A176" s="26"/>
    </row>
    <row r="177" spans="1:13">
      <c r="A177" s="26"/>
    </row>
    <row r="178" spans="1:13">
      <c r="A178" s="26"/>
    </row>
    <row r="179" spans="1:13">
      <c r="A179" s="26"/>
      <c r="K179" s="3" t="str">
        <f t="shared" ref="K179:M189" si="12">K135</f>
        <v>rs17487223</v>
      </c>
      <c r="L179" s="3" t="str">
        <f t="shared" si="12"/>
        <v>rs12441088</v>
      </c>
      <c r="M179" s="3" t="str">
        <f t="shared" si="12"/>
        <v>rs1316971</v>
      </c>
    </row>
    <row r="180" spans="1:13" s="21" customFormat="1">
      <c r="A180" s="28" t="s">
        <v>69</v>
      </c>
      <c r="B180" s="20" t="str">
        <f>CONCATENATE(B48," and ",B114," and ",B136)</f>
        <v>C78631645T (C;T) and G78635922T (T;T) and A78638168G (A;G)</v>
      </c>
      <c r="C180" s="21" t="str">
        <f>CONCATENATE("&lt;# ",B180," #&gt;")</f>
        <v>&lt;# C78631645T (C;T) and G78635922T (T;T) and A78638168G (A;G) #&gt;</v>
      </c>
      <c r="K180" s="21" t="str">
        <f t="shared" si="12"/>
        <v>C78631645T</v>
      </c>
      <c r="L180" s="21" t="str">
        <f t="shared" si="12"/>
        <v>G78635922T</v>
      </c>
      <c r="M180" s="21" t="str">
        <f t="shared" si="12"/>
        <v>A78638168G</v>
      </c>
    </row>
    <row r="181" spans="1:13">
      <c r="A181" s="14" t="s">
        <v>21</v>
      </c>
      <c r="B181" s="15" t="str">
        <f>K52</f>
        <v>NC_000015.9:g.[78923987C&gt;T];[78923987=]</v>
      </c>
      <c r="K181" s="3" t="str">
        <f t="shared" si="12"/>
        <v>NC_000015.9:g.</v>
      </c>
      <c r="L181" s="3" t="str">
        <f t="shared" si="12"/>
        <v>NC_000015.9:g.</v>
      </c>
      <c r="M181" s="3" t="str">
        <f t="shared" si="12"/>
        <v>NC_000015.9:g.</v>
      </c>
    </row>
    <row r="182" spans="1:13">
      <c r="A182" s="14" t="s">
        <v>71</v>
      </c>
      <c r="C182" s="3" t="str">
        <f>CONCATENATE("  &lt;Analysis name=",CHAR(34),B180,CHAR(34))</f>
        <v xml:space="preserve">  &lt;Analysis name="C78631645T (C;T) and G78635922T (T;T) and A78638168G (A;G)"</v>
      </c>
      <c r="J182" s="3" t="str">
        <f t="shared" ref="J182:J189" si="13">J138</f>
        <v>Variant</v>
      </c>
      <c r="K182" s="3" t="str">
        <f t="shared" si="12"/>
        <v>[78923987C&gt;T]</v>
      </c>
      <c r="L182" s="3" t="str">
        <f t="shared" si="12"/>
        <v>[78928264G&gt;T]</v>
      </c>
      <c r="M182" s="3" t="str">
        <f t="shared" si="12"/>
        <v>[78930510A&gt;G]</v>
      </c>
    </row>
    <row r="183" spans="1:13">
      <c r="A183" s="26" t="s">
        <v>74</v>
      </c>
      <c r="B183" s="15" t="str">
        <f>CONCATENATE("People with this variant have copies of the ",B22,", ",B31, ", and ",B40," variants. This substitution of a single nucleotide is known as a missense mutation.")</f>
        <v>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c r="C183" s="3" t="str">
        <f>CONCATENATE("            case={  variantCall ",CHAR(40),CHAR(34),K184,CHAR(34),CHAR(41))</f>
        <v xml:space="preserve">            case={  variantCall ("NC_000015.9:g.[78923987C&gt;T];[78923987=]")</v>
      </c>
      <c r="J183" s="3" t="str">
        <f t="shared" si="13"/>
        <v>Wildtype</v>
      </c>
      <c r="K183" s="3" t="str">
        <f t="shared" si="12"/>
        <v>[78923987=]</v>
      </c>
      <c r="L183" s="3" t="str">
        <f t="shared" si="12"/>
        <v>[78928264=]</v>
      </c>
      <c r="M183" s="3" t="str">
        <f t="shared" si="12"/>
        <v>[78930510=]</v>
      </c>
    </row>
    <row r="184" spans="1:13">
      <c r="A184" s="26" t="s">
        <v>28</v>
      </c>
      <c r="B184" s="36"/>
      <c r="C184" s="3" t="s">
        <v>70</v>
      </c>
      <c r="J184" s="3" t="str">
        <f t="shared" si="13"/>
        <v>Het</v>
      </c>
      <c r="K184" s="3" t="str">
        <f t="shared" si="12"/>
        <v>NC_000015.9:g.[78923987C&gt;T];[78923987=]</v>
      </c>
      <c r="L184" s="3" t="str">
        <f t="shared" si="12"/>
        <v>NC_000015.9:g.[78928264G&gt;T];[78928264=]</v>
      </c>
      <c r="M184" s="3" t="str">
        <f t="shared" si="12"/>
        <v>NC_000015.9:g.[78930510A&gt;G];[78930510=]</v>
      </c>
    </row>
    <row r="185" spans="1:13">
      <c r="A185" s="26" t="s">
        <v>72</v>
      </c>
      <c r="C185" s="3" t="str">
        <f>CONCATENATE("                    ",CHAR(40),"variantCall ",CHAR(40),CHAR(34),L184,CHAR(34),CHAR(41)," or variantCall ",CHAR(40),CHAR(34),L185,CHAR(34),CHAR(41),CHAR(41))</f>
        <v xml:space="preserve">                    (variantCall ("NC_000015.9:g.[78928264G&gt;T];[78928264=]") or variantCall ("NC_000015.9:g.[78928264G&gt;T];[78928264G&gt;T]"))</v>
      </c>
      <c r="J185" s="3" t="str">
        <f t="shared" si="13"/>
        <v>Homo</v>
      </c>
      <c r="K185" s="3" t="str">
        <f t="shared" si="12"/>
        <v>NC_000015.9:g.[78923987C&gt;T];[78923987C&gt;T]</v>
      </c>
      <c r="L185" s="3" t="str">
        <f t="shared" si="12"/>
        <v>NC_000015.9:g.[78928264G&gt;T];[78928264G&gt;T]</v>
      </c>
      <c r="M185" s="3" t="str">
        <f t="shared" si="12"/>
        <v>NC_000015.9:g.[78930510A&gt;G];[78930510A&gt;G]</v>
      </c>
    </row>
    <row r="186" spans="1:13">
      <c r="A186" s="26"/>
      <c r="C186" s="3" t="s">
        <v>70</v>
      </c>
      <c r="J186" s="3" t="str">
        <f t="shared" si="13"/>
        <v>Wildtype</v>
      </c>
      <c r="K186" s="3" t="str">
        <f t="shared" si="12"/>
        <v>NC_000015.9:g.[78923987=];[78923987=]</v>
      </c>
      <c r="L186" s="3" t="str">
        <f t="shared" si="12"/>
        <v>NC_000015.9:g.[78928264=];[78928264=]</v>
      </c>
      <c r="M186" s="3" t="str">
        <f t="shared" si="12"/>
        <v>NC_000015.9:g.[78930510=];[78930510=]</v>
      </c>
    </row>
    <row r="187" spans="1:13">
      <c r="A187" s="26"/>
      <c r="C187" s="3" t="str">
        <f>CONCATENATE("                    ",CHAR(40),"variantCall ",CHAR(40),CHAR(34),M184,CHAR(34),CHAR(41)," or variantCall ",CHAR(40),CHAR(34),M185,CHAR(34),CHAR(41),CHAR(41))</f>
        <v xml:space="preserve">                    (variantCall ("NC_000015.9:g.[78930510A&gt;G];[78930510=]") or variantCall ("NC_000015.9:g.[78930510A&gt;G];[78930510A&gt;G]"))</v>
      </c>
      <c r="J187" s="3" t="str">
        <f t="shared" si="13"/>
        <v>Het%</v>
      </c>
      <c r="K187" s="3">
        <f t="shared" si="12"/>
        <v>29</v>
      </c>
      <c r="L187" s="3">
        <f t="shared" si="12"/>
        <v>48.5</v>
      </c>
      <c r="M187" s="3">
        <f t="shared" si="12"/>
        <v>44.3</v>
      </c>
    </row>
    <row r="188" spans="1:13">
      <c r="A188" s="26"/>
      <c r="C188" s="3" t="str">
        <f>CONCATENATE("                  } &gt; ")</f>
        <v xml:space="preserve">                  } &gt; </v>
      </c>
      <c r="J188" s="3" t="str">
        <f t="shared" si="13"/>
        <v>Homo%</v>
      </c>
      <c r="K188" s="3">
        <f t="shared" si="12"/>
        <v>10.4</v>
      </c>
      <c r="L188" s="3">
        <f t="shared" si="12"/>
        <v>29.2</v>
      </c>
      <c r="M188" s="3">
        <f t="shared" si="12"/>
        <v>38.200000000000003</v>
      </c>
    </row>
    <row r="189" spans="1:13">
      <c r="A189" s="14"/>
      <c r="J189" s="3" t="str">
        <f t="shared" si="13"/>
        <v>Wildtype%</v>
      </c>
      <c r="K189" s="3">
        <f t="shared" si="12"/>
        <v>60.6</v>
      </c>
      <c r="L189" s="3">
        <f t="shared" si="12"/>
        <v>22.3</v>
      </c>
      <c r="M189" s="3">
        <f t="shared" si="12"/>
        <v>17.5</v>
      </c>
    </row>
    <row r="190" spans="1:13">
      <c r="A190" s="14"/>
      <c r="C190" s="3" t="s">
        <v>26</v>
      </c>
    </row>
    <row r="191" spans="1:13">
      <c r="A191" s="14"/>
    </row>
    <row r="192" spans="1:13">
      <c r="A192" s="14"/>
      <c r="C192" s="3" t="str">
        <f>CONCATENATE("    ",B183)</f>
        <v xml:space="preserve">    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row>
    <row r="193" spans="1:13">
      <c r="A193" s="14"/>
    </row>
    <row r="194" spans="1:13">
      <c r="A194" s="26"/>
      <c r="C194" s="3" t="s">
        <v>29</v>
      </c>
    </row>
    <row r="195" spans="1:13">
      <c r="A195" s="26"/>
    </row>
    <row r="196" spans="1:13">
      <c r="A196" s="26"/>
      <c r="C196" s="3" t="str">
        <f>CONCATENATE(B184)</f>
        <v/>
      </c>
    </row>
    <row r="197" spans="1:13">
      <c r="A197" s="26"/>
    </row>
    <row r="198" spans="1:13">
      <c r="A198" s="26"/>
      <c r="C198" s="3" t="s">
        <v>30</v>
      </c>
    </row>
    <row r="199" spans="1:13">
      <c r="A199" s="26"/>
    </row>
    <row r="200" spans="1:13">
      <c r="A200" s="26"/>
      <c r="C200" s="3" t="str">
        <f>CONCATENATE( "    &lt;piechart percentage=",B185," /&gt;")</f>
        <v xml:space="preserve">    &lt;piechart percentage= /&gt;</v>
      </c>
    </row>
    <row r="201" spans="1:13">
      <c r="A201" s="26"/>
      <c r="C201" s="3" t="str">
        <f>"  &lt;/Analysis&gt;"</f>
        <v xml:space="preserve">  &lt;/Analysis&gt;</v>
      </c>
      <c r="K201" s="3" t="str">
        <f t="shared" ref="K201:M203" si="14">K179</f>
        <v>rs17487223</v>
      </c>
      <c r="L201" s="3" t="str">
        <f t="shared" si="14"/>
        <v>rs12441088</v>
      </c>
      <c r="M201" s="3" t="str">
        <f t="shared" si="14"/>
        <v>rs1316971</v>
      </c>
    </row>
    <row r="202" spans="1:13" s="21" customFormat="1">
      <c r="A202" s="28" t="s">
        <v>69</v>
      </c>
      <c r="B202" s="20" t="str">
        <f>CONCATENATE(B70," and ",B114," and ",B136)</f>
        <v>C78631645T (T;T) and G78635922T (T;T) and A78638168G (A;G)</v>
      </c>
      <c r="C202" s="21" t="str">
        <f>CONCATENATE("&lt;# ",B202," #&gt;")</f>
        <v>&lt;# C78631645T (T;T) and G78635922T (T;T) and A78638168G (A;G) #&gt;</v>
      </c>
      <c r="K202" s="21" t="str">
        <f t="shared" si="14"/>
        <v>C78631645T</v>
      </c>
      <c r="L202" s="21" t="str">
        <f t="shared" si="14"/>
        <v>G78635922T</v>
      </c>
      <c r="M202" s="21" t="str">
        <f t="shared" si="14"/>
        <v>A78638168G</v>
      </c>
    </row>
    <row r="203" spans="1:13">
      <c r="A203" s="14" t="s">
        <v>21</v>
      </c>
      <c r="B203" s="15" t="str">
        <f>K74</f>
        <v>NC_000015.9:g.[78923987C&gt;T];[78923987=]</v>
      </c>
      <c r="K203" s="3" t="str">
        <f t="shared" si="14"/>
        <v>NC_000015.9:g.</v>
      </c>
      <c r="L203" s="3" t="str">
        <f t="shared" si="14"/>
        <v>NC_000015.9:g.</v>
      </c>
      <c r="M203" s="3" t="str">
        <f t="shared" si="14"/>
        <v>NC_000015.9:g.</v>
      </c>
    </row>
    <row r="204" spans="1:13">
      <c r="A204" s="14" t="s">
        <v>71</v>
      </c>
      <c r="C204" s="3" t="str">
        <f>CONCATENATE("  &lt;Analysis name=",CHAR(34),B202,CHAR(34))</f>
        <v xml:space="preserve">  &lt;Analysis name="C78631645T (T;T) and G78635922T (T;T) and A78638168G (A;G)"</v>
      </c>
      <c r="J204" s="3" t="str">
        <f t="shared" ref="J204:M211" si="15">J182</f>
        <v>Variant</v>
      </c>
      <c r="K204" s="3" t="str">
        <f t="shared" si="15"/>
        <v>[78923987C&gt;T]</v>
      </c>
      <c r="L204" s="3" t="str">
        <f t="shared" si="15"/>
        <v>[78928264G&gt;T]</v>
      </c>
      <c r="M204" s="3" t="str">
        <f t="shared" si="15"/>
        <v>[78930510A&gt;G]</v>
      </c>
    </row>
    <row r="205" spans="1:13">
      <c r="A205" s="26" t="s">
        <v>74</v>
      </c>
      <c r="B205" s="15" t="str">
        <f>CONCATENATE("People with this variant have copies of the ",B22,", ",B31, ", and ",B40," variants. This substitution of a single nucleotide is known as a missense mutation.")</f>
        <v>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c r="C205" s="3" t="str">
        <f>CONCATENATE("            case={  variantCall ",CHAR(40),CHAR(34),K207,CHAR(34),CHAR(41))</f>
        <v xml:space="preserve">            case={  variantCall ("NC_000015.9:g.[78923987C&gt;T];[78923987C&gt;T]")</v>
      </c>
      <c r="J205" s="3" t="str">
        <f t="shared" si="15"/>
        <v>Wildtype</v>
      </c>
      <c r="K205" s="3" t="str">
        <f t="shared" si="15"/>
        <v>[78923987=]</v>
      </c>
      <c r="L205" s="3" t="str">
        <f t="shared" si="15"/>
        <v>[78928264=]</v>
      </c>
      <c r="M205" s="3" t="str">
        <f t="shared" si="15"/>
        <v>[78930510=]</v>
      </c>
    </row>
    <row r="206" spans="1:13">
      <c r="A206" s="26" t="s">
        <v>28</v>
      </c>
      <c r="B206" s="36"/>
      <c r="C206" s="3" t="s">
        <v>70</v>
      </c>
      <c r="J206" s="3" t="str">
        <f t="shared" si="15"/>
        <v>Het</v>
      </c>
      <c r="K206" s="3" t="str">
        <f t="shared" si="15"/>
        <v>NC_000015.9:g.[78923987C&gt;T];[78923987=]</v>
      </c>
      <c r="L206" s="3" t="str">
        <f t="shared" si="15"/>
        <v>NC_000015.9:g.[78928264G&gt;T];[78928264=]</v>
      </c>
      <c r="M206" s="3" t="str">
        <f t="shared" si="15"/>
        <v>NC_000015.9:g.[78930510A&gt;G];[78930510=]</v>
      </c>
    </row>
    <row r="207" spans="1:13">
      <c r="A207" s="26" t="s">
        <v>72</v>
      </c>
      <c r="C207" s="3" t="str">
        <f>CONCATENATE("                    variantCall ",CHAR(40),CHAR(34),L207,CHAR(34),CHAR(41))</f>
        <v xml:space="preserve">                    variantCall ("NC_000015.9:g.[78928264G&gt;T];[78928264G&gt;T]")</v>
      </c>
      <c r="J207" s="3" t="str">
        <f t="shared" si="15"/>
        <v>Homo</v>
      </c>
      <c r="K207" s="3" t="str">
        <f t="shared" si="15"/>
        <v>NC_000015.9:g.[78923987C&gt;T];[78923987C&gt;T]</v>
      </c>
      <c r="L207" s="3" t="str">
        <f t="shared" si="15"/>
        <v>NC_000015.9:g.[78928264G&gt;T];[78928264G&gt;T]</v>
      </c>
      <c r="M207" s="3" t="str">
        <f t="shared" si="15"/>
        <v>NC_000015.9:g.[78930510A&gt;G];[78930510A&gt;G]</v>
      </c>
    </row>
    <row r="208" spans="1:13">
      <c r="A208" s="26"/>
      <c r="C208" s="3" t="s">
        <v>70</v>
      </c>
      <c r="J208" s="3" t="str">
        <f t="shared" si="15"/>
        <v>Wildtype</v>
      </c>
      <c r="K208" s="3" t="str">
        <f t="shared" si="15"/>
        <v>NC_000015.9:g.[78923987=];[78923987=]</v>
      </c>
      <c r="L208" s="3" t="str">
        <f t="shared" si="15"/>
        <v>NC_000015.9:g.[78928264=];[78928264=]</v>
      </c>
      <c r="M208" s="3" t="str">
        <f t="shared" si="15"/>
        <v>NC_000015.9:g.[78930510=];[78930510=]</v>
      </c>
    </row>
    <row r="209" spans="1:13">
      <c r="A209" s="26"/>
      <c r="C209" s="3" t="str">
        <f>CONCATENATE("                    variantCall ",CHAR(40),CHAR(34),M206,CHAR(34),CHAR(41))</f>
        <v xml:space="preserve">                    variantCall ("NC_000015.9:g.[78930510A&gt;G];[78930510=]")</v>
      </c>
      <c r="J209" s="3" t="str">
        <f t="shared" si="15"/>
        <v>Het%</v>
      </c>
      <c r="K209" s="3">
        <f t="shared" si="15"/>
        <v>29</v>
      </c>
      <c r="L209" s="3">
        <f t="shared" si="15"/>
        <v>48.5</v>
      </c>
      <c r="M209" s="3">
        <f t="shared" si="15"/>
        <v>44.3</v>
      </c>
    </row>
    <row r="210" spans="1:13">
      <c r="A210" s="26"/>
      <c r="C210" s="3" t="str">
        <f>CONCATENATE("                  } &gt; ")</f>
        <v xml:space="preserve">                  } &gt; </v>
      </c>
      <c r="J210" s="3" t="str">
        <f t="shared" si="15"/>
        <v>Homo%</v>
      </c>
      <c r="K210" s="3">
        <f t="shared" si="15"/>
        <v>10.4</v>
      </c>
      <c r="L210" s="3">
        <f t="shared" si="15"/>
        <v>29.2</v>
      </c>
      <c r="M210" s="3">
        <f t="shared" si="15"/>
        <v>38.200000000000003</v>
      </c>
    </row>
    <row r="211" spans="1:13">
      <c r="A211" s="14"/>
      <c r="J211" s="3" t="str">
        <f t="shared" si="15"/>
        <v>Wildtype%</v>
      </c>
      <c r="K211" s="3">
        <f t="shared" si="15"/>
        <v>60.6</v>
      </c>
      <c r="L211" s="3">
        <f t="shared" si="15"/>
        <v>22.3</v>
      </c>
      <c r="M211" s="3">
        <f t="shared" si="15"/>
        <v>17.5</v>
      </c>
    </row>
    <row r="212" spans="1:13">
      <c r="A212" s="14"/>
      <c r="C212" s="3" t="s">
        <v>26</v>
      </c>
    </row>
    <row r="213" spans="1:13">
      <c r="A213" s="14"/>
    </row>
    <row r="214" spans="1:13">
      <c r="A214" s="14"/>
      <c r="C214" s="3" t="str">
        <f>CONCATENATE("    ",B205)</f>
        <v xml:space="preserve">    People with this variant have copies of the [C78631645T](https://www.ncbi.nlm.nih.gov/projects/SNP/snp_ref.cgi?rs=17487223), [G78635922T](http://journals.sagepub.com/doi/10.4137/III.S25147), and [A78638168G](http://journals.sagepub.com/doi/10.4137/III.S25147) variants. This substitution of a single nucleotide is known as a missense mutation.</v>
      </c>
    </row>
    <row r="215" spans="1:13">
      <c r="A215" s="14"/>
    </row>
    <row r="216" spans="1:13">
      <c r="A216" s="26"/>
      <c r="C216" s="3" t="s">
        <v>29</v>
      </c>
    </row>
    <row r="217" spans="1:13">
      <c r="A217" s="26"/>
    </row>
    <row r="218" spans="1:13">
      <c r="A218" s="26"/>
      <c r="C218" s="3" t="str">
        <f>CONCATENATE(B206)</f>
        <v/>
      </c>
    </row>
    <row r="219" spans="1:13">
      <c r="A219" s="26"/>
    </row>
    <row r="220" spans="1:13">
      <c r="A220" s="26"/>
      <c r="C220" s="3" t="s">
        <v>30</v>
      </c>
    </row>
    <row r="221" spans="1:13">
      <c r="A221" s="26"/>
    </row>
    <row r="222" spans="1:13">
      <c r="A222" s="26"/>
      <c r="C222" s="3" t="str">
        <f>CONCATENATE( "    &lt;piechart percentage=",B207," /&gt;")</f>
        <v xml:space="preserve">    &lt;piechart percentage= /&gt;</v>
      </c>
    </row>
    <row r="223" spans="1:13">
      <c r="A223" s="26"/>
      <c r="C223" s="3" t="str">
        <f>"  &lt;/Analysis&gt;"</f>
        <v xml:space="preserve">  &lt;/Analysis&gt;</v>
      </c>
      <c r="K223" s="3" t="str">
        <f t="shared" ref="K223:M225" si="16">K201</f>
        <v>rs17487223</v>
      </c>
      <c r="L223" s="3" t="str">
        <f t="shared" si="16"/>
        <v>rs12441088</v>
      </c>
      <c r="M223" s="3" t="str">
        <f t="shared" si="16"/>
        <v>rs1316971</v>
      </c>
    </row>
    <row r="224" spans="1:13" s="21" customFormat="1">
      <c r="A224" s="28" t="s">
        <v>69</v>
      </c>
      <c r="B224" s="20" t="str">
        <f>CONCATENATE(B48," and ",B114)</f>
        <v>C78631645T (C;T) and G78635922T (T;T)</v>
      </c>
      <c r="C224" s="21" t="str">
        <f>CONCATENATE("&lt;# ",B224," #&gt;")</f>
        <v>&lt;# C78631645T (C;T) and G78635922T (T;T) #&gt;</v>
      </c>
      <c r="K224" s="21" t="str">
        <f t="shared" si="16"/>
        <v>C78631645T</v>
      </c>
      <c r="L224" s="21" t="str">
        <f t="shared" si="16"/>
        <v>G78635922T</v>
      </c>
      <c r="M224" s="21" t="str">
        <f t="shared" si="16"/>
        <v>A78638168G</v>
      </c>
    </row>
    <row r="225" spans="1:13">
      <c r="A225" s="14" t="s">
        <v>21</v>
      </c>
      <c r="B225" s="15" t="str">
        <f>K96</f>
        <v>NC_000015.9:g.[78923987C&gt;T];[78923987=]</v>
      </c>
      <c r="K225" s="3" t="str">
        <f t="shared" si="16"/>
        <v>NC_000015.9:g.</v>
      </c>
      <c r="L225" s="3" t="str">
        <f t="shared" si="16"/>
        <v>NC_000015.9:g.</v>
      </c>
      <c r="M225" s="3" t="str">
        <f t="shared" si="16"/>
        <v>NC_000015.9:g.</v>
      </c>
    </row>
    <row r="226" spans="1:13">
      <c r="A226" s="14" t="s">
        <v>71</v>
      </c>
      <c r="C226" s="3" t="str">
        <f>CONCATENATE("  &lt;Analysis name=",CHAR(34),B224,CHAR(34))</f>
        <v xml:space="preserve">  &lt;Analysis name="C78631645T (C;T) and G78635922T (T;T)"</v>
      </c>
      <c r="J226" s="3" t="str">
        <f t="shared" ref="J226:M233" si="17">J204</f>
        <v>Variant</v>
      </c>
      <c r="K226" s="3" t="str">
        <f t="shared" si="17"/>
        <v>[78923987C&gt;T]</v>
      </c>
      <c r="L226" s="3" t="str">
        <f t="shared" si="17"/>
        <v>[78928264G&gt;T]</v>
      </c>
      <c r="M226" s="3" t="str">
        <f t="shared" si="17"/>
        <v>[78930510A&gt;G]</v>
      </c>
    </row>
    <row r="227" spans="1:13">
      <c r="A227" s="26" t="s">
        <v>74</v>
      </c>
      <c r="B227" s="15" t="str">
        <f>CONCATENATE("People with this variant have copies of the ",B22, ", and ",B31," variants. This substitution of a single nucleotide is known as a missense mutation.")</f>
        <v>People with this variant have copies of the [C78631645T](https://www.ncbi.nlm.nih.gov/projects/SNP/snp_ref.cgi?rs=17487223), and [G78635922T](http://journals.sagepub.com/doi/10.4137/III.S25147) variants. This substitution of a single nucleotide is known as a missense mutation.</v>
      </c>
      <c r="C227" s="3" t="str">
        <f>CONCATENATE("            case={  variantCall ",CHAR(40),CHAR(34),K228,CHAR(34),CHAR(41))</f>
        <v xml:space="preserve">            case={  variantCall ("NC_000015.9:g.[78923987C&gt;T];[78923987=]")</v>
      </c>
      <c r="J227" s="3" t="str">
        <f t="shared" si="17"/>
        <v>Wildtype</v>
      </c>
      <c r="K227" s="3" t="str">
        <f t="shared" si="17"/>
        <v>[78923987=]</v>
      </c>
      <c r="L227" s="3" t="str">
        <f t="shared" si="17"/>
        <v>[78928264=]</v>
      </c>
      <c r="M227" s="3" t="str">
        <f t="shared" si="17"/>
        <v>[78930510=]</v>
      </c>
    </row>
    <row r="228" spans="1:13">
      <c r="A228" s="26" t="s">
        <v>28</v>
      </c>
      <c r="C228" s="3" t="s">
        <v>70</v>
      </c>
      <c r="J228" s="3" t="str">
        <f t="shared" si="17"/>
        <v>Het</v>
      </c>
      <c r="K228" s="3" t="str">
        <f t="shared" si="17"/>
        <v>NC_000015.9:g.[78923987C&gt;T];[78923987=]</v>
      </c>
      <c r="L228" s="3" t="str">
        <f t="shared" si="17"/>
        <v>NC_000015.9:g.[78928264G&gt;T];[78928264=]</v>
      </c>
      <c r="M228" s="3" t="str">
        <f t="shared" si="17"/>
        <v>NC_000015.9:g.[78930510A&gt;G];[78930510=]</v>
      </c>
    </row>
    <row r="229" spans="1:13">
      <c r="A229" s="26" t="s">
        <v>72</v>
      </c>
      <c r="C229" s="3" t="str">
        <f>CONCATENATE("                    variantCall ",CHAR(40),CHAR(34),L229,CHAR(34),CHAR(41))</f>
        <v xml:space="preserve">                    variantCall ("NC_000015.9:g.[78928264G&gt;T];[78928264G&gt;T]")</v>
      </c>
      <c r="J229" s="3" t="str">
        <f t="shared" si="17"/>
        <v>Homo</v>
      </c>
      <c r="K229" s="3" t="str">
        <f t="shared" si="17"/>
        <v>NC_000015.9:g.[78923987C&gt;T];[78923987C&gt;T]</v>
      </c>
      <c r="L229" s="3" t="str">
        <f t="shared" si="17"/>
        <v>NC_000015.9:g.[78928264G&gt;T];[78928264G&gt;T]</v>
      </c>
      <c r="M229" s="3" t="str">
        <f t="shared" si="17"/>
        <v>NC_000015.9:g.[78930510A&gt;G];[78930510A&gt;G]</v>
      </c>
    </row>
    <row r="230" spans="1:13">
      <c r="A230" s="26"/>
      <c r="C230" s="3" t="s">
        <v>70</v>
      </c>
      <c r="J230" s="3" t="str">
        <f t="shared" si="17"/>
        <v>Wildtype</v>
      </c>
      <c r="K230" s="3" t="str">
        <f t="shared" si="17"/>
        <v>NC_000015.9:g.[78923987=];[78923987=]</v>
      </c>
      <c r="L230" s="3" t="str">
        <f t="shared" si="17"/>
        <v>NC_000015.9:g.[78928264=];[78928264=]</v>
      </c>
      <c r="M230" s="3" t="str">
        <f t="shared" si="17"/>
        <v>NC_000015.9:g.[78930510=];[78930510=]</v>
      </c>
    </row>
    <row r="231" spans="1:13">
      <c r="A231" s="26"/>
      <c r="C231" s="3" t="str">
        <f>CONCATENATE("                    ",CHAR(40),"variantCall ",CHAR(40),CHAR(34),M229,CHAR(34),CHAR(41)," or variantCall ",CHAR(40),CHAR(34),M230,CHAR(34),CHAR(41),CHAR(41))</f>
        <v xml:space="preserve">                    (variantCall ("NC_000015.9:g.[78930510A&gt;G];[78930510A&gt;G]") or variantCall ("NC_000015.9:g.[78930510=];[78930510=]"))</v>
      </c>
      <c r="J231" s="3" t="str">
        <f t="shared" si="17"/>
        <v>Het%</v>
      </c>
      <c r="K231" s="3">
        <f t="shared" si="17"/>
        <v>29</v>
      </c>
      <c r="L231" s="3">
        <f t="shared" si="17"/>
        <v>48.5</v>
      </c>
      <c r="M231" s="3">
        <f t="shared" si="17"/>
        <v>44.3</v>
      </c>
    </row>
    <row r="232" spans="1:13">
      <c r="A232" s="26"/>
      <c r="C232" s="3" t="str">
        <f>CONCATENATE("                  } &gt; ")</f>
        <v xml:space="preserve">                  } &gt; </v>
      </c>
      <c r="J232" s="3" t="str">
        <f t="shared" si="17"/>
        <v>Homo%</v>
      </c>
      <c r="K232" s="3">
        <f t="shared" si="17"/>
        <v>10.4</v>
      </c>
      <c r="L232" s="3">
        <f t="shared" si="17"/>
        <v>29.2</v>
      </c>
      <c r="M232" s="3">
        <f t="shared" si="17"/>
        <v>38.200000000000003</v>
      </c>
    </row>
    <row r="233" spans="1:13">
      <c r="A233" s="14"/>
      <c r="J233" s="3" t="str">
        <f t="shared" si="17"/>
        <v>Wildtype%</v>
      </c>
      <c r="K233" s="3">
        <f t="shared" si="17"/>
        <v>60.6</v>
      </c>
      <c r="L233" s="3">
        <f t="shared" si="17"/>
        <v>22.3</v>
      </c>
      <c r="M233" s="3">
        <f t="shared" si="17"/>
        <v>17.5</v>
      </c>
    </row>
    <row r="234" spans="1:13">
      <c r="A234" s="14"/>
      <c r="C234" s="3" t="s">
        <v>26</v>
      </c>
    </row>
    <row r="235" spans="1:13">
      <c r="A235" s="14"/>
    </row>
    <row r="236" spans="1:13">
      <c r="A236" s="14"/>
      <c r="C236" s="3" t="str">
        <f>CONCATENATE("    ",B227)</f>
        <v xml:space="preserve">    People with this variant have copies of the [C78631645T](https://www.ncbi.nlm.nih.gov/projects/SNP/snp_ref.cgi?rs=17487223), and [G78635922T](http://journals.sagepub.com/doi/10.4137/III.S25147) variants. This substitution of a single nucleotide is known as a missense mutation.</v>
      </c>
    </row>
    <row r="237" spans="1:13">
      <c r="A237" s="14"/>
    </row>
    <row r="238" spans="1:13">
      <c r="A238" s="26"/>
      <c r="C238" s="3" t="s">
        <v>29</v>
      </c>
    </row>
    <row r="239" spans="1:13">
      <c r="A239" s="26"/>
    </row>
    <row r="240" spans="1:13">
      <c r="A240" s="26"/>
      <c r="C240" s="3" t="str">
        <f>CONCATENATE(B228)</f>
        <v/>
      </c>
    </row>
    <row r="241" spans="1:13">
      <c r="A241" s="26"/>
    </row>
    <row r="242" spans="1:13">
      <c r="A242" s="26"/>
      <c r="C242" s="3" t="s">
        <v>30</v>
      </c>
    </row>
    <row r="243" spans="1:13">
      <c r="A243" s="26"/>
    </row>
    <row r="244" spans="1:13">
      <c r="A244" s="26"/>
      <c r="C244" s="3" t="str">
        <f>CONCATENATE( "    &lt;piechart percentage=",B229," /&gt;")</f>
        <v xml:space="preserve">    &lt;piechart percentage= /&gt;</v>
      </c>
    </row>
    <row r="245" spans="1:13">
      <c r="A245" s="26"/>
      <c r="C245" s="3" t="str">
        <f>"  &lt;/Analysis&gt;"</f>
        <v xml:space="preserve">  &lt;/Analysis&gt;</v>
      </c>
      <c r="K245" s="3" t="str">
        <f t="shared" ref="K245:M255" si="18">K223</f>
        <v>rs17487223</v>
      </c>
      <c r="L245" s="3" t="str">
        <f t="shared" si="18"/>
        <v>rs12441088</v>
      </c>
      <c r="M245" s="3" t="str">
        <f t="shared" si="18"/>
        <v>rs1316971</v>
      </c>
    </row>
    <row r="246" spans="1:13" s="21" customFormat="1">
      <c r="A246" s="28" t="s">
        <v>69</v>
      </c>
      <c r="B246" s="20" t="str">
        <f>CONCATENATE(B48," and ",B136)</f>
        <v>C78631645T (C;T) and A78638168G (A;G)</v>
      </c>
      <c r="C246" s="21" t="str">
        <f>CONCATENATE("&lt;# ",B246," #&gt;")</f>
        <v>&lt;# C78631645T (C;T) and A78638168G (A;G) #&gt;</v>
      </c>
      <c r="K246" s="21" t="str">
        <f t="shared" si="18"/>
        <v>C78631645T</v>
      </c>
      <c r="L246" s="21" t="str">
        <f t="shared" si="18"/>
        <v>G78635922T</v>
      </c>
      <c r="M246" s="21" t="str">
        <f t="shared" si="18"/>
        <v>A78638168G</v>
      </c>
    </row>
    <row r="247" spans="1:13">
      <c r="A247" s="14" t="s">
        <v>21</v>
      </c>
      <c r="B247" s="15" t="str">
        <f>K140</f>
        <v>NC_000015.9:g.[78923987C&gt;T];[78923987=]</v>
      </c>
      <c r="K247" s="3" t="str">
        <f t="shared" si="18"/>
        <v>NC_000015.9:g.</v>
      </c>
      <c r="L247" s="3" t="str">
        <f t="shared" si="18"/>
        <v>NC_000015.9:g.</v>
      </c>
      <c r="M247" s="3" t="str">
        <f t="shared" si="18"/>
        <v>NC_000015.9:g.</v>
      </c>
    </row>
    <row r="248" spans="1:13">
      <c r="A248" s="14" t="s">
        <v>71</v>
      </c>
      <c r="C248" s="3" t="str">
        <f>CONCATENATE("  &lt;Analysis name=",CHAR(34),B246,CHAR(34))</f>
        <v xml:space="preserve">  &lt;Analysis name="C78631645T (C;T) and A78638168G (A;G)"</v>
      </c>
      <c r="J248" s="3" t="str">
        <f t="shared" ref="J248:J255" si="19">J226</f>
        <v>Variant</v>
      </c>
      <c r="K248" s="3" t="str">
        <f t="shared" si="18"/>
        <v>[78923987C&gt;T]</v>
      </c>
      <c r="L248" s="3" t="str">
        <f t="shared" si="18"/>
        <v>[78928264G&gt;T]</v>
      </c>
      <c r="M248" s="3" t="str">
        <f t="shared" si="18"/>
        <v>[78930510A&gt;G]</v>
      </c>
    </row>
    <row r="249" spans="1:13">
      <c r="A249" s="26" t="s">
        <v>74</v>
      </c>
      <c r="B249" s="15" t="str">
        <f>CONCATENATE("People with this variant have copies of the ",B22," and ",B40," variants. This substitution of a single nucleotide is known as a missense mutation.")</f>
        <v>People with this variant have copies of the [C78631645T](https://www.ncbi.nlm.nih.gov/projects/SNP/snp_ref.cgi?rs=17487223) and [A78638168G](http://journals.sagepub.com/doi/10.4137/III.S25147) variants. This substitution of a single nucleotide is known as a missense mutation.</v>
      </c>
      <c r="C249" s="3" t="str">
        <f>CONCATENATE("            case={  variantCall ",CHAR(40),CHAR(34),K250,CHAR(34),CHAR(41))</f>
        <v xml:space="preserve">            case={  variantCall ("NC_000015.9:g.[78923987C&gt;T];[78923987=]")</v>
      </c>
      <c r="J249" s="3" t="str">
        <f t="shared" si="19"/>
        <v>Wildtype</v>
      </c>
      <c r="K249" s="3" t="str">
        <f t="shared" si="18"/>
        <v>[78923987=]</v>
      </c>
      <c r="L249" s="3" t="str">
        <f t="shared" si="18"/>
        <v>[78928264=]</v>
      </c>
      <c r="M249" s="3" t="str">
        <f t="shared" si="18"/>
        <v>[78930510=]</v>
      </c>
    </row>
    <row r="250" spans="1:13">
      <c r="A250" s="26" t="s">
        <v>28</v>
      </c>
      <c r="B250" s="36"/>
      <c r="C250" s="3" t="s">
        <v>70</v>
      </c>
      <c r="J250" s="3" t="str">
        <f t="shared" si="19"/>
        <v>Het</v>
      </c>
      <c r="K250" s="3" t="str">
        <f t="shared" si="18"/>
        <v>NC_000015.9:g.[78923987C&gt;T];[78923987=]</v>
      </c>
      <c r="L250" s="3" t="str">
        <f t="shared" si="18"/>
        <v>NC_000015.9:g.[78928264G&gt;T];[78928264=]</v>
      </c>
      <c r="M250" s="3" t="str">
        <f t="shared" si="18"/>
        <v>NC_000015.9:g.[78930510A&gt;G];[78930510=]</v>
      </c>
    </row>
    <row r="251" spans="1:13">
      <c r="A251" s="26" t="s">
        <v>72</v>
      </c>
      <c r="C251" s="3" t="str">
        <f>CONCATENATE("                    ",CHAR(40),"variantCall ",CHAR(40),CHAR(34),L250,CHAR(34),CHAR(41)," or variantCall ",CHAR(40),CHAR(34),L252,CHAR(34),CHAR(41),CHAR(41))</f>
        <v xml:space="preserve">                    (variantCall ("NC_000015.9:g.[78928264G&gt;T];[78928264=]") or variantCall ("NC_000015.9:g.[78928264=];[78928264=]"))</v>
      </c>
      <c r="J251" s="3" t="str">
        <f t="shared" si="19"/>
        <v>Homo</v>
      </c>
      <c r="K251" s="3" t="str">
        <f t="shared" si="18"/>
        <v>NC_000015.9:g.[78923987C&gt;T];[78923987C&gt;T]</v>
      </c>
      <c r="L251" s="3" t="str">
        <f t="shared" si="18"/>
        <v>NC_000015.9:g.[78928264G&gt;T];[78928264G&gt;T]</v>
      </c>
      <c r="M251" s="3" t="str">
        <f t="shared" si="18"/>
        <v>NC_000015.9:g.[78930510A&gt;G];[78930510A&gt;G]</v>
      </c>
    </row>
    <row r="252" spans="1:13">
      <c r="A252" s="26"/>
      <c r="C252" s="3" t="s">
        <v>70</v>
      </c>
      <c r="J252" s="3" t="str">
        <f t="shared" si="19"/>
        <v>Wildtype</v>
      </c>
      <c r="K252" s="3" t="str">
        <f t="shared" si="18"/>
        <v>NC_000015.9:g.[78923987=];[78923987=]</v>
      </c>
      <c r="L252" s="3" t="str">
        <f t="shared" si="18"/>
        <v>NC_000015.9:g.[78928264=];[78928264=]</v>
      </c>
      <c r="M252" s="3" t="str">
        <f t="shared" si="18"/>
        <v>NC_000015.9:g.[78930510=];[78930510=]</v>
      </c>
    </row>
    <row r="253" spans="1:13">
      <c r="A253" s="26"/>
      <c r="C253" s="3" t="str">
        <f>CONCATENATE("                    variantCall ",CHAR(40),CHAR(34),M250,CHAR(34),CHAR(41))</f>
        <v xml:space="preserve">                    variantCall ("NC_000015.9:g.[78930510A&gt;G];[78930510=]")</v>
      </c>
      <c r="J253" s="3" t="str">
        <f t="shared" si="19"/>
        <v>Het%</v>
      </c>
      <c r="K253" s="3">
        <f t="shared" si="18"/>
        <v>29</v>
      </c>
      <c r="L253" s="3">
        <f t="shared" si="18"/>
        <v>48.5</v>
      </c>
      <c r="M253" s="3">
        <f t="shared" si="18"/>
        <v>44.3</v>
      </c>
    </row>
    <row r="254" spans="1:13">
      <c r="A254" s="26"/>
      <c r="C254" s="3" t="str">
        <f>CONCATENATE("                  } &gt; ")</f>
        <v xml:space="preserve">                  } &gt; </v>
      </c>
      <c r="J254" s="3" t="str">
        <f t="shared" si="19"/>
        <v>Homo%</v>
      </c>
      <c r="K254" s="3">
        <f t="shared" si="18"/>
        <v>10.4</v>
      </c>
      <c r="L254" s="3">
        <f t="shared" si="18"/>
        <v>29.2</v>
      </c>
      <c r="M254" s="3">
        <f t="shared" si="18"/>
        <v>38.200000000000003</v>
      </c>
    </row>
    <row r="255" spans="1:13">
      <c r="A255" s="14"/>
      <c r="J255" s="3" t="str">
        <f t="shared" si="19"/>
        <v>Wildtype%</v>
      </c>
      <c r="K255" s="3">
        <f t="shared" si="18"/>
        <v>60.6</v>
      </c>
      <c r="L255" s="3">
        <f t="shared" si="18"/>
        <v>22.3</v>
      </c>
      <c r="M255" s="3">
        <f t="shared" si="18"/>
        <v>17.5</v>
      </c>
    </row>
    <row r="256" spans="1:13">
      <c r="A256" s="14"/>
      <c r="C256" s="3" t="s">
        <v>26</v>
      </c>
    </row>
    <row r="257" spans="1:13">
      <c r="A257" s="14"/>
    </row>
    <row r="258" spans="1:13">
      <c r="A258" s="14"/>
      <c r="C258" s="3" t="str">
        <f>CONCATENATE("    ",B249)</f>
        <v xml:space="preserve">    People with this variant have copies of the [C78631645T](https://www.ncbi.nlm.nih.gov/projects/SNP/snp_ref.cgi?rs=17487223) and [A78638168G](http://journals.sagepub.com/doi/10.4137/III.S25147) variants. This substitution of a single nucleotide is known as a missense mutation.</v>
      </c>
    </row>
    <row r="259" spans="1:13">
      <c r="A259" s="14"/>
    </row>
    <row r="260" spans="1:13">
      <c r="A260" s="26"/>
      <c r="C260" s="3" t="s">
        <v>29</v>
      </c>
    </row>
    <row r="261" spans="1:13">
      <c r="A261" s="26"/>
    </row>
    <row r="262" spans="1:13">
      <c r="A262" s="26"/>
      <c r="C262" s="3" t="str">
        <f>CONCATENATE(B250)</f>
        <v/>
      </c>
    </row>
    <row r="263" spans="1:13">
      <c r="A263" s="26"/>
    </row>
    <row r="264" spans="1:13">
      <c r="A264" s="26"/>
      <c r="C264" s="3" t="s">
        <v>30</v>
      </c>
    </row>
    <row r="265" spans="1:13">
      <c r="A265" s="26"/>
    </row>
    <row r="266" spans="1:13">
      <c r="A266" s="26"/>
      <c r="C266" s="3" t="str">
        <f>CONCATENATE( "    &lt;piechart percentage=",B251," /&gt;")</f>
        <v xml:space="preserve">    &lt;piechart percentage= /&gt;</v>
      </c>
    </row>
    <row r="267" spans="1:13">
      <c r="A267" s="26"/>
      <c r="C267" s="3" t="str">
        <f>"  &lt;/Analysis&gt;"</f>
        <v xml:space="preserve">  &lt;/Analysis&gt;</v>
      </c>
      <c r="K267" s="3" t="str">
        <f t="shared" ref="K267:M269" si="20">K245</f>
        <v>rs17487223</v>
      </c>
      <c r="L267" s="3" t="str">
        <f t="shared" si="20"/>
        <v>rs12441088</v>
      </c>
      <c r="M267" s="3" t="str">
        <f t="shared" si="20"/>
        <v>rs1316971</v>
      </c>
    </row>
    <row r="268" spans="1:13" s="21" customFormat="1">
      <c r="A268" s="28" t="s">
        <v>69</v>
      </c>
      <c r="B268" s="20" t="str">
        <f>CONCATENATE(B70," and ",B114)</f>
        <v>C78631645T (T;T) and G78635922T (T;T)</v>
      </c>
      <c r="C268" s="21" t="str">
        <f>CONCATENATE("&lt;# ",B268," #&gt;")</f>
        <v>&lt;# C78631645T (T;T) and G78635922T (T;T) #&gt;</v>
      </c>
      <c r="K268" s="21" t="str">
        <f t="shared" si="20"/>
        <v>C78631645T</v>
      </c>
      <c r="L268" s="21" t="str">
        <f t="shared" si="20"/>
        <v>G78635922T</v>
      </c>
      <c r="M268" s="21" t="str">
        <f t="shared" si="20"/>
        <v>A78638168G</v>
      </c>
    </row>
    <row r="269" spans="1:13">
      <c r="A269" s="14" t="s">
        <v>21</v>
      </c>
      <c r="B269" s="15" t="str">
        <f>K184</f>
        <v>NC_000015.9:g.[78923987C&gt;T];[78923987=]</v>
      </c>
      <c r="K269" s="3" t="str">
        <f t="shared" si="20"/>
        <v>NC_000015.9:g.</v>
      </c>
      <c r="L269" s="3" t="str">
        <f t="shared" si="20"/>
        <v>NC_000015.9:g.</v>
      </c>
      <c r="M269" s="3" t="str">
        <f t="shared" si="20"/>
        <v>NC_000015.9:g.</v>
      </c>
    </row>
    <row r="270" spans="1:13">
      <c r="A270" s="14" t="s">
        <v>71</v>
      </c>
      <c r="C270" s="3" t="str">
        <f>CONCATENATE("  &lt;Analysis name=",CHAR(34),B268,CHAR(34))</f>
        <v xml:space="preserve">  &lt;Analysis name="C78631645T (T;T) and G78635922T (T;T)"</v>
      </c>
      <c r="J270" s="3" t="str">
        <f t="shared" ref="J270:M277" si="21">J248</f>
        <v>Variant</v>
      </c>
      <c r="K270" s="3" t="str">
        <f t="shared" si="21"/>
        <v>[78923987C&gt;T]</v>
      </c>
      <c r="L270" s="3" t="str">
        <f t="shared" si="21"/>
        <v>[78928264G&gt;T]</v>
      </c>
      <c r="M270" s="3" t="str">
        <f t="shared" si="21"/>
        <v>[78930510A&gt;G]</v>
      </c>
    </row>
    <row r="271" spans="1:13">
      <c r="A271" s="26" t="s">
        <v>74</v>
      </c>
      <c r="B271" s="15" t="str">
        <f>CONCATENATE("People with this variant have copies of the ",B22," variant and one copy of the ",B31," variant. This substitution of a single nucleotide is known as a missense mutation.")</f>
        <v>People with this variant have copies of the [C78631645T](https://www.ncbi.nlm.nih.gov/projects/SNP/snp_ref.cgi?rs=17487223) variant and one copy of the [G78635922T](http://journals.sagepub.com/doi/10.4137/III.S25147) variant. This substitution of a single nucleotide is known as a missense mutation.</v>
      </c>
      <c r="C271" s="3" t="str">
        <f>CONCATENATE("            case={  variantCall ",CHAR(40),CHAR(34),K272,CHAR(34),CHAR(41))</f>
        <v xml:space="preserve">            case={  variantCall ("NC_000015.9:g.[78923987C&gt;T];[78923987=]")</v>
      </c>
      <c r="J271" s="3" t="str">
        <f t="shared" si="21"/>
        <v>Wildtype</v>
      </c>
      <c r="K271" s="3" t="str">
        <f t="shared" si="21"/>
        <v>[78923987=]</v>
      </c>
      <c r="L271" s="3" t="str">
        <f t="shared" si="21"/>
        <v>[78928264=]</v>
      </c>
      <c r="M271" s="3" t="str">
        <f t="shared" si="21"/>
        <v>[78930510=]</v>
      </c>
    </row>
    <row r="272" spans="1:13">
      <c r="A272" s="26" t="s">
        <v>28</v>
      </c>
      <c r="C272" s="3" t="s">
        <v>70</v>
      </c>
      <c r="J272" s="3" t="str">
        <f t="shared" si="21"/>
        <v>Het</v>
      </c>
      <c r="K272" s="3" t="str">
        <f t="shared" si="21"/>
        <v>NC_000015.9:g.[78923987C&gt;T];[78923987=]</v>
      </c>
      <c r="L272" s="3" t="str">
        <f t="shared" si="21"/>
        <v>NC_000015.9:g.[78928264G&gt;T];[78928264=]</v>
      </c>
      <c r="M272" s="3" t="str">
        <f t="shared" si="21"/>
        <v>NC_000015.9:g.[78930510A&gt;G];[78930510=]</v>
      </c>
    </row>
    <row r="273" spans="1:13">
      <c r="A273" s="26" t="s">
        <v>72</v>
      </c>
      <c r="C273" s="3" t="str">
        <f>CONCATENATE("                    variantCall ",CHAR(40),CHAR(34),L273,CHAR(34),CHAR(41))</f>
        <v xml:space="preserve">                    variantCall ("NC_000015.9:g.[78928264G&gt;T];[78928264G&gt;T]")</v>
      </c>
      <c r="J273" s="3" t="str">
        <f t="shared" si="21"/>
        <v>Homo</v>
      </c>
      <c r="K273" s="3" t="str">
        <f t="shared" si="21"/>
        <v>NC_000015.9:g.[78923987C&gt;T];[78923987C&gt;T]</v>
      </c>
      <c r="L273" s="3" t="str">
        <f t="shared" si="21"/>
        <v>NC_000015.9:g.[78928264G&gt;T];[78928264G&gt;T]</v>
      </c>
      <c r="M273" s="3" t="str">
        <f t="shared" si="21"/>
        <v>NC_000015.9:g.[78930510A&gt;G];[78930510A&gt;G]</v>
      </c>
    </row>
    <row r="274" spans="1:13">
      <c r="A274" s="26"/>
      <c r="C274" s="3" t="s">
        <v>70</v>
      </c>
      <c r="J274" s="3" t="str">
        <f t="shared" si="21"/>
        <v>Wildtype</v>
      </c>
      <c r="K274" s="3" t="str">
        <f t="shared" si="21"/>
        <v>NC_000015.9:g.[78923987=];[78923987=]</v>
      </c>
      <c r="L274" s="3" t="str">
        <f t="shared" si="21"/>
        <v>NC_000015.9:g.[78928264=];[78928264=]</v>
      </c>
      <c r="M274" s="3" t="str">
        <f t="shared" si="21"/>
        <v>NC_000015.9:g.[78930510=];[78930510=]</v>
      </c>
    </row>
    <row r="275" spans="1:13">
      <c r="A275" s="26"/>
      <c r="C275" s="3" t="str">
        <f>CONCATENATE("                    ",CHAR(40),"variantCall ",CHAR(40),CHAR(34),M273,CHAR(34),CHAR(41)," or variantCall ",CHAR(40),CHAR(34),M274,CHAR(34),CHAR(41),CHAR(41))</f>
        <v xml:space="preserve">                    (variantCall ("NC_000015.9:g.[78930510A&gt;G];[78930510A&gt;G]") or variantCall ("NC_000015.9:g.[78930510=];[78930510=]"))</v>
      </c>
      <c r="J275" s="3" t="str">
        <f t="shared" si="21"/>
        <v>Het%</v>
      </c>
      <c r="K275" s="3">
        <f t="shared" si="21"/>
        <v>29</v>
      </c>
      <c r="L275" s="3">
        <f t="shared" si="21"/>
        <v>48.5</v>
      </c>
      <c r="M275" s="3">
        <f t="shared" si="21"/>
        <v>44.3</v>
      </c>
    </row>
    <row r="276" spans="1:13">
      <c r="A276" s="26"/>
      <c r="C276" s="3" t="str">
        <f>CONCATENATE("                  } &gt; ")</f>
        <v xml:space="preserve">                  } &gt; </v>
      </c>
      <c r="J276" s="3" t="str">
        <f t="shared" si="21"/>
        <v>Homo%</v>
      </c>
      <c r="K276" s="3">
        <f t="shared" si="21"/>
        <v>10.4</v>
      </c>
      <c r="L276" s="3">
        <f t="shared" si="21"/>
        <v>29.2</v>
      </c>
      <c r="M276" s="3">
        <f t="shared" si="21"/>
        <v>38.200000000000003</v>
      </c>
    </row>
    <row r="277" spans="1:13">
      <c r="A277" s="14"/>
      <c r="J277" s="3" t="str">
        <f t="shared" si="21"/>
        <v>Wildtype%</v>
      </c>
      <c r="K277" s="3">
        <f t="shared" si="21"/>
        <v>60.6</v>
      </c>
      <c r="L277" s="3">
        <f t="shared" si="21"/>
        <v>22.3</v>
      </c>
      <c r="M277" s="3">
        <f t="shared" si="21"/>
        <v>17.5</v>
      </c>
    </row>
    <row r="278" spans="1:13">
      <c r="A278" s="14"/>
      <c r="C278" s="3" t="s">
        <v>26</v>
      </c>
    </row>
    <row r="279" spans="1:13">
      <c r="A279" s="14"/>
    </row>
    <row r="280" spans="1:13">
      <c r="A280" s="14"/>
      <c r="C280" s="3" t="str">
        <f>CONCATENATE("    ",B271)</f>
        <v xml:space="preserve">    People with this variant have copies of the [C78631645T](https://www.ncbi.nlm.nih.gov/projects/SNP/snp_ref.cgi?rs=17487223) variant and one copy of the [G78635922T](http://journals.sagepub.com/doi/10.4137/III.S25147) variant. This substitution of a single nucleotide is known as a missense mutation.</v>
      </c>
    </row>
    <row r="281" spans="1:13">
      <c r="A281" s="14"/>
    </row>
    <row r="282" spans="1:13">
      <c r="A282" s="26"/>
      <c r="C282" s="3" t="s">
        <v>29</v>
      </c>
    </row>
    <row r="283" spans="1:13">
      <c r="A283" s="26"/>
    </row>
    <row r="284" spans="1:13">
      <c r="A284" s="26"/>
      <c r="C284" s="3" t="str">
        <f>CONCATENATE(B272)</f>
        <v/>
      </c>
    </row>
    <row r="285" spans="1:13">
      <c r="A285" s="26"/>
    </row>
    <row r="286" spans="1:13">
      <c r="A286" s="26"/>
      <c r="C286" s="3" t="s">
        <v>30</v>
      </c>
    </row>
    <row r="287" spans="1:13">
      <c r="A287" s="26"/>
    </row>
    <row r="288" spans="1:13">
      <c r="A288" s="26"/>
      <c r="C288" s="3" t="str">
        <f>CONCATENATE( "    &lt;piechart percentage=",B273," /&gt;")</f>
        <v xml:space="preserve">    &lt;piechart percentage= /&gt;</v>
      </c>
    </row>
    <row r="289" spans="1:13">
      <c r="A289" s="26"/>
      <c r="C289" s="3" t="str">
        <f>"  &lt;/Analysis&gt;"</f>
        <v xml:space="preserve">  &lt;/Analysis&gt;</v>
      </c>
      <c r="K289" s="3" t="str">
        <f t="shared" ref="K289:M291" si="22">K267</f>
        <v>rs17487223</v>
      </c>
      <c r="L289" s="3" t="str">
        <f t="shared" si="22"/>
        <v>rs12441088</v>
      </c>
      <c r="M289" s="3" t="str">
        <f t="shared" si="22"/>
        <v>rs1316971</v>
      </c>
    </row>
    <row r="290" spans="1:13" s="21" customFormat="1">
      <c r="A290" s="28" t="s">
        <v>69</v>
      </c>
      <c r="B290" s="20" t="str">
        <f>CONCATENATE(B70," and ",B136)</f>
        <v>C78631645T (T;T) and A78638168G (A;G)</v>
      </c>
      <c r="C290" s="21" t="str">
        <f>CONCATENATE("&lt;# ",B290," #&gt;")</f>
        <v>&lt;# C78631645T (T;T) and A78638168G (A;G) #&gt;</v>
      </c>
      <c r="K290" s="21" t="str">
        <f t="shared" si="22"/>
        <v>C78631645T</v>
      </c>
      <c r="L290" s="21" t="str">
        <f t="shared" si="22"/>
        <v>G78635922T</v>
      </c>
      <c r="M290" s="21" t="str">
        <f t="shared" si="22"/>
        <v>A78638168G</v>
      </c>
    </row>
    <row r="291" spans="1:13">
      <c r="A291" s="14" t="s">
        <v>21</v>
      </c>
      <c r="B291" s="15" t="str">
        <f>K206</f>
        <v>NC_000015.9:g.[78923987C&gt;T];[78923987=]</v>
      </c>
      <c r="K291" s="3" t="str">
        <f t="shared" si="22"/>
        <v>NC_000015.9:g.</v>
      </c>
      <c r="L291" s="3" t="str">
        <f t="shared" si="22"/>
        <v>NC_000015.9:g.</v>
      </c>
      <c r="M291" s="3" t="str">
        <f t="shared" si="22"/>
        <v>NC_000015.9:g.</v>
      </c>
    </row>
    <row r="292" spans="1:13">
      <c r="A292" s="14" t="s">
        <v>71</v>
      </c>
      <c r="C292" s="3" t="str">
        <f>CONCATENATE("  &lt;Analysis name=",CHAR(34),B290,CHAR(34))</f>
        <v xml:space="preserve">  &lt;Analysis name="C78631645T (T;T) and A78638168G (A;G)"</v>
      </c>
      <c r="J292" s="3" t="str">
        <f t="shared" ref="J292:M299" si="23">J270</f>
        <v>Variant</v>
      </c>
      <c r="K292" s="3" t="str">
        <f t="shared" si="23"/>
        <v>[78923987C&gt;T]</v>
      </c>
      <c r="L292" s="3" t="str">
        <f t="shared" si="23"/>
        <v>[78928264G&gt;T]</v>
      </c>
      <c r="M292" s="3" t="str">
        <f t="shared" si="23"/>
        <v>[78930510A&gt;G]</v>
      </c>
    </row>
    <row r="293" spans="1:13">
      <c r="A293" s="26" t="s">
        <v>74</v>
      </c>
      <c r="B293" s="15" t="str">
        <f>CONCATENATE("People with this variant have copies of the ",B22," variant and one copy of the ",B40," variant. This substitution of a single nucleotide is known as a missense mutation.")</f>
        <v>People with this variant have copies of the [C78631645T](https://www.ncbi.nlm.nih.gov/projects/SNP/snp_ref.cgi?rs=17487223) variant and one copy of the [A78638168G](http://journals.sagepub.com/doi/10.4137/III.S25147) variant. This substitution of a single nucleotide is known as a missense mutation.</v>
      </c>
      <c r="C293" s="3" t="str">
        <f>CONCATENATE("            case={  variantCall ",CHAR(40),CHAR(34),K294,CHAR(34),CHAR(41))</f>
        <v xml:space="preserve">            case={  variantCall ("NC_000015.9:g.[78923987C&gt;T];[78923987=]")</v>
      </c>
      <c r="J293" s="3" t="str">
        <f t="shared" si="23"/>
        <v>Wildtype</v>
      </c>
      <c r="K293" s="3" t="str">
        <f t="shared" si="23"/>
        <v>[78923987=]</v>
      </c>
      <c r="L293" s="3" t="str">
        <f t="shared" si="23"/>
        <v>[78928264=]</v>
      </c>
      <c r="M293" s="3" t="str">
        <f t="shared" si="23"/>
        <v>[78930510=]</v>
      </c>
    </row>
    <row r="294" spans="1:13">
      <c r="A294" s="26" t="s">
        <v>28</v>
      </c>
      <c r="B294" s="36"/>
      <c r="C294" s="3" t="s">
        <v>70</v>
      </c>
      <c r="J294" s="3" t="str">
        <f t="shared" si="23"/>
        <v>Het</v>
      </c>
      <c r="K294" s="3" t="str">
        <f t="shared" si="23"/>
        <v>NC_000015.9:g.[78923987C&gt;T];[78923987=]</v>
      </c>
      <c r="L294" s="3" t="str">
        <f t="shared" si="23"/>
        <v>NC_000015.9:g.[78928264G&gt;T];[78928264=]</v>
      </c>
      <c r="M294" s="3" t="str">
        <f t="shared" si="23"/>
        <v>NC_000015.9:g.[78930510A&gt;G];[78930510=]</v>
      </c>
    </row>
    <row r="295" spans="1:13">
      <c r="A295" s="26" t="s">
        <v>72</v>
      </c>
      <c r="C295" s="3" t="str">
        <f>CONCATENATE("                    ",CHAR(40),"variantCall ",CHAR(40),CHAR(34),L294,CHAR(34),CHAR(41)," or variantCall ",CHAR(40),CHAR(34),L296,CHAR(34),CHAR(41),CHAR(41))</f>
        <v xml:space="preserve">                    (variantCall ("NC_000015.9:g.[78928264G&gt;T];[78928264=]") or variantCall ("NC_000015.9:g.[78928264=];[78928264=]"))</v>
      </c>
      <c r="J295" s="3" t="str">
        <f t="shared" si="23"/>
        <v>Homo</v>
      </c>
      <c r="K295" s="3" t="str">
        <f t="shared" si="23"/>
        <v>NC_000015.9:g.[78923987C&gt;T];[78923987C&gt;T]</v>
      </c>
      <c r="L295" s="3" t="str">
        <f t="shared" si="23"/>
        <v>NC_000015.9:g.[78928264G&gt;T];[78928264G&gt;T]</v>
      </c>
      <c r="M295" s="3" t="str">
        <f t="shared" si="23"/>
        <v>NC_000015.9:g.[78930510A&gt;G];[78930510A&gt;G]</v>
      </c>
    </row>
    <row r="296" spans="1:13">
      <c r="A296" s="26"/>
      <c r="C296" s="3" t="s">
        <v>70</v>
      </c>
      <c r="J296" s="3" t="str">
        <f t="shared" si="23"/>
        <v>Wildtype</v>
      </c>
      <c r="K296" s="3" t="str">
        <f t="shared" si="23"/>
        <v>NC_000015.9:g.[78923987=];[78923987=]</v>
      </c>
      <c r="L296" s="3" t="str">
        <f t="shared" si="23"/>
        <v>NC_000015.9:g.[78928264=];[78928264=]</v>
      </c>
      <c r="M296" s="3" t="str">
        <f t="shared" si="23"/>
        <v>NC_000015.9:g.[78930510=];[78930510=]</v>
      </c>
    </row>
    <row r="297" spans="1:13">
      <c r="A297" s="26"/>
      <c r="C297" s="3" t="str">
        <f>CONCATENATE("                    variantCall ",CHAR(40),CHAR(34),M294,CHAR(34),CHAR(41))</f>
        <v xml:space="preserve">                    variantCall ("NC_000015.9:g.[78930510A&gt;G];[78930510=]")</v>
      </c>
      <c r="J297" s="3" t="str">
        <f t="shared" si="23"/>
        <v>Het%</v>
      </c>
      <c r="K297" s="3">
        <f t="shared" si="23"/>
        <v>29</v>
      </c>
      <c r="L297" s="3">
        <f t="shared" si="23"/>
        <v>48.5</v>
      </c>
      <c r="M297" s="3">
        <f t="shared" si="23"/>
        <v>44.3</v>
      </c>
    </row>
    <row r="298" spans="1:13">
      <c r="A298" s="26"/>
      <c r="C298" s="3" t="str">
        <f>CONCATENATE("                  } &gt; ")</f>
        <v xml:space="preserve">                  } &gt; </v>
      </c>
      <c r="J298" s="3" t="str">
        <f t="shared" si="23"/>
        <v>Homo%</v>
      </c>
      <c r="K298" s="3">
        <f t="shared" si="23"/>
        <v>10.4</v>
      </c>
      <c r="L298" s="3">
        <f t="shared" si="23"/>
        <v>29.2</v>
      </c>
      <c r="M298" s="3">
        <f t="shared" si="23"/>
        <v>38.200000000000003</v>
      </c>
    </row>
    <row r="299" spans="1:13">
      <c r="A299" s="14"/>
      <c r="J299" s="3" t="str">
        <f t="shared" si="23"/>
        <v>Wildtype%</v>
      </c>
      <c r="K299" s="3">
        <f t="shared" si="23"/>
        <v>60.6</v>
      </c>
      <c r="L299" s="3">
        <f t="shared" si="23"/>
        <v>22.3</v>
      </c>
      <c r="M299" s="3">
        <f t="shared" si="23"/>
        <v>17.5</v>
      </c>
    </row>
    <row r="300" spans="1:13">
      <c r="A300" s="14"/>
      <c r="C300" s="3" t="s">
        <v>26</v>
      </c>
    </row>
    <row r="301" spans="1:13">
      <c r="A301" s="14"/>
    </row>
    <row r="302" spans="1:13">
      <c r="A302" s="14"/>
      <c r="C302" s="3" t="str">
        <f>CONCATENATE("    ",B293)</f>
        <v xml:space="preserve">    People with this variant have copies of the [C78631645T](https://www.ncbi.nlm.nih.gov/projects/SNP/snp_ref.cgi?rs=17487223) variant and one copy of the [A78638168G](http://journals.sagepub.com/doi/10.4137/III.S25147) variant. This substitution of a single nucleotide is known as a missense mutation.</v>
      </c>
    </row>
    <row r="303" spans="1:13">
      <c r="A303" s="14"/>
    </row>
    <row r="304" spans="1:13">
      <c r="A304" s="26"/>
      <c r="C304" s="3" t="s">
        <v>29</v>
      </c>
    </row>
    <row r="305" spans="1:13">
      <c r="A305" s="26"/>
    </row>
    <row r="306" spans="1:13">
      <c r="A306" s="26"/>
      <c r="C306" s="3" t="str">
        <f>CONCATENATE(B294)</f>
        <v/>
      </c>
    </row>
    <row r="307" spans="1:13">
      <c r="A307" s="26"/>
    </row>
    <row r="308" spans="1:13">
      <c r="A308" s="26"/>
      <c r="C308" s="3" t="s">
        <v>30</v>
      </c>
    </row>
    <row r="309" spans="1:13">
      <c r="A309" s="26"/>
    </row>
    <row r="310" spans="1:13">
      <c r="A310" s="26"/>
      <c r="C310" s="3" t="str">
        <f>CONCATENATE( "    &lt;piechart percentage=",B295," /&gt;")</f>
        <v xml:space="preserve">    &lt;piechart percentage= /&gt;</v>
      </c>
    </row>
    <row r="311" spans="1:13">
      <c r="A311" s="26"/>
      <c r="C311" s="3" t="str">
        <f>"  &lt;/Analysis&gt;"</f>
        <v xml:space="preserve">  &lt;/Analysis&gt;</v>
      </c>
      <c r="K311" s="3" t="str">
        <f t="shared" ref="K311:M313" si="24">K289</f>
        <v>rs17487223</v>
      </c>
      <c r="L311" s="3" t="str">
        <f t="shared" si="24"/>
        <v>rs12441088</v>
      </c>
      <c r="M311" s="3" t="str">
        <f t="shared" si="24"/>
        <v>rs1316971</v>
      </c>
    </row>
    <row r="312" spans="1:13" s="21" customFormat="1">
      <c r="A312" s="28" t="s">
        <v>69</v>
      </c>
      <c r="B312" s="20" t="str">
        <f>CONCATENATE(B114," and ",B136)</f>
        <v>G78635922T (T;T) and A78638168G (A;G)</v>
      </c>
      <c r="C312" s="21" t="str">
        <f>CONCATENATE("&lt;# ",B312," #&gt;")</f>
        <v>&lt;# G78635922T (T;T) and A78638168G (A;G) #&gt;</v>
      </c>
      <c r="K312" s="21" t="str">
        <f t="shared" si="24"/>
        <v>C78631645T</v>
      </c>
      <c r="L312" s="21" t="str">
        <f t="shared" si="24"/>
        <v>G78635922T</v>
      </c>
      <c r="M312" s="21" t="str">
        <f t="shared" si="24"/>
        <v>A78638168G</v>
      </c>
    </row>
    <row r="313" spans="1:13">
      <c r="A313" s="14" t="s">
        <v>21</v>
      </c>
      <c r="B313" s="15" t="str">
        <f>K228</f>
        <v>NC_000015.9:g.[78923987C&gt;T];[78923987=]</v>
      </c>
      <c r="K313" s="3" t="str">
        <f t="shared" si="24"/>
        <v>NC_000015.9:g.</v>
      </c>
      <c r="L313" s="3" t="str">
        <f t="shared" si="24"/>
        <v>NC_000015.9:g.</v>
      </c>
      <c r="M313" s="3" t="str">
        <f t="shared" si="24"/>
        <v>NC_000015.9:g.</v>
      </c>
    </row>
    <row r="314" spans="1:13">
      <c r="A314" s="14" t="s">
        <v>71</v>
      </c>
      <c r="C314" s="3" t="str">
        <f>CONCATENATE("  &lt;Analysis name=",CHAR(34),B312,CHAR(34))</f>
        <v xml:space="preserve">  &lt;Analysis name="G78635922T (T;T) and A78638168G (A;G)"</v>
      </c>
      <c r="J314" s="3" t="str">
        <f t="shared" ref="J314:M321" si="25">J292</f>
        <v>Variant</v>
      </c>
      <c r="K314" s="3" t="str">
        <f t="shared" si="25"/>
        <v>[78923987C&gt;T]</v>
      </c>
      <c r="L314" s="3" t="str">
        <f t="shared" si="25"/>
        <v>[78928264G&gt;T]</v>
      </c>
      <c r="M314" s="3" t="str">
        <f t="shared" si="25"/>
        <v>[78930510A&gt;G]</v>
      </c>
    </row>
    <row r="315" spans="1:13">
      <c r="A315" s="26" t="s">
        <v>74</v>
      </c>
      <c r="B315" s="15" t="str">
        <f>CONCATENATE("People with this variant have copies of the ",B31," and ",B40," variants. This substitution of a single nucleotide is known as a missense mutation.")</f>
        <v>People with this variant have copies of the [G78635922T](http://journals.sagepub.com/doi/10.4137/III.S25147) and [A78638168G](http://journals.sagepub.com/doi/10.4137/III.S25147) variants. This substitution of a single nucleotide is known as a missense mutation.</v>
      </c>
      <c r="C315" s="3" t="str">
        <f>CONCATENATE("            case={  variantCall ",CHAR(40),CHAR(34),K318,CHAR(34),CHAR(41))</f>
        <v xml:space="preserve">            case={  variantCall ("NC_000015.9:g.[78923987=];[78923987=]")</v>
      </c>
      <c r="J315" s="3" t="str">
        <f t="shared" si="25"/>
        <v>Wildtype</v>
      </c>
      <c r="K315" s="3" t="str">
        <f t="shared" si="25"/>
        <v>[78923987=]</v>
      </c>
      <c r="L315" s="3" t="str">
        <f t="shared" si="25"/>
        <v>[78928264=]</v>
      </c>
      <c r="M315" s="3" t="str">
        <f t="shared" si="25"/>
        <v>[78930510=]</v>
      </c>
    </row>
    <row r="316" spans="1:13">
      <c r="A316" s="26" t="s">
        <v>28</v>
      </c>
      <c r="B316" s="36"/>
      <c r="C316" s="3" t="s">
        <v>70</v>
      </c>
      <c r="J316" s="3" t="str">
        <f t="shared" si="25"/>
        <v>Het</v>
      </c>
      <c r="K316" s="3" t="str">
        <f t="shared" si="25"/>
        <v>NC_000015.9:g.[78923987C&gt;T];[78923987=]</v>
      </c>
      <c r="L316" s="3" t="str">
        <f t="shared" si="25"/>
        <v>NC_000015.9:g.[78928264G&gt;T];[78928264=]</v>
      </c>
      <c r="M316" s="3" t="str">
        <f t="shared" si="25"/>
        <v>NC_000015.9:g.[78930510A&gt;G];[78930510=]</v>
      </c>
    </row>
    <row r="317" spans="1:13">
      <c r="A317" s="26" t="s">
        <v>72</v>
      </c>
      <c r="C317" s="3" t="str">
        <f>CONCATENATE("                    variantCall ",CHAR(40),CHAR(34),L317,CHAR(34),CHAR(41))</f>
        <v xml:space="preserve">                    variantCall ("NC_000015.9:g.[78928264G&gt;T];[78928264G&gt;T]")</v>
      </c>
      <c r="J317" s="3" t="str">
        <f t="shared" si="25"/>
        <v>Homo</v>
      </c>
      <c r="K317" s="3" t="str">
        <f t="shared" si="25"/>
        <v>NC_000015.9:g.[78923987C&gt;T];[78923987C&gt;T]</v>
      </c>
      <c r="L317" s="3" t="str">
        <f t="shared" si="25"/>
        <v>NC_000015.9:g.[78928264G&gt;T];[78928264G&gt;T]</v>
      </c>
      <c r="M317" s="3" t="str">
        <f t="shared" si="25"/>
        <v>NC_000015.9:g.[78930510A&gt;G];[78930510A&gt;G]</v>
      </c>
    </row>
    <row r="318" spans="1:13">
      <c r="A318" s="26"/>
      <c r="C318" s="3" t="s">
        <v>70</v>
      </c>
      <c r="J318" s="3" t="str">
        <f t="shared" si="25"/>
        <v>Wildtype</v>
      </c>
      <c r="K318" s="3" t="str">
        <f t="shared" si="25"/>
        <v>NC_000015.9:g.[78923987=];[78923987=]</v>
      </c>
      <c r="L318" s="3" t="str">
        <f t="shared" si="25"/>
        <v>NC_000015.9:g.[78928264=];[78928264=]</v>
      </c>
      <c r="M318" s="3" t="str">
        <f t="shared" si="25"/>
        <v>NC_000015.9:g.[78930510=];[78930510=]</v>
      </c>
    </row>
    <row r="319" spans="1:13">
      <c r="A319" s="26"/>
      <c r="C319" s="3" t="str">
        <f>CONCATENATE("                    variantCall ",CHAR(40),CHAR(34),M316,CHAR(34),CHAR(41))</f>
        <v xml:space="preserve">                    variantCall ("NC_000015.9:g.[78930510A&gt;G];[78930510=]")</v>
      </c>
      <c r="J319" s="3" t="str">
        <f t="shared" si="25"/>
        <v>Het%</v>
      </c>
      <c r="K319" s="3">
        <f t="shared" si="25"/>
        <v>29</v>
      </c>
      <c r="L319" s="3">
        <f t="shared" si="25"/>
        <v>48.5</v>
      </c>
      <c r="M319" s="3">
        <f t="shared" si="25"/>
        <v>44.3</v>
      </c>
    </row>
    <row r="320" spans="1:13">
      <c r="A320" s="26"/>
      <c r="C320" s="3" t="str">
        <f>CONCATENATE("                  } &gt; ")</f>
        <v xml:space="preserve">                  } &gt; </v>
      </c>
      <c r="J320" s="3" t="str">
        <f t="shared" si="25"/>
        <v>Homo%</v>
      </c>
      <c r="K320" s="3">
        <f t="shared" si="25"/>
        <v>10.4</v>
      </c>
      <c r="L320" s="3">
        <f t="shared" si="25"/>
        <v>29.2</v>
      </c>
      <c r="M320" s="3">
        <f t="shared" si="25"/>
        <v>38.200000000000003</v>
      </c>
    </row>
    <row r="321" spans="1:13">
      <c r="A321" s="14"/>
      <c r="J321" s="3" t="str">
        <f t="shared" si="25"/>
        <v>Wildtype%</v>
      </c>
      <c r="K321" s="3">
        <f t="shared" si="25"/>
        <v>60.6</v>
      </c>
      <c r="L321" s="3">
        <f t="shared" si="25"/>
        <v>22.3</v>
      </c>
      <c r="M321" s="3">
        <f t="shared" si="25"/>
        <v>17.5</v>
      </c>
    </row>
    <row r="322" spans="1:13">
      <c r="A322" s="14"/>
      <c r="C322" s="3" t="s">
        <v>26</v>
      </c>
    </row>
    <row r="323" spans="1:13">
      <c r="A323" s="14"/>
    </row>
    <row r="324" spans="1:13">
      <c r="A324" s="14"/>
      <c r="C324" s="3" t="str">
        <f>CONCATENATE("    ",B315)</f>
        <v xml:space="preserve">    People with this variant have copies of the [G78635922T](http://journals.sagepub.com/doi/10.4137/III.S25147) and [A78638168G](http://journals.sagepub.com/doi/10.4137/III.S25147) variants. This substitution of a single nucleotide is known as a missense mutation.</v>
      </c>
    </row>
    <row r="325" spans="1:13">
      <c r="A325" s="14"/>
    </row>
    <row r="326" spans="1:13">
      <c r="A326" s="26"/>
      <c r="C326" s="3" t="s">
        <v>29</v>
      </c>
    </row>
    <row r="327" spans="1:13">
      <c r="A327" s="26"/>
    </row>
    <row r="328" spans="1:13">
      <c r="A328" s="26"/>
      <c r="C328" s="3" t="str">
        <f>CONCATENATE(B316)</f>
        <v/>
      </c>
    </row>
    <row r="329" spans="1:13">
      <c r="A329" s="26"/>
    </row>
    <row r="330" spans="1:13">
      <c r="A330" s="26"/>
      <c r="C330" s="3" t="s">
        <v>30</v>
      </c>
    </row>
    <row r="331" spans="1:13">
      <c r="A331" s="26"/>
    </row>
    <row r="332" spans="1:13">
      <c r="A332" s="26"/>
      <c r="C332" s="3" t="str">
        <f>CONCATENATE( "    &lt;piechart percentage=",B317," /&gt;")</f>
        <v xml:space="preserve">    &lt;piechart percentage= /&gt;</v>
      </c>
    </row>
    <row r="333" spans="1:13">
      <c r="A333" s="26"/>
      <c r="C333" s="3" t="str">
        <f>"  &lt;/Analysis&gt;"</f>
        <v xml:space="preserve">  &lt;/Analysis&gt;</v>
      </c>
      <c r="K333" s="3" t="str">
        <f t="shared" ref="K333:M335" si="26">K179</f>
        <v>rs17487223</v>
      </c>
      <c r="L333" s="3" t="str">
        <f t="shared" si="26"/>
        <v>rs12441088</v>
      </c>
      <c r="M333" s="3" t="str">
        <f t="shared" si="26"/>
        <v>rs1316971</v>
      </c>
    </row>
    <row r="334" spans="1:13" s="21" customFormat="1">
      <c r="A334" s="28" t="s">
        <v>69</v>
      </c>
      <c r="B334" s="20" t="s">
        <v>83</v>
      </c>
      <c r="C334" s="21" t="str">
        <f>CONCATENATE("&lt;# ",B334," #&gt;")</f>
        <v>&lt;# Wild type #&gt;</v>
      </c>
      <c r="K334" s="21" t="str">
        <f t="shared" si="26"/>
        <v>C78631645T</v>
      </c>
      <c r="L334" s="21" t="str">
        <f t="shared" si="26"/>
        <v>G78635922T</v>
      </c>
      <c r="M334" s="21" t="str">
        <f t="shared" si="26"/>
        <v>A78638168G</v>
      </c>
    </row>
    <row r="335" spans="1:13">
      <c r="A335" s="14" t="s">
        <v>21</v>
      </c>
      <c r="B335" s="15" t="str">
        <f>K54</f>
        <v>NC_000015.9:g.[78923987=];[78923987=]</v>
      </c>
      <c r="K335" s="3" t="str">
        <f t="shared" si="26"/>
        <v>NC_000015.9:g.</v>
      </c>
      <c r="L335" s="3" t="str">
        <f t="shared" si="26"/>
        <v>NC_000015.9:g.</v>
      </c>
      <c r="M335" s="3" t="str">
        <f t="shared" si="26"/>
        <v>NC_000015.9:g.</v>
      </c>
    </row>
    <row r="336" spans="1:13">
      <c r="A336" s="14" t="s">
        <v>71</v>
      </c>
      <c r="B336" s="15" t="str">
        <f>L54</f>
        <v>NC_000015.9:g.[78928264=];[78928264=]</v>
      </c>
      <c r="C336" s="3" t="str">
        <f>CONCATENATE("  &lt;Analysis name=",CHAR(34),B334,CHAR(34))</f>
        <v xml:space="preserve">  &lt;Analysis name="Wild type"</v>
      </c>
      <c r="J336" s="3" t="str">
        <f t="shared" ref="J336:M343" si="27">J182</f>
        <v>Variant</v>
      </c>
      <c r="K336" s="3" t="str">
        <f t="shared" si="27"/>
        <v>[78923987C&gt;T]</v>
      </c>
      <c r="L336" s="3" t="str">
        <f t="shared" si="27"/>
        <v>[78928264G&gt;T]</v>
      </c>
      <c r="M336" s="3" t="str">
        <f t="shared" si="27"/>
        <v>[78930510A&gt;G]</v>
      </c>
    </row>
    <row r="337" spans="1:13">
      <c r="A337" s="26" t="s">
        <v>74</v>
      </c>
      <c r="B337" s="15" t="str">
        <f>CONCATENATE("Your ",B12," gene has no variants. A normal gene is referred to as a ",CHAR(34),"wild-type",CHAR(34)," gene.")</f>
        <v>Your CHRNB4 gene has no variants. A normal gene is referred to as a "wild-type" gene.</v>
      </c>
      <c r="C337" s="3" t="str">
        <f>CONCATENATE("            case={  variantCall ",CHAR(40),CHAR(34),B335,CHAR(34),CHAR(41))</f>
        <v xml:space="preserve">            case={  variantCall ("NC_000015.9:g.[78923987=];[78923987=]")</v>
      </c>
      <c r="J337" s="3" t="str">
        <f t="shared" si="27"/>
        <v>Wildtype</v>
      </c>
      <c r="K337" s="3" t="str">
        <f t="shared" si="27"/>
        <v>[78923987=]</v>
      </c>
      <c r="L337" s="3" t="str">
        <f t="shared" si="27"/>
        <v>[78928264=]</v>
      </c>
      <c r="M337" s="3" t="str">
        <f t="shared" si="27"/>
        <v>[78930510=]</v>
      </c>
    </row>
    <row r="338" spans="1:13">
      <c r="A338" s="26" t="s">
        <v>28</v>
      </c>
      <c r="C338" s="3" t="s">
        <v>70</v>
      </c>
      <c r="J338" s="3" t="str">
        <f t="shared" si="27"/>
        <v>Het</v>
      </c>
      <c r="K338" s="3" t="str">
        <f t="shared" si="27"/>
        <v>NC_000015.9:g.[78923987C&gt;T];[78923987=]</v>
      </c>
      <c r="L338" s="3" t="str">
        <f t="shared" si="27"/>
        <v>NC_000015.9:g.[78928264G&gt;T];[78928264=]</v>
      </c>
      <c r="M338" s="3" t="str">
        <f t="shared" si="27"/>
        <v>NC_000015.9:g.[78930510A&gt;G];[78930510=]</v>
      </c>
    </row>
    <row r="339" spans="1:13">
      <c r="A339" s="26" t="s">
        <v>72</v>
      </c>
      <c r="C339" s="3" t="str">
        <f>CONCATENATE("                    ","variantCall ",CHAR(40),CHAR(34),L340,CHAR(34),CHAR(41))</f>
        <v xml:space="preserve">                    variantCall ("NC_000015.9:g.[78928264=];[78928264=]")</v>
      </c>
      <c r="J339" s="3" t="str">
        <f t="shared" si="27"/>
        <v>Homo</v>
      </c>
      <c r="K339" s="3" t="str">
        <f t="shared" si="27"/>
        <v>NC_000015.9:g.[78923987C&gt;T];[78923987C&gt;T]</v>
      </c>
      <c r="L339" s="3" t="str">
        <f t="shared" si="27"/>
        <v>NC_000015.9:g.[78928264G&gt;T];[78928264G&gt;T]</v>
      </c>
      <c r="M339" s="3" t="str">
        <f t="shared" si="27"/>
        <v>NC_000015.9:g.[78930510A&gt;G];[78930510A&gt;G]</v>
      </c>
    </row>
    <row r="340" spans="1:13">
      <c r="A340" s="26"/>
      <c r="C340" s="3" t="s">
        <v>70</v>
      </c>
      <c r="J340" s="3" t="str">
        <f t="shared" si="27"/>
        <v>Wildtype</v>
      </c>
      <c r="K340" s="3" t="str">
        <f t="shared" si="27"/>
        <v>NC_000015.9:g.[78923987=];[78923987=]</v>
      </c>
      <c r="L340" s="3" t="str">
        <f t="shared" si="27"/>
        <v>NC_000015.9:g.[78928264=];[78928264=]</v>
      </c>
      <c r="M340" s="3" t="str">
        <f t="shared" si="27"/>
        <v>NC_000015.9:g.[78930510=];[78930510=]</v>
      </c>
    </row>
    <row r="341" spans="1:13">
      <c r="A341" s="26"/>
      <c r="C341" s="3" t="str">
        <f>CONCATENATE("                    ","variantCall ",CHAR(40),CHAR(34),M340,CHAR(34),CHAR(41))</f>
        <v xml:space="preserve">                    variantCall ("NC_000015.9:g.[78930510=];[78930510=]")</v>
      </c>
      <c r="J341" s="3" t="str">
        <f t="shared" si="27"/>
        <v>Het%</v>
      </c>
      <c r="K341" s="3">
        <f t="shared" si="27"/>
        <v>29</v>
      </c>
      <c r="L341" s="3">
        <f t="shared" si="27"/>
        <v>48.5</v>
      </c>
      <c r="M341" s="3">
        <f t="shared" si="27"/>
        <v>44.3</v>
      </c>
    </row>
    <row r="342" spans="1:13">
      <c r="A342" s="26"/>
      <c r="C342" s="3" t="str">
        <f>CONCATENATE("                  } &gt; ")</f>
        <v xml:space="preserve">                  } &gt; </v>
      </c>
      <c r="J342" s="3" t="str">
        <f t="shared" si="27"/>
        <v>Homo%</v>
      </c>
      <c r="K342" s="3">
        <f t="shared" si="27"/>
        <v>10.4</v>
      </c>
      <c r="L342" s="3">
        <f t="shared" si="27"/>
        <v>29.2</v>
      </c>
      <c r="M342" s="3">
        <f t="shared" si="27"/>
        <v>38.200000000000003</v>
      </c>
    </row>
    <row r="343" spans="1:13">
      <c r="A343" s="14"/>
      <c r="J343" s="3" t="str">
        <f t="shared" si="27"/>
        <v>Wildtype%</v>
      </c>
      <c r="K343" s="3">
        <f t="shared" si="27"/>
        <v>60.6</v>
      </c>
      <c r="L343" s="3">
        <f t="shared" si="27"/>
        <v>22.3</v>
      </c>
      <c r="M343" s="3">
        <f t="shared" si="27"/>
        <v>17.5</v>
      </c>
    </row>
    <row r="344" spans="1:13">
      <c r="A344" s="14"/>
      <c r="C344" s="3" t="s">
        <v>26</v>
      </c>
    </row>
    <row r="345" spans="1:13">
      <c r="A345" s="14"/>
    </row>
    <row r="346" spans="1:13">
      <c r="A346" s="26"/>
      <c r="C346" s="3" t="str">
        <f>CONCATENATE("    ",B337)</f>
        <v xml:space="preserve">    Your CHRNB4 gene has no variants. A normal gene is referred to as a "wild-type" gene.</v>
      </c>
    </row>
    <row r="347" spans="1:13">
      <c r="A347" s="26"/>
    </row>
    <row r="348" spans="1:13">
      <c r="A348" s="26"/>
      <c r="C348" s="3" t="s">
        <v>30</v>
      </c>
    </row>
    <row r="349" spans="1:13">
      <c r="A349" s="26"/>
    </row>
    <row r="350" spans="1:13">
      <c r="A350" s="26"/>
      <c r="C350" s="3" t="str">
        <f>CONCATENATE( "    &lt;piechart percentage=",B339," /&gt;")</f>
        <v xml:space="preserve">    &lt;piechart percentage= /&gt;</v>
      </c>
    </row>
    <row r="351" spans="1:13">
      <c r="A351" s="26"/>
      <c r="C351" s="3" t="str">
        <f>"  &lt;/Analysis&gt;"</f>
        <v xml:space="preserve">  &lt;/Analysis&gt;</v>
      </c>
    </row>
    <row r="352" spans="1:13" s="21" customFormat="1">
      <c r="A352" s="28" t="s">
        <v>69</v>
      </c>
      <c r="B352" s="20" t="s">
        <v>84</v>
      </c>
      <c r="C352" s="21" t="str">
        <f>CONCATENATE("&lt;# ",B352," #&gt;")</f>
        <v>&lt;# Unknown #&gt;</v>
      </c>
    </row>
    <row r="353" spans="1:3">
      <c r="A353" s="14" t="s">
        <v>21</v>
      </c>
      <c r="B353" s="15" t="str">
        <f>K72</f>
        <v>[78923987C&gt;T]</v>
      </c>
    </row>
    <row r="354" spans="1:3">
      <c r="A354" s="14" t="s">
        <v>71</v>
      </c>
      <c r="C354" s="3" t="str">
        <f>CONCATENATE("  &lt;Analysis name=",CHAR(34),B352,CHAR(34), " case=true&gt;")</f>
        <v xml:space="preserve">  &lt;Analysis name="Unknown" case=true&gt;</v>
      </c>
    </row>
    <row r="355" spans="1:3">
      <c r="A355" s="26" t="s">
        <v>74</v>
      </c>
      <c r="B355" s="15" t="s">
        <v>31</v>
      </c>
    </row>
    <row r="356" spans="1:3">
      <c r="A356" s="26" t="s">
        <v>72</v>
      </c>
      <c r="B356" s="15">
        <v>0</v>
      </c>
      <c r="C356" s="3" t="s">
        <v>26</v>
      </c>
    </row>
    <row r="357" spans="1:3">
      <c r="A357" s="26"/>
    </row>
    <row r="358" spans="1:3">
      <c r="A358" s="14"/>
      <c r="C358" s="3" t="str">
        <f>CONCATENATE("    ",B355)</f>
        <v xml:space="preserve">    The effect is unknown.</v>
      </c>
    </row>
    <row r="359" spans="1:3">
      <c r="A359" s="14"/>
    </row>
    <row r="360" spans="1:3">
      <c r="A360" s="14"/>
      <c r="C360" s="3" t="s">
        <v>30</v>
      </c>
    </row>
    <row r="361" spans="1:3">
      <c r="A361" s="26"/>
    </row>
    <row r="362" spans="1:3">
      <c r="A362" s="26"/>
      <c r="C362" s="3" t="str">
        <f>CONCATENATE( "    &lt;piechart percentage=",B356," /&gt;")</f>
        <v xml:space="preserve">    &lt;piechart percentage=0 /&gt;</v>
      </c>
    </row>
    <row r="363" spans="1:3">
      <c r="A363" s="26"/>
      <c r="C363" s="3" t="str">
        <f>"  &lt;/Analysis&gt;"</f>
        <v xml:space="preserve">  &lt;/Analysis&gt;</v>
      </c>
    </row>
    <row r="364" spans="1:3">
      <c r="A364" s="14"/>
      <c r="C364" s="31" t="s">
        <v>369</v>
      </c>
    </row>
    <row r="365" spans="1:3" s="21" customFormat="1">
      <c r="A365" s="19"/>
      <c r="B365" s="20"/>
      <c r="C365" s="35"/>
    </row>
    <row r="366" spans="1:3">
      <c r="A366" s="14" t="s">
        <v>77</v>
      </c>
      <c r="B366" s="47" t="s">
        <v>232</v>
      </c>
      <c r="C366" s="10" t="str">
        <f>CONCATENATE("&lt;# ",A366," ",B366," #&gt;")</f>
        <v>&lt;# Tissues male tissue, endocrine tissues #&gt;</v>
      </c>
    </row>
    <row r="367" spans="1:3">
      <c r="A367" s="14"/>
    </row>
    <row r="368" spans="1:3">
      <c r="A368" s="14"/>
      <c r="B368" s="40" t="s">
        <v>233</v>
      </c>
      <c r="C368" s="31" t="str">
        <f>CONCATENATE("&lt;TopicBar ",B368," /&gt;")</f>
        <v>&lt;TopicBar mesh_D005837 mesh_D004703 /&gt;</v>
      </c>
    </row>
    <row r="369" spans="1:3">
      <c r="A369" s="14"/>
    </row>
    <row r="370" spans="1:3">
      <c r="A370" s="14" t="s">
        <v>32</v>
      </c>
      <c r="B370" s="47" t="s">
        <v>230</v>
      </c>
      <c r="C370" s="10" t="str">
        <f>CONCATENATE("&lt;# ",A370," ",B370," #&gt;")</f>
        <v>&lt;# Symptoms inflammation #&gt;</v>
      </c>
    </row>
    <row r="371" spans="1:3">
      <c r="A371" s="14"/>
    </row>
    <row r="372" spans="1:3">
      <c r="A372" s="14"/>
      <c r="B372" s="40" t="s">
        <v>231</v>
      </c>
      <c r="C372" s="31" t="str">
        <f>CONCATENATE("&lt;TopicBar ",B372," /&gt;")</f>
        <v>&lt;TopicBar mesh_D007249 /&gt;</v>
      </c>
    </row>
    <row r="373" spans="1:3">
      <c r="A373" s="14"/>
      <c r="C373" s="31"/>
    </row>
    <row r="374" spans="1:3">
      <c r="A374" s="14" t="s">
        <v>48</v>
      </c>
      <c r="B374" s="40" t="s">
        <v>234</v>
      </c>
      <c r="C374" s="10" t="str">
        <f>CONCATENATE("&lt;# ",A374," ",B374," #&gt;")</f>
        <v>&lt;# Diseases cancer; ME/CFS; nicotine dependency;  Disease susceptibility - increased susceptibility to viral, bacterial, and parasitic infections #&gt;</v>
      </c>
    </row>
    <row r="375" spans="1:3">
      <c r="A375" s="14"/>
    </row>
    <row r="376" spans="1:3">
      <c r="A376" s="14"/>
      <c r="B376" s="40" t="s">
        <v>235</v>
      </c>
      <c r="C376" s="31" t="str">
        <f>CONCATENATE("&lt;TopicBar ",B376," /&gt;")</f>
        <v>&lt;TopicBar mesh_D009369 mesh_D014029 mesh_D015673 mesh_D014029  mesh_D004198 /&gt;</v>
      </c>
    </row>
    <row r="377" spans="1:3">
      <c r="A377" s="14"/>
    </row>
    <row r="378" spans="1:3" s="21" customFormat="1">
      <c r="A378" s="28"/>
      <c r="B378" s="20"/>
    </row>
    <row r="379" spans="1:3">
      <c r="B379" s="30"/>
    </row>
    <row r="381" spans="1:3">
      <c r="B381" s="30"/>
    </row>
    <row r="383" spans="1:3">
      <c r="B383" s="30"/>
    </row>
    <row r="385" spans="2:2">
      <c r="B385" s="30"/>
    </row>
    <row r="387" spans="2:2">
      <c r="B387" s="3"/>
    </row>
    <row r="389" spans="2:2">
      <c r="B389" s="3"/>
    </row>
    <row r="1061" spans="3:3">
      <c r="C1061" s="3" t="str">
        <f>CONCATENATE("    This variant is a change at a specific point in the ",B1052," gene from ",B1061," to ",B1062,"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7" spans="3:3">
      <c r="C1067" s="3" t="str">
        <f>CONCATENATE("    This variant is a change at a specific point in the ",B1052," gene from ",B1067," to ",B1068," resulting in incorrect ",B1055,"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7" spans="3:3">
      <c r="C1197" s="3" t="str">
        <f>CONCATENATE("    This variant is a change at a specific point in the ",B1188," gene from ",B1197," to ",B1198,"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03" spans="3:3">
      <c r="C1203" s="3" t="str">
        <f>CONCATENATE("    This variant is a change at a specific point in the ",B1188," gene from ",B1203," to ",B1204," resulting in incorrect ",B1191,"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5" spans="3:3">
      <c r="C1605" s="3" t="str">
        <f>CONCATENATE("    This variant is a change at a specific point in the ",B1596," gene from ",B1605," to ",B1606,"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c r="C1611" s="3" t="str">
        <f>CONCATENATE("    This variant is a change at a specific point in the ",B1596," gene from ",B1611," to ",B1612," resulting in incorrect ",B1599,"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1" spans="3:3">
      <c r="C1741" s="3" t="str">
        <f>CONCATENATE("    This variant is a change at a specific point in the ",B1732," gene from ",B1741," to ",B1742,"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c r="C1747" s="3" t="str">
        <f>CONCATENATE("    This variant is a change at a specific point in the ",B1732," gene from ",B1747," to ",B1748," resulting in incorrect ",B1735,"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7" spans="3:3">
      <c r="C1877" s="3" t="str">
        <f>CONCATENATE("    This variant is a change at a specific point in the ",B1868," gene from ",B1877," to ",B1878,"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c r="C1883" s="3" t="str">
        <f>CONCATENATE("    This variant is a change at a specific point in the ",B1868," gene from ",B1883," to ",B1884," resulting in incorrect ",B1871,"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3" spans="3:3">
      <c r="C2013" s="3" t="str">
        <f>CONCATENATE("    This variant is a change at a specific point in the ",B2004," gene from ",B2013," to ",B2014,"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c r="C2019" s="3" t="str">
        <f>CONCATENATE("    This variant is a change at a specific point in the ",B2004," gene from ",B2019," to ",B2020," resulting in incorrect ",B2007,"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9" spans="3:3">
      <c r="C2149" s="3" t="str">
        <f>CONCATENATE("    This variant is a change at a specific point in the ",B2140," gene from ",B2149," to ",B2150,"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c r="C2155" s="3" t="str">
        <f>CONCATENATE("    This variant is a change at a specific point in the ",B2140," gene from ",B2155," to ",B2156," resulting in incorrect ",B2143,"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5" spans="3:3">
      <c r="C2285" s="3" t="str">
        <f>CONCATENATE("    This variant is a change at a specific point in the ",B2276," gene from ",B2285," to ",B2286,"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c r="C2291" s="3" t="str">
        <f>CONCATENATE("    This variant is a change at a specific point in the ",B2276," gene from ",B2291," to ",B2292," resulting in incorrect ",B2279,"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1" spans="3:3">
      <c r="C2421" s="3" t="str">
        <f>CONCATENATE("    This variant is a change at a specific point in the ",B2412," gene from ",B2421," to ",B2422,"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7" spans="3:3">
      <c r="C2427" s="3" t="str">
        <f>CONCATENATE("    This variant is a change at a specific point in the ",B2412," gene from ",B2427," to ",B2428," resulting in incorrect ",B2415,"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7" spans="3:3">
      <c r="C2557" s="3" t="str">
        <f>CONCATENATE("    This variant is a change at a specific point in the ",B2548," gene from ",B2557," to ",B2558,"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63" spans="3:3">
      <c r="C2563" s="3" t="str">
        <f>CONCATENATE("    This variant is a change at a specific point in the ",B2548," gene from ",B2563," to ",B2564," resulting in incorrect ",B2551,"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6221-C528-49AC-AC2C-DF77F282E73D}">
  <dimension ref="A1:AJ2585"/>
  <sheetViews>
    <sheetView workbookViewId="0">
      <selection sqref="A1:XFD1048576"/>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22.28515625" style="3" customWidth="1"/>
    <col min="18" max="18" width="15.5703125" style="3" customWidth="1"/>
    <col min="19" max="21" width="15.42578125" style="3" bestFit="1" customWidth="1"/>
    <col min="22" max="22" width="4.7109375" style="3" customWidth="1"/>
    <col min="23" max="23" width="15" style="3" customWidth="1"/>
    <col min="24" max="24" width="14.85546875" style="3" hidden="1"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P1" s="8"/>
      <c r="Q1" s="9"/>
      <c r="R1" s="8"/>
      <c r="W1" s="10"/>
      <c r="X1" s="11"/>
      <c r="Y1" s="10"/>
      <c r="Z1" s="10"/>
      <c r="AA1" s="10"/>
      <c r="AF1" s="13"/>
      <c r="AG1" s="13"/>
      <c r="AJ1" s="13"/>
    </row>
    <row r="2" spans="1:36">
      <c r="A2" s="14" t="s">
        <v>35</v>
      </c>
      <c r="B2" t="s">
        <v>259</v>
      </c>
      <c r="C2" s="3" t="str">
        <f>CONCATENATE("&lt;",A2," ",B2," /&gt;")</f>
        <v>&lt;Gene_Name COMT /&gt;</v>
      </c>
      <c r="D2" s="15"/>
      <c r="H2" s="10"/>
      <c r="I2" s="11"/>
      <c r="J2" s="10"/>
      <c r="K2" s="10"/>
      <c r="L2" s="10"/>
      <c r="P2" s="14"/>
      <c r="Q2"/>
      <c r="S2" s="15"/>
      <c r="W2" s="10"/>
      <c r="X2" s="11"/>
      <c r="Y2" s="10"/>
      <c r="Z2" s="10"/>
      <c r="AA2" s="10"/>
      <c r="AF2" s="13"/>
      <c r="AG2" s="13"/>
      <c r="AJ2" s="13"/>
    </row>
    <row r="3" spans="1:36">
      <c r="A3" s="8"/>
      <c r="B3" s="9"/>
      <c r="C3" s="8"/>
      <c r="D3" s="15"/>
      <c r="H3" s="10"/>
      <c r="I3" s="11"/>
      <c r="J3" s="10"/>
      <c r="K3" s="10"/>
      <c r="L3" s="10"/>
      <c r="P3" s="8"/>
      <c r="Q3" s="9"/>
      <c r="R3" s="8"/>
      <c r="S3" s="15"/>
      <c r="W3" s="10"/>
      <c r="X3" s="11"/>
      <c r="Y3" s="10"/>
      <c r="Z3" s="10"/>
      <c r="AA3" s="10"/>
      <c r="AF3" s="13"/>
      <c r="AG3" s="13"/>
      <c r="AJ3" s="13"/>
    </row>
    <row r="4" spans="1:36">
      <c r="A4" s="14" t="s">
        <v>37</v>
      </c>
      <c r="B4" s="15" t="s">
        <v>258</v>
      </c>
      <c r="C4" s="3" t="str">
        <f>CONCATENATE("&lt;",A4," ",B4," /&gt;")</f>
        <v>&lt;GeneName_full catechol-O-methyltransferase /&gt;</v>
      </c>
      <c r="D4" s="15"/>
      <c r="H4" s="10"/>
      <c r="I4" s="11"/>
      <c r="J4" s="10"/>
      <c r="K4" s="10"/>
      <c r="L4" s="10"/>
      <c r="P4" s="14"/>
      <c r="Q4" s="15"/>
      <c r="S4" s="15"/>
      <c r="W4" s="10"/>
      <c r="X4" s="11"/>
      <c r="Y4" s="10"/>
      <c r="Z4" s="10"/>
      <c r="AA4" s="10"/>
      <c r="AF4" s="13"/>
      <c r="AG4" s="13"/>
      <c r="AJ4" s="13"/>
    </row>
    <row r="5" spans="1:36">
      <c r="A5" s="14"/>
      <c r="B5" s="9"/>
      <c r="C5" s="8"/>
      <c r="D5" s="15"/>
      <c r="H5" s="10"/>
      <c r="I5" s="11"/>
      <c r="J5" s="10"/>
      <c r="K5" s="10"/>
      <c r="L5" s="10"/>
      <c r="P5" s="14"/>
      <c r="Q5" s="9"/>
      <c r="R5" s="8"/>
      <c r="S5" s="15"/>
      <c r="W5" s="10"/>
      <c r="X5" s="11"/>
      <c r="Y5" s="10"/>
      <c r="Z5" s="10"/>
      <c r="AA5" s="10"/>
      <c r="AF5" s="13"/>
      <c r="AG5" s="13"/>
      <c r="AJ5" s="13"/>
    </row>
    <row r="6" spans="1:36">
      <c r="A6" s="14"/>
      <c r="B6" s="3"/>
      <c r="C6" s="3" t="str">
        <f>CONCATENATE("# What does the ",B2," gene do?")</f>
        <v># What does the COMT gene do?</v>
      </c>
      <c r="H6" s="10"/>
      <c r="I6" s="11"/>
      <c r="J6" s="10"/>
      <c r="K6" s="10"/>
      <c r="L6" s="10"/>
      <c r="P6" s="14"/>
      <c r="W6" s="10"/>
      <c r="X6" s="11"/>
      <c r="Y6" s="10"/>
      <c r="Z6" s="10"/>
      <c r="AA6" s="10"/>
      <c r="AF6" s="13"/>
      <c r="AJ6" s="13"/>
    </row>
    <row r="7" spans="1:36">
      <c r="A7" s="14"/>
      <c r="I7" s="17"/>
      <c r="P7" s="14"/>
      <c r="Q7" s="15"/>
      <c r="X7" s="17"/>
      <c r="AF7" s="13"/>
      <c r="AJ7" s="13"/>
    </row>
    <row r="8" spans="1:36">
      <c r="A8" s="14" t="s">
        <v>5</v>
      </c>
      <c r="B8" s="37" t="s">
        <v>262</v>
      </c>
      <c r="C8" s="3" t="str">
        <f>CONCATENATE(B8," This gene is located on chromosome ",B9,".")</f>
        <v>The COMT gene creates an enzyme that helps break down and balance levels of dopamine and [norepinephrine](https://www.britannica.com/science/norepinephrine) in nerve cells. It also helps balance levels of [estrogen](https://www.ncbi.nlm.nih.gov/pubmed/18324659?dopt=Abstract) in the liver, kidneys, and blood. Variants may cause [anxiety](https://www.ncbi.nlm.nih.gov/pubmed/16232322?dopt=Abstract), [depression](https://www.ncbi.nlm.nih.gov/pubmed/19520435?dopt=Abstract), muscle pain and fatigue, oxidative stress,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 This gene is located on chromosome 22.</v>
      </c>
      <c r="I8" s="17"/>
      <c r="P8" s="14"/>
      <c r="Q8" s="37"/>
      <c r="X8" s="17"/>
    </row>
    <row r="9" spans="1:36">
      <c r="A9" s="14" t="s">
        <v>6</v>
      </c>
      <c r="B9" s="2">
        <v>22</v>
      </c>
      <c r="I9" s="17"/>
      <c r="P9" s="14"/>
      <c r="Q9" s="2"/>
      <c r="X9" s="17"/>
    </row>
    <row r="10" spans="1:36">
      <c r="A10" s="14" t="s">
        <v>7</v>
      </c>
      <c r="B10" s="2" t="s">
        <v>8</v>
      </c>
      <c r="P10" s="14"/>
      <c r="Q10" s="2"/>
    </row>
    <row r="11" spans="1:36" s="21" customFormat="1" ht="16.5" thickBot="1">
      <c r="A11" s="19"/>
      <c r="B11" s="20"/>
      <c r="P11" s="19"/>
      <c r="Q11" s="20"/>
    </row>
    <row r="12" spans="1:36" ht="16.5" thickBot="1">
      <c r="A12" s="14" t="s">
        <v>3</v>
      </c>
      <c r="B12" t="s">
        <v>259</v>
      </c>
      <c r="C12" s="3" t="str">
        <f>CONCATENATE("&lt;GeneMap name= ",CHAR(34),B12,CHAR(34)," interval=",CHAR(34),B13,"=",CHAR(34),"&gt;")</f>
        <v>&lt;GeneMap name= "COMT" interval="NC_000022.10:g.19929263_19957498="&gt;</v>
      </c>
      <c r="J12" s="23"/>
      <c r="K12" s="23"/>
      <c r="L12" s="23"/>
      <c r="M12" s="23"/>
      <c r="N12" s="23"/>
      <c r="O12" s="24"/>
      <c r="P12" s="14"/>
      <c r="Q12"/>
      <c r="Y12" s="23"/>
      <c r="Z12" s="23"/>
      <c r="AA12" s="23"/>
      <c r="AB12" s="23"/>
      <c r="AC12" s="23"/>
      <c r="AD12" s="24"/>
    </row>
    <row r="13" spans="1:36">
      <c r="A13" s="14" t="s">
        <v>9</v>
      </c>
      <c r="B13" t="s">
        <v>260</v>
      </c>
      <c r="J13" s="15"/>
      <c r="K13" s="15"/>
      <c r="L13" s="15"/>
      <c r="M13" s="15"/>
      <c r="N13" s="15"/>
      <c r="O13" s="15"/>
      <c r="P13" s="14"/>
      <c r="Q13"/>
      <c r="Y13" s="15"/>
      <c r="Z13" s="15"/>
      <c r="AA13" s="15"/>
      <c r="AB13" s="15"/>
      <c r="AC13" s="15"/>
      <c r="AD13" s="15"/>
    </row>
    <row r="14" spans="1:36">
      <c r="A14" s="14" t="s">
        <v>11</v>
      </c>
      <c r="B14" t="s">
        <v>261</v>
      </c>
      <c r="C14" s="3" t="str">
        <f>CONCATENATE("# What are some common variants of ",B12,"?")</f>
        <v># What are some common variants of COMT?</v>
      </c>
      <c r="J14" s="15"/>
      <c r="K14" s="15"/>
      <c r="L14" s="15"/>
      <c r="M14" s="15"/>
      <c r="N14" s="15"/>
      <c r="O14" s="15"/>
      <c r="P14" s="14"/>
      <c r="Q14"/>
      <c r="Y14" s="15"/>
      <c r="Z14" s="15"/>
      <c r="AA14" s="15"/>
      <c r="AB14" s="15"/>
      <c r="AC14" s="15"/>
      <c r="AD14" s="15"/>
    </row>
    <row r="15" spans="1:36">
      <c r="A15" s="14"/>
      <c r="B15" s="2"/>
      <c r="C15" s="3" t="s">
        <v>13</v>
      </c>
      <c r="J15" s="15"/>
      <c r="K15" s="15"/>
      <c r="L15" s="15"/>
      <c r="M15" s="15"/>
      <c r="N15" s="15"/>
      <c r="O15" s="15"/>
      <c r="P15" s="14"/>
      <c r="Q15" s="2"/>
      <c r="R15" s="3" t="s">
        <v>13</v>
      </c>
      <c r="Y15" s="15"/>
      <c r="Z15" s="15"/>
      <c r="AA15" s="15"/>
      <c r="AB15" s="15"/>
      <c r="AC15" s="15"/>
      <c r="AD15" s="15"/>
    </row>
    <row r="16" spans="1:36">
      <c r="B16" s="2"/>
      <c r="C16" s="3" t="str">
        <f>CONCATENATE("A variant is a change at a specific point in the gene from the expected nucleotide sequence to another, resulting in incorrect ", B10," function. There are ",B14," common variants in ",B12,": ",B22,", ",B31,", ",B40,", ",Q22,", and ",Q31,".")</f>
        <v>A variant is a change at a specific point in the gene from the expected nucleotide sequence to another, resulting in incorrect enzyme function. There are five common variants in COMT: [G158A](https://www.ncbi.nlm.nih.gov/pubmed/21059181), [C62T](https://www.ncbi.nlm.nih.gov/pubmed/26891941), [T19943884C](https://www.ncbi.nlm.nih.gov/pubmed/19540336), [T19960814C](https://www.ncbi.nlm.nih.gov/pubmed/19772600), and [T19950010G](https://www.ncbi.nlm.nih.gov/pubmed/19540336).</v>
      </c>
      <c r="J16" s="15"/>
      <c r="K16" s="15"/>
      <c r="L16" s="15"/>
      <c r="M16" s="15"/>
      <c r="N16" s="15"/>
      <c r="O16" s="15"/>
      <c r="Q16" s="2"/>
      <c r="Y16" s="15"/>
      <c r="Z16" s="15"/>
      <c r="AA16" s="15"/>
      <c r="AB16" s="15"/>
      <c r="AC16" s="15"/>
      <c r="AD16" s="15"/>
    </row>
    <row r="17" spans="1:30">
      <c r="B17" s="2"/>
      <c r="J17" s="15"/>
      <c r="K17" s="15"/>
      <c r="L17" s="15"/>
      <c r="M17" s="15"/>
      <c r="N17" s="15"/>
      <c r="O17" s="15"/>
      <c r="Q17" s="2"/>
      <c r="Y17" s="15"/>
      <c r="Z17" s="15"/>
      <c r="AA17" s="15"/>
      <c r="AB17" s="15"/>
      <c r="AC17" s="15"/>
      <c r="AD17" s="15"/>
    </row>
    <row r="18" spans="1:30">
      <c r="A18" s="14" t="s">
        <v>14</v>
      </c>
      <c r="B18" s="6" t="s">
        <v>284</v>
      </c>
      <c r="C18" s="3" t="str">
        <f>CONCATENATE("&lt;# ",B19," #&gt;")</f>
        <v>&lt;# G158A #&gt;</v>
      </c>
      <c r="J18" s="15"/>
      <c r="K18" s="15"/>
      <c r="L18" s="15"/>
      <c r="M18" s="15"/>
      <c r="N18" s="15"/>
      <c r="O18" s="15"/>
      <c r="P18" s="14" t="s">
        <v>14</v>
      </c>
      <c r="Q18" s="6" t="s">
        <v>274</v>
      </c>
      <c r="R18" s="3" t="str">
        <f>CONCATENATE("&lt;# ",Q19," #&gt;")</f>
        <v>&lt;# T19960814C #&gt;</v>
      </c>
      <c r="Y18" s="15"/>
      <c r="Z18" s="15"/>
      <c r="AA18" s="15"/>
      <c r="AB18" s="15"/>
      <c r="AC18" s="15"/>
      <c r="AD18" s="15"/>
    </row>
    <row r="19" spans="1:30">
      <c r="A19" s="26" t="s">
        <v>15</v>
      </c>
      <c r="B19" s="6" t="s">
        <v>263</v>
      </c>
      <c r="J19" s="6"/>
      <c r="K19" s="15"/>
      <c r="L19" s="15"/>
      <c r="M19" s="15"/>
      <c r="N19" s="15"/>
      <c r="O19" s="15"/>
      <c r="P19" s="26" t="s">
        <v>15</v>
      </c>
      <c r="Q19" s="7" t="s">
        <v>269</v>
      </c>
      <c r="Y19" s="6"/>
      <c r="Z19" s="15"/>
      <c r="AA19" s="15"/>
      <c r="AB19" s="15"/>
      <c r="AC19" s="15"/>
      <c r="AD19" s="15"/>
    </row>
    <row r="20" spans="1:30">
      <c r="A20" s="26" t="s">
        <v>17</v>
      </c>
      <c r="B20" s="2" t="s">
        <v>44</v>
      </c>
      <c r="C20" s="3" t="str">
        <f>CONCATENATE("  &lt;Variant hgvs=",CHAR(34),B18,CHAR(34)," name=",CHAR(34),B19,CHAR(34),"&gt; ")</f>
        <v xml:space="preserve">  &lt;Variant hgvs="NC_000022.10:g.19951271G&gt;A" name="G158A"&gt; </v>
      </c>
      <c r="J20" s="2"/>
      <c r="K20" s="15"/>
      <c r="L20" s="15"/>
      <c r="M20" s="15"/>
      <c r="N20" s="15"/>
      <c r="O20" s="15"/>
      <c r="P20" s="26" t="s">
        <v>17</v>
      </c>
      <c r="Q20" s="2" t="s">
        <v>20</v>
      </c>
      <c r="R20" s="3" t="str">
        <f>CONCATENATE("  &lt;Variant hgvs=",CHAR(34),Q18,CHAR(34)," name=",CHAR(34),Q19,CHAR(34),"&gt; ")</f>
        <v xml:space="preserve">  &lt;Variant hgvs="NC_000022.10:g.19948337T&gt;C" name="T19960814C"&gt; </v>
      </c>
      <c r="Y20" s="2"/>
      <c r="Z20" s="15"/>
      <c r="AA20" s="15"/>
      <c r="AB20" s="15"/>
      <c r="AC20" s="15"/>
      <c r="AD20" s="15"/>
    </row>
    <row r="21" spans="1:30">
      <c r="A21" s="26" t="s">
        <v>19</v>
      </c>
      <c r="B21" s="2" t="s">
        <v>24</v>
      </c>
      <c r="H21" s="15"/>
      <c r="I21" s="15"/>
      <c r="J21" s="2"/>
      <c r="K21" s="15"/>
      <c r="L21" s="15"/>
      <c r="M21" s="15"/>
      <c r="N21" s="15"/>
      <c r="O21" s="15"/>
      <c r="P21" s="26" t="s">
        <v>19</v>
      </c>
      <c r="Q21" s="2" t="str">
        <f>"cytosine (C)"</f>
        <v>cytosine (C)</v>
      </c>
      <c r="W21" s="15"/>
      <c r="X21" s="15"/>
      <c r="Y21" s="2"/>
      <c r="Z21" s="15"/>
      <c r="AA21" s="15"/>
      <c r="AB21" s="15"/>
      <c r="AC21" s="15"/>
      <c r="AD21" s="15"/>
    </row>
    <row r="22" spans="1:30">
      <c r="A22" s="26" t="s">
        <v>21</v>
      </c>
      <c r="B22" s="7" t="s">
        <v>264</v>
      </c>
      <c r="C22" s="3" t="str">
        <f>CONCATENATE("    Instead of ",B20,", there is an ",B21," nucleotide.")</f>
        <v xml:space="preserve">    Instead of guanine (G), there is an adenine (A) nucleotide.</v>
      </c>
      <c r="H22" s="15"/>
      <c r="I22" s="15"/>
      <c r="J22" s="7"/>
      <c r="K22" s="15"/>
      <c r="L22" s="15"/>
      <c r="M22" s="15"/>
      <c r="N22" s="15"/>
      <c r="O22" s="15"/>
      <c r="P22" s="26" t="s">
        <v>21</v>
      </c>
      <c r="Q22" s="7" t="s">
        <v>270</v>
      </c>
      <c r="R22" s="3" t="str">
        <f>CONCATENATE("    Instead of ",Q20,", there is a ",Q21," nucleotide.")</f>
        <v xml:space="preserve">    Instead of thymine (T), there is a cytosine (C) nucleotide.</v>
      </c>
      <c r="W22" s="15"/>
      <c r="X22" s="15"/>
      <c r="Y22" s="7"/>
      <c r="Z22" s="15"/>
      <c r="AA22" s="15"/>
      <c r="AB22" s="15"/>
      <c r="AC22" s="15"/>
      <c r="AD22" s="15"/>
    </row>
    <row r="23" spans="1:30">
      <c r="A23" s="3" t="s">
        <v>64</v>
      </c>
      <c r="B23" s="3" t="s">
        <v>275</v>
      </c>
      <c r="H23" s="2"/>
      <c r="I23" s="2"/>
      <c r="J23" s="15"/>
      <c r="K23" s="15"/>
      <c r="L23" s="15"/>
      <c r="M23" s="15"/>
      <c r="N23" s="15"/>
      <c r="O23" s="15"/>
      <c r="P23" s="3" t="s">
        <v>64</v>
      </c>
      <c r="Q23" s="3" t="s">
        <v>275</v>
      </c>
      <c r="W23" s="2"/>
      <c r="X23" s="2"/>
      <c r="Y23" s="15"/>
      <c r="Z23" s="15"/>
      <c r="AA23" s="15"/>
      <c r="AB23" s="15"/>
      <c r="AC23" s="15"/>
      <c r="AD23" s="15"/>
    </row>
    <row r="24" spans="1:30">
      <c r="A24" s="3" t="s">
        <v>51</v>
      </c>
      <c r="B24" s="7" t="s">
        <v>285</v>
      </c>
      <c r="C24" s="3" t="str">
        <f>"  &lt;/Variant&gt;"</f>
        <v xml:space="preserve">  &lt;/Variant&gt;</v>
      </c>
      <c r="H24" s="2"/>
      <c r="I24" s="2"/>
      <c r="J24" s="15"/>
      <c r="K24" s="15"/>
      <c r="L24" s="15"/>
      <c r="M24" s="15"/>
      <c r="N24" s="15"/>
      <c r="O24" s="15"/>
      <c r="P24" s="3" t="s">
        <v>51</v>
      </c>
      <c r="Q24" s="7" t="s">
        <v>276</v>
      </c>
      <c r="R24" s="3" t="str">
        <f>"  &lt;/Variant&gt;"</f>
        <v xml:space="preserve">  &lt;/Variant&gt;</v>
      </c>
      <c r="W24" s="2"/>
      <c r="X24" s="2"/>
      <c r="Y24" s="15"/>
      <c r="Z24" s="15"/>
      <c r="AA24" s="15"/>
      <c r="AB24" s="15"/>
      <c r="AC24" s="15"/>
      <c r="AD24" s="15"/>
    </row>
    <row r="25" spans="1:30">
      <c r="A25" s="26" t="s">
        <v>52</v>
      </c>
      <c r="B25" s="7" t="s">
        <v>286</v>
      </c>
      <c r="J25" s="6"/>
      <c r="P25" s="26" t="s">
        <v>52</v>
      </c>
      <c r="Q25" s="7" t="s">
        <v>277</v>
      </c>
      <c r="Y25" s="6"/>
    </row>
    <row r="26" spans="1:30">
      <c r="A26" s="26"/>
      <c r="B26" s="7"/>
      <c r="J26" s="6"/>
      <c r="P26" s="26"/>
      <c r="Q26" s="7"/>
      <c r="Y26" s="6"/>
    </row>
    <row r="27" spans="1:30">
      <c r="A27" s="14" t="s">
        <v>14</v>
      </c>
      <c r="B27" s="6" t="s">
        <v>275</v>
      </c>
      <c r="C27" s="3" t="str">
        <f>CONCATENATE("&lt;# ",B28," #&gt;")</f>
        <v>&lt;# C62T #&gt;</v>
      </c>
      <c r="J27" s="6"/>
      <c r="P27" s="14" t="s">
        <v>14</v>
      </c>
      <c r="Q27" s="6" t="s">
        <v>278</v>
      </c>
      <c r="R27" s="3" t="str">
        <f>CONCATENATE("&lt;# ",Q28," #&gt;")</f>
        <v>&lt;# T19950010G #&gt;</v>
      </c>
      <c r="Y27" s="6"/>
    </row>
    <row r="28" spans="1:30">
      <c r="A28" s="26" t="s">
        <v>15</v>
      </c>
      <c r="B28" s="7" t="s">
        <v>265</v>
      </c>
      <c r="J28" s="2"/>
      <c r="P28" s="26" t="s">
        <v>15</v>
      </c>
      <c r="Q28" s="2" t="s">
        <v>271</v>
      </c>
      <c r="Y28" s="2"/>
    </row>
    <row r="29" spans="1:30">
      <c r="A29" s="26" t="s">
        <v>17</v>
      </c>
      <c r="B29" s="2" t="str">
        <f>"cytosine (C)"</f>
        <v>cytosine (C)</v>
      </c>
      <c r="C29" s="3" t="str">
        <f>CONCATENATE("  &lt;Variant hgvs=",CHAR(34),B27,CHAR(34)," name=",CHAR(34),B28,CHAR(34),"&gt; ")</f>
        <v xml:space="preserve">  &lt;Variant hgvs="NC_000022.10:g." name="C62T"&gt; </v>
      </c>
      <c r="J29" s="2"/>
      <c r="P29" s="26" t="s">
        <v>17</v>
      </c>
      <c r="Q29" s="2" t="s">
        <v>20</v>
      </c>
      <c r="R29" s="3" t="str">
        <f>CONCATENATE("  &lt;Variant hgvs=",CHAR(34),Q27,CHAR(34)," name=",CHAR(34),Q28,CHAR(34),"&gt; ")</f>
        <v xml:space="preserve">  &lt;Variant hgvs="NC_000022.10:g.19937533T&gt;G" name="T19950010G"&gt; </v>
      </c>
      <c r="Y29" s="2"/>
    </row>
    <row r="30" spans="1:30">
      <c r="A30" s="26" t="s">
        <v>19</v>
      </c>
      <c r="B30" s="2" t="s">
        <v>20</v>
      </c>
      <c r="J30" s="7"/>
      <c r="P30" s="26" t="s">
        <v>19</v>
      </c>
      <c r="Q30" s="2" t="s">
        <v>44</v>
      </c>
      <c r="Y30" s="7"/>
    </row>
    <row r="31" spans="1:30">
      <c r="A31" s="26" t="s">
        <v>21</v>
      </c>
      <c r="B31" s="7" t="s">
        <v>266</v>
      </c>
      <c r="C31" s="3" t="str">
        <f>CONCATENATE("    Instead of ",B29,", there is a ",B30," nucleotide.")</f>
        <v xml:space="preserve">    Instead of cytosine (C), there is a thymine (T) nucleotide.</v>
      </c>
      <c r="P31" s="26" t="s">
        <v>21</v>
      </c>
      <c r="Q31" s="2" t="s">
        <v>272</v>
      </c>
      <c r="R31" s="3" t="str">
        <f>CONCATENATE("    Instead of ",Q29,", there is a ",Q30," nucleotide.")</f>
        <v xml:space="preserve">    Instead of thymine (T), there is a guanine (G) nucleotide.</v>
      </c>
    </row>
    <row r="32" spans="1:30">
      <c r="A32" s="3" t="s">
        <v>64</v>
      </c>
      <c r="B32" s="3" t="s">
        <v>275</v>
      </c>
      <c r="J32" s="7"/>
      <c r="P32" s="3" t="s">
        <v>64</v>
      </c>
      <c r="Q32" s="3" t="s">
        <v>275</v>
      </c>
      <c r="Y32" s="7"/>
    </row>
    <row r="33" spans="1:28">
      <c r="A33" s="3" t="s">
        <v>51</v>
      </c>
      <c r="B33" s="3" t="s">
        <v>282</v>
      </c>
      <c r="C33" s="3" t="str">
        <f>"  &lt;/Variant&gt;"</f>
        <v xml:space="preserve">  &lt;/Variant&gt;</v>
      </c>
      <c r="J33" s="7"/>
      <c r="P33" s="3" t="s">
        <v>51</v>
      </c>
      <c r="Q33" s="3" t="s">
        <v>279</v>
      </c>
      <c r="R33" s="3" t="str">
        <f>"  &lt;/Variant&gt;"</f>
        <v xml:space="preserve">  &lt;/Variant&gt;</v>
      </c>
      <c r="Y33" s="7"/>
    </row>
    <row r="34" spans="1:28">
      <c r="A34" s="26" t="s">
        <v>52</v>
      </c>
      <c r="B34" s="7" t="s">
        <v>283</v>
      </c>
      <c r="P34" s="26" t="s">
        <v>52</v>
      </c>
      <c r="Q34" s="7" t="s">
        <v>296</v>
      </c>
    </row>
    <row r="35" spans="1:28">
      <c r="B35" s="3"/>
    </row>
    <row r="36" spans="1:28">
      <c r="A36" s="14" t="s">
        <v>14</v>
      </c>
      <c r="B36" s="6" t="s">
        <v>273</v>
      </c>
      <c r="C36" s="3" t="str">
        <f>CONCATENATE("&lt;# ",B37," #&gt;")</f>
        <v>&lt;# T19943884C #&gt;</v>
      </c>
      <c r="J36" s="6"/>
      <c r="P36" s="14"/>
      <c r="Q36" s="6"/>
      <c r="Y36" s="6"/>
    </row>
    <row r="37" spans="1:28">
      <c r="A37" s="26" t="s">
        <v>15</v>
      </c>
      <c r="B37" s="6" t="s">
        <v>267</v>
      </c>
      <c r="J37" s="2"/>
      <c r="P37" s="26"/>
      <c r="Q37"/>
      <c r="Y37" s="2"/>
    </row>
    <row r="38" spans="1:28">
      <c r="A38" s="26" t="s">
        <v>17</v>
      </c>
      <c r="B38" s="2" t="s">
        <v>20</v>
      </c>
      <c r="C38" s="3" t="str">
        <f>CONCATENATE("  &lt;Variant hgvs=",CHAR(34),B36,CHAR(34)," name=",CHAR(34),B37,CHAR(34),"&gt; ")</f>
        <v xml:space="preserve">  &lt;Variant hgvs="NC_000022.10:g.19931407T&gt;C" name="T19943884C"&gt; </v>
      </c>
      <c r="J38" s="2"/>
      <c r="P38" s="26"/>
      <c r="Q38"/>
      <c r="Y38" s="2"/>
    </row>
    <row r="39" spans="1:28">
      <c r="A39" s="26" t="s">
        <v>19</v>
      </c>
      <c r="B39" s="2" t="str">
        <f>"cytosine (C)"</f>
        <v>cytosine (C)</v>
      </c>
      <c r="J39" s="7"/>
      <c r="P39" s="26"/>
      <c r="Q39"/>
      <c r="Y39" s="7"/>
    </row>
    <row r="40" spans="1:28">
      <c r="A40" s="26" t="s">
        <v>21</v>
      </c>
      <c r="B40" s="6" t="s">
        <v>268</v>
      </c>
      <c r="C40" s="3" t="str">
        <f>CONCATENATE("    Instead of ",B38,", there is a ",B39," nucleotide.")</f>
        <v xml:space="preserve">    Instead of thymine (T), there is a cytosine (C) nucleotide.</v>
      </c>
      <c r="P40" s="26"/>
      <c r="Q40"/>
    </row>
    <row r="41" spans="1:28">
      <c r="A41" s="3" t="s">
        <v>64</v>
      </c>
      <c r="B41" s="3" t="s">
        <v>275</v>
      </c>
      <c r="J41" s="7"/>
      <c r="Y41" s="7"/>
    </row>
    <row r="42" spans="1:28">
      <c r="A42" s="3" t="s">
        <v>51</v>
      </c>
      <c r="B42" s="3" t="s">
        <v>280</v>
      </c>
      <c r="C42" s="3" t="str">
        <f>"  &lt;/Variant&gt;"</f>
        <v xml:space="preserve">  &lt;/Variant&gt;</v>
      </c>
      <c r="J42" s="7"/>
      <c r="Y42" s="7"/>
    </row>
    <row r="43" spans="1:28">
      <c r="A43" s="26" t="s">
        <v>52</v>
      </c>
      <c r="B43" s="7" t="s">
        <v>281</v>
      </c>
      <c r="P43" s="26"/>
      <c r="Q43" s="7"/>
    </row>
    <row r="44" spans="1:28">
      <c r="B44" s="3"/>
    </row>
    <row r="45" spans="1:28" s="21" customFormat="1">
      <c r="A45" s="28"/>
      <c r="B45" s="20"/>
      <c r="P45" s="28"/>
      <c r="Q45" s="20"/>
    </row>
    <row r="46" spans="1:28" s="10" customFormat="1">
      <c r="A46" s="32"/>
      <c r="B46" s="15"/>
      <c r="C46" s="34" t="s">
        <v>368</v>
      </c>
      <c r="L46" s="38"/>
      <c r="P46" s="32"/>
      <c r="Q46" s="33"/>
      <c r="R46" s="34" t="s">
        <v>368</v>
      </c>
      <c r="AA46" s="38"/>
    </row>
    <row r="47" spans="1:28" s="10" customFormat="1">
      <c r="A47" s="32"/>
      <c r="B47" s="15"/>
      <c r="K47" s="10" t="s">
        <v>106</v>
      </c>
      <c r="L47" s="38" t="s">
        <v>108</v>
      </c>
      <c r="M47" s="11" t="s">
        <v>107</v>
      </c>
      <c r="P47" s="32"/>
      <c r="Q47" s="33"/>
      <c r="AA47" s="38"/>
      <c r="AB47" s="11"/>
    </row>
    <row r="48" spans="1:28" s="21" customFormat="1">
      <c r="A48" s="28" t="s">
        <v>69</v>
      </c>
      <c r="B48" s="20" t="str">
        <f>CONCATENATE(B19," (G;G)")</f>
        <v>G158A (G;G)</v>
      </c>
      <c r="C48" s="21" t="str">
        <f>CONCATENATE("&lt;# ",B48," #&gt;")</f>
        <v>&lt;# G158A (G;G) #&gt;</v>
      </c>
      <c r="K48" s="21" t="str">
        <f>B19</f>
        <v>G158A</v>
      </c>
      <c r="L48" s="21" t="str">
        <f>B28</f>
        <v>C62T</v>
      </c>
      <c r="M48" s="21" t="str">
        <f>B37</f>
        <v>T19943884C</v>
      </c>
      <c r="P48" s="28" t="s">
        <v>69</v>
      </c>
      <c r="Q48" s="20" t="str">
        <f>CONCATENATE(Q19," (T;C)")</f>
        <v>T19960814C (T;C)</v>
      </c>
      <c r="R48" s="21" t="str">
        <f>CONCATENATE("&lt;# ",Q48," #&gt;")</f>
        <v>&lt;# T19960814C (T;C) #&gt;</v>
      </c>
      <c r="Z48" s="21" t="str">
        <f>Q19</f>
        <v>T19960814C</v>
      </c>
      <c r="AA48" s="21" t="str">
        <f>Q28</f>
        <v>T19950010G</v>
      </c>
    </row>
    <row r="49" spans="1:28" s="10" customFormat="1">
      <c r="A49" s="3" t="s">
        <v>21</v>
      </c>
      <c r="B49" s="29" t="str">
        <f>K52</f>
        <v>NC_000022.10:g.[19951271G&gt;A];[19951271=]</v>
      </c>
      <c r="J49" s="3"/>
      <c r="K49" s="22" t="str">
        <f>B23</f>
        <v>NC_000022.10:g.</v>
      </c>
      <c r="L49" s="22" t="str">
        <f>B32</f>
        <v>NC_000022.10:g.</v>
      </c>
      <c r="M49" s="10" t="str">
        <f>B41</f>
        <v>NC_000022.10:g.</v>
      </c>
      <c r="P49" s="3" t="s">
        <v>21</v>
      </c>
      <c r="Q49" s="29" t="str">
        <f>Z52</f>
        <v>NC_000022.10:g.[19948337T&gt;C];[19948337=]</v>
      </c>
      <c r="Y49" s="3"/>
      <c r="Z49" s="22" t="str">
        <f>Q23</f>
        <v>NC_000022.10:g.</v>
      </c>
      <c r="AA49" s="22" t="str">
        <f>Q32</f>
        <v>NC_000022.10:g.</v>
      </c>
    </row>
    <row r="50" spans="1:28">
      <c r="B50" s="29"/>
      <c r="C50" s="3" t="str">
        <f>CONCATENATE("  &lt;Analysis name=",CHAR(34),B48,CHAR(34))</f>
        <v xml:space="preserve">  &lt;Analysis name="G158A (G;G)"</v>
      </c>
      <c r="J50" s="3" t="s">
        <v>21</v>
      </c>
      <c r="K50" s="15" t="str">
        <f>B24</f>
        <v>[19951271G&gt;A]</v>
      </c>
      <c r="L50" s="22" t="str">
        <f>B33</f>
        <v>[19950235C&gt;T]</v>
      </c>
      <c r="M50" s="10" t="str">
        <f t="shared" ref="M50:M51" si="0">B42</f>
        <v>[19931407T&gt;C]</v>
      </c>
      <c r="Q50" s="29"/>
      <c r="R50" s="3" t="str">
        <f>CONCATENATE("  &lt;Analysis name=",CHAR(34),Q48,CHAR(34))</f>
        <v xml:space="preserve">  &lt;Analysis name="T19960814C (T;C)"</v>
      </c>
      <c r="Y50" s="3" t="s">
        <v>21</v>
      </c>
      <c r="Z50" s="15" t="str">
        <f>Q24</f>
        <v>[19948337T&gt;C]</v>
      </c>
      <c r="AA50" s="22" t="str">
        <f>Q33</f>
        <v>[19937533T&gt;G]</v>
      </c>
      <c r="AB50" s="10"/>
    </row>
    <row r="51" spans="1:28">
      <c r="A51" s="5" t="s">
        <v>27</v>
      </c>
      <c r="B51" s="15" t="str">
        <f>CONCATENATE("    Your ",B12," gene has no variants. A normal gene is referred to as a ",CHAR(34),"wild-type",CHAR(34)," gene.")</f>
        <v xml:space="preserve">    Your COMT gene has no variants. A normal gene is referred to as a "wild-type" gene.</v>
      </c>
      <c r="C51" s="3" t="str">
        <f>CONCATENATE("            case={  variantCall ",CHAR(40),CHAR(34),K52,CHAR(34),CHAR(41))</f>
        <v xml:space="preserve">            case={  variantCall ("NC_000022.10:g.[19951271G&gt;A];[19951271=]")</v>
      </c>
      <c r="J51" s="3" t="s">
        <v>52</v>
      </c>
      <c r="K51" s="15" t="str">
        <f>B25</f>
        <v>[19951271=]</v>
      </c>
      <c r="L51" s="22" t="str">
        <f>B34</f>
        <v>[19950235=]</v>
      </c>
      <c r="M51" s="10" t="str">
        <f t="shared" si="0"/>
        <v>[19931407=]</v>
      </c>
      <c r="P51" s="5" t="s">
        <v>27</v>
      </c>
      <c r="Q51" s="2" t="str">
        <f>CONCATENATE("People with this variant have one copy of the ",Q22," variant. This substitution of a single nucleotide is known as a missense mutation.")</f>
        <v>People with this variant have one copy of the [T19960814C](https://www.ncbi.nlm.nih.gov/pubmed/19772600) variant. This substitution of a single nucleotide is known as a missense mutation.</v>
      </c>
      <c r="R51" s="3" t="str">
        <f>CONCATENATE("            case={  variantCall ",CHAR(40),CHAR(34),Z52,CHAR(34),CHAR(41))</f>
        <v xml:space="preserve">            case={  variantCall ("NC_000022.10:g.[19948337T&gt;C];[19948337=]")</v>
      </c>
      <c r="Y51" s="3" t="s">
        <v>52</v>
      </c>
      <c r="Z51" s="15" t="str">
        <f>Q25</f>
        <v>[19948337=]</v>
      </c>
      <c r="AA51" s="22" t="str">
        <f>Q34</f>
        <v>[19937533=]</v>
      </c>
      <c r="AB51" s="10"/>
    </row>
    <row r="52" spans="1:28">
      <c r="A52" s="1" t="s">
        <v>28</v>
      </c>
      <c r="B52" s="15" t="s">
        <v>290</v>
      </c>
      <c r="C52" s="3" t="s">
        <v>70</v>
      </c>
      <c r="J52" s="3" t="s">
        <v>62</v>
      </c>
      <c r="K52" s="15" t="str">
        <f>CONCATENATE(K49,K50,";",K51)</f>
        <v>NC_000022.10:g.[19951271G&gt;A];[19951271=]</v>
      </c>
      <c r="L52" s="15" t="str">
        <f>CONCATENATE(L49,L50,";",L51)</f>
        <v>NC_000022.10:g.[19950235C&gt;T];[19950235=]</v>
      </c>
      <c r="M52" s="15" t="str">
        <f>CONCATENATE(M49,M50,";",M51)</f>
        <v>NC_000022.10:g.[19931407T&gt;C];[19931407=]</v>
      </c>
      <c r="P52" s="1" t="s">
        <v>28</v>
      </c>
      <c r="Q52" s="2" t="s">
        <v>293</v>
      </c>
      <c r="R52" s="3" t="s">
        <v>70</v>
      </c>
      <c r="Y52" s="3" t="s">
        <v>62</v>
      </c>
      <c r="Z52" s="15" t="str">
        <f>CONCATENATE(Z49,Z50,";",Z51)</f>
        <v>NC_000022.10:g.[19948337T&gt;C];[19948337=]</v>
      </c>
      <c r="AA52" s="15" t="str">
        <f>CONCATENATE(AA49,AA50,";",AA51)</f>
        <v>NC_000022.10:g.[19937533T&gt;G];[19937533=]</v>
      </c>
      <c r="AB52" s="15"/>
    </row>
    <row r="53" spans="1:28">
      <c r="A53" s="3" t="s">
        <v>72</v>
      </c>
      <c r="B53" s="29">
        <f>K55</f>
        <v>43</v>
      </c>
      <c r="C53" s="3" t="str">
        <f>CONCATENATE("                    ",CHAR(40),"variantCall ",CHAR(40),CHAR(34),L53,CHAR(34),CHAR(41)," or variantCall ",CHAR(40),CHAR(34),L54,CHAR(34),CHAR(41),CHAR(41))</f>
        <v xml:space="preserve">                    (variantCall ("NC_000022.10:g.[19950235C&gt;T];[19950235C&gt;T]") or variantCall ("NC_000022.10:g.[19950235=];[19950235=]"))</v>
      </c>
      <c r="J53" s="3" t="s">
        <v>63</v>
      </c>
      <c r="K53" s="15" t="str">
        <f>CONCATENATE(K49,K50,";",K50)</f>
        <v>NC_000022.10:g.[19951271G&gt;A];[19951271G&gt;A]</v>
      </c>
      <c r="L53" s="15" t="str">
        <f>CONCATENATE(L49,L50,";",L50)</f>
        <v>NC_000022.10:g.[19950235C&gt;T];[19950235C&gt;T]</v>
      </c>
      <c r="M53" s="15" t="str">
        <f>CONCATENATE(M49,M50,";",M50)</f>
        <v>NC_000022.10:g.[19931407T&gt;C];[19931407T&gt;C]</v>
      </c>
      <c r="P53" s="3" t="s">
        <v>72</v>
      </c>
      <c r="Q53" s="29">
        <f>Z55</f>
        <v>40.9</v>
      </c>
      <c r="R53" s="3" t="str">
        <f>CONCATENATE("                    ",CHAR(40),"variantCall ",CHAR(40),CHAR(34),AA53,CHAR(34),CHAR(41)," or variantCall ",CHAR(40),CHAR(34),AA54,CHAR(34),CHAR(41),CHAR(41))</f>
        <v xml:space="preserve">                    (variantCall ("NC_000022.10:g.[19937533T&gt;G];[19937533T&gt;G]") or variantCall ("NC_000022.10:g.[19937533=];[19937533=]"))</v>
      </c>
      <c r="Y53" s="3" t="s">
        <v>63</v>
      </c>
      <c r="Z53" s="15" t="str">
        <f>CONCATENATE(Z49,Z50,";",Z50)</f>
        <v>NC_000022.10:g.[19948337T&gt;C];[19948337T&gt;C]</v>
      </c>
      <c r="AA53" s="15" t="str">
        <f>CONCATENATE(AA49,AA50,";",AA50)</f>
        <v>NC_000022.10:g.[19937533T&gt;G];[19937533T&gt;G]</v>
      </c>
      <c r="AB53" s="15"/>
    </row>
    <row r="54" spans="1:28">
      <c r="C54" s="3" t="s">
        <v>70</v>
      </c>
      <c r="J54" s="3" t="s">
        <v>52</v>
      </c>
      <c r="K54" s="2" t="str">
        <f>CONCATENATE(K49,K51,";",K51)</f>
        <v>NC_000022.10:g.[19951271=];[19951271=]</v>
      </c>
      <c r="L54" s="2" t="str">
        <f>CONCATENATE(L49,L51,";",L51)</f>
        <v>NC_000022.10:g.[19950235=];[19950235=]</v>
      </c>
      <c r="M54" s="2" t="str">
        <f>CONCATENATE(M49,M51,";",M51)</f>
        <v>NC_000022.10:g.[19931407=];[19931407=]</v>
      </c>
      <c r="Q54" s="15"/>
      <c r="R54" s="3" t="s">
        <v>70</v>
      </c>
      <c r="Y54" s="3" t="s">
        <v>52</v>
      </c>
      <c r="Z54" s="2" t="str">
        <f>CONCATENATE(Z49,Z51,";",Z51)</f>
        <v>NC_000022.10:g.[19948337=];[19948337=]</v>
      </c>
      <c r="AA54" s="2" t="str">
        <f>CONCATENATE(AA49,AA51,";",AA51)</f>
        <v>NC_000022.10:g.[19937533=];[19937533=]</v>
      </c>
      <c r="AB54" s="2"/>
    </row>
    <row r="55" spans="1:28">
      <c r="C55" s="3" t="str">
        <f>CONCATENATE("                    ",CHAR(40),"variantCall ",CHAR(40),CHAR(34),M53,CHAR(34),CHAR(41)," or variantCall ",CHAR(40),CHAR(34),M54,CHAR(34),CHAR(41),CHAR(41))</f>
        <v xml:space="preserve">                    (variantCall ("NC_000022.10:g.[19931407T&gt;C];[19931407T&gt;C]") or variantCall ("NC_000022.10:g.[19931407=];[19931407=]"))</v>
      </c>
      <c r="J55" s="3" t="s">
        <v>66</v>
      </c>
      <c r="K55">
        <v>43</v>
      </c>
      <c r="L55" s="2">
        <v>1.8</v>
      </c>
      <c r="M55" s="2">
        <v>15.8</v>
      </c>
      <c r="Q55" s="15"/>
      <c r="R55" s="3" t="str">
        <f>CONCATENATE("                    ",CHAR(40),"variantCall ",CHAR(40),CHAR(34),AB53,CHAR(34),CHAR(41)," or variantCall ",CHAR(40),CHAR(34),AB54,CHAR(34),CHAR(41),CHAR(41))</f>
        <v xml:space="preserve">                    (variantCall ("") or variantCall (""))</v>
      </c>
      <c r="Y55" s="3" t="s">
        <v>66</v>
      </c>
      <c r="Z55" s="2">
        <v>40.9</v>
      </c>
      <c r="AA55" s="2">
        <v>37.5</v>
      </c>
      <c r="AB55" s="2"/>
    </row>
    <row r="56" spans="1:28">
      <c r="A56" s="14"/>
      <c r="C56" s="3" t="str">
        <f>CONCATENATE("                  } &gt; ")</f>
        <v xml:space="preserve">                  } &gt; </v>
      </c>
      <c r="J56" s="3" t="s">
        <v>67</v>
      </c>
      <c r="K56">
        <v>19.899999999999999</v>
      </c>
      <c r="L56" s="2">
        <v>0.5</v>
      </c>
      <c r="M56" s="2">
        <v>4.7</v>
      </c>
      <c r="P56" s="14"/>
      <c r="Q56" s="15"/>
      <c r="R56" s="3" t="str">
        <f>CONCATENATE("                  } &gt; ")</f>
        <v xml:space="preserve">                  } &gt; </v>
      </c>
      <c r="Y56" s="3" t="s">
        <v>67</v>
      </c>
      <c r="Z56" s="2">
        <v>18.5</v>
      </c>
      <c r="AA56" s="2">
        <v>15.6</v>
      </c>
      <c r="AB56" s="2"/>
    </row>
    <row r="57" spans="1:28">
      <c r="A57" s="26"/>
      <c r="J57" s="3" t="s">
        <v>68</v>
      </c>
      <c r="K57" s="2">
        <v>37.1</v>
      </c>
      <c r="L57" s="2">
        <v>97.8</v>
      </c>
      <c r="M57" s="2">
        <v>79.5</v>
      </c>
      <c r="P57" s="26"/>
      <c r="Q57" s="15"/>
      <c r="Y57" s="3" t="s">
        <v>68</v>
      </c>
      <c r="Z57" s="2">
        <v>40.6</v>
      </c>
      <c r="AA57" s="2">
        <v>46.9</v>
      </c>
      <c r="AB57" s="2"/>
    </row>
    <row r="58" spans="1:28">
      <c r="A58" s="14"/>
      <c r="C58" s="3" t="s">
        <v>26</v>
      </c>
      <c r="K58"/>
      <c r="L58" s="2"/>
      <c r="M58" s="2"/>
      <c r="P58" s="14"/>
      <c r="Q58" s="15"/>
      <c r="R58" s="3" t="s">
        <v>26</v>
      </c>
      <c r="Z58"/>
      <c r="AA58" s="2"/>
      <c r="AB58" s="2"/>
    </row>
    <row r="59" spans="1:28">
      <c r="A59" s="14"/>
      <c r="K59" s="15"/>
      <c r="L59" s="15"/>
      <c r="M59" s="15"/>
      <c r="P59" s="14"/>
      <c r="Q59" s="15"/>
      <c r="Z59" s="15"/>
      <c r="AA59" s="15"/>
      <c r="AB59" s="15"/>
    </row>
    <row r="60" spans="1:28">
      <c r="A60" s="26"/>
      <c r="C60" s="3" t="str">
        <f>CONCATENATE("    ",B51)</f>
        <v xml:space="preserve">        Your COMT gene has no variants. A normal gene is referred to as a "wild-type" gene.</v>
      </c>
      <c r="K60" s="15"/>
      <c r="L60" s="15"/>
      <c r="M60" s="15"/>
      <c r="P60" s="26"/>
      <c r="Q60" s="15"/>
      <c r="R60" s="3" t="str">
        <f>CONCATENATE("    ",Q51)</f>
        <v xml:space="preserve">    People with this variant have one copy of the [T19960814C](https://www.ncbi.nlm.nih.gov/pubmed/19772600) variant. This substitution of a single nucleotide is known as a missense mutation.</v>
      </c>
      <c r="Z60" s="15"/>
      <c r="AA60" s="15"/>
      <c r="AB60" s="15"/>
    </row>
    <row r="61" spans="1:28">
      <c r="A61" s="14"/>
      <c r="K61" s="2"/>
      <c r="L61" s="2"/>
      <c r="M61" s="2"/>
      <c r="P61" s="14"/>
      <c r="Q61" s="15"/>
      <c r="Z61" s="2"/>
      <c r="AA61" s="2"/>
      <c r="AB61" s="2"/>
    </row>
    <row r="62" spans="1:28">
      <c r="A62" s="14"/>
      <c r="C62" s="3" t="s">
        <v>29</v>
      </c>
      <c r="P62" s="14"/>
      <c r="Q62" s="15"/>
      <c r="R62" s="3" t="s">
        <v>29</v>
      </c>
    </row>
    <row r="63" spans="1:28">
      <c r="A63" s="14"/>
      <c r="P63" s="14"/>
      <c r="Q63" s="15"/>
    </row>
    <row r="64" spans="1:28">
      <c r="A64" s="14"/>
      <c r="C64" s="3" t="str">
        <f>CONCATENATE(B52)</f>
        <v xml:space="preserve">    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[Alcohol-dependency](https://www.ncbi.nlm.nih.gov/pubmed/22208661?dopt=Abstract) 
    - [Greater risk of psychotic symptoms and schizophrenia when using cannabis](https://www.ncbi.nlm.nih.gov/pubmed/22208661?dopt=Abstract) 
    - [Poor response to the antidepressant paroxetine](https://www.ncbi.nlm.nih.gov/pubmed/18989660?dopt=Abstract) 
    # What should I do about this?
    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c r="P64" s="14"/>
      <c r="Q64" s="15"/>
      <c r="R64" s="3" t="str">
        <f>CONCATENATE(Q52)</f>
        <v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v>
      </c>
    </row>
    <row r="65" spans="1:28">
      <c r="A65" s="26"/>
      <c r="P65" s="26"/>
      <c r="Q65" s="15"/>
    </row>
    <row r="66" spans="1:28">
      <c r="A66" s="26"/>
      <c r="C66" s="3" t="s">
        <v>30</v>
      </c>
      <c r="P66" s="26"/>
      <c r="Q66" s="15"/>
      <c r="R66" s="3" t="s">
        <v>30</v>
      </c>
    </row>
    <row r="67" spans="1:28">
      <c r="A67" s="26"/>
      <c r="P67" s="26"/>
      <c r="Q67" s="15"/>
    </row>
    <row r="68" spans="1:28">
      <c r="A68" s="26"/>
      <c r="C68" s="3" t="str">
        <f>CONCATENATE( "    &lt;piechart percentage=",B53," /&gt;")</f>
        <v xml:space="preserve">    &lt;piechart percentage=43 /&gt;</v>
      </c>
      <c r="P68" s="26"/>
      <c r="Q68" s="15"/>
      <c r="R68" s="3" t="str">
        <f>CONCATENATE( "    &lt;piechart percentage=",Q53," /&gt;")</f>
        <v xml:space="preserve">    &lt;piechart percentage=40.9 /&gt;</v>
      </c>
    </row>
    <row r="69" spans="1:28">
      <c r="A69" s="26"/>
      <c r="C69" s="3" t="str">
        <f>"  &lt;/Analysis&gt;"</f>
        <v xml:space="preserve">  &lt;/Analysis&gt;</v>
      </c>
      <c r="J69" s="3">
        <f t="shared" ref="J69:M69" si="1">J91</f>
        <v>0</v>
      </c>
      <c r="K69" s="3" t="str">
        <f t="shared" si="1"/>
        <v>rs6691840</v>
      </c>
      <c r="L69" s="3" t="str">
        <f t="shared" si="1"/>
        <v>rs3913434</v>
      </c>
      <c r="M69" s="3" t="str">
        <f t="shared" si="1"/>
        <v>rs270838</v>
      </c>
      <c r="P69" s="26"/>
      <c r="Q69" s="15"/>
      <c r="R69" s="3" t="str">
        <f>"  &lt;/Analysis&gt;"</f>
        <v xml:space="preserve">  &lt;/Analysis&gt;</v>
      </c>
      <c r="Z69" s="3">
        <f>Z25</f>
        <v>0</v>
      </c>
      <c r="AA69" s="3">
        <f>AA25</f>
        <v>0</v>
      </c>
      <c r="AB69" s="3">
        <f>AB25</f>
        <v>0</v>
      </c>
    </row>
    <row r="70" spans="1:28" s="21" customFormat="1">
      <c r="A70" s="28" t="s">
        <v>69</v>
      </c>
      <c r="B70" s="20" t="str">
        <f>CONCATENATE(B19," (A;G)")</f>
        <v>G158A (A;G)</v>
      </c>
      <c r="C70" s="21" t="str">
        <f>CONCATENATE("&lt;# ",B70," #&gt;")</f>
        <v>&lt;# G158A (A;G) #&gt;</v>
      </c>
      <c r="K70" s="21" t="str">
        <f>B19</f>
        <v>G158A</v>
      </c>
      <c r="L70" s="21" t="str">
        <f>B28</f>
        <v>C62T</v>
      </c>
      <c r="M70" s="21" t="str">
        <f>B37</f>
        <v>T19943884C</v>
      </c>
      <c r="P70" s="28" t="s">
        <v>69</v>
      </c>
      <c r="Q70" s="20" t="str">
        <f>CONCATENATE(Q19," (C;C)")</f>
        <v>T19960814C (C;C)</v>
      </c>
      <c r="R70" s="21" t="str">
        <f>CONCATENATE("&lt;# ",Q70," #&gt;")</f>
        <v>&lt;# T19960814C (C;C) #&gt;</v>
      </c>
      <c r="Z70" s="21" t="str">
        <f>Q19</f>
        <v>T19960814C</v>
      </c>
      <c r="AA70" s="21" t="str">
        <f>Q28</f>
        <v>T19950010G</v>
      </c>
      <c r="AB70" s="21">
        <f>Q37</f>
        <v>0</v>
      </c>
    </row>
    <row r="71" spans="1:28" s="10" customFormat="1">
      <c r="A71" s="3" t="s">
        <v>21</v>
      </c>
      <c r="B71" s="29" t="str">
        <f>K74</f>
        <v>NC_000022.10:g.[19951271G&gt;A];[19951271=]</v>
      </c>
      <c r="J71" s="3"/>
      <c r="K71" s="22" t="str">
        <f>B23</f>
        <v>NC_000022.10:g.</v>
      </c>
      <c r="L71" s="22" t="str">
        <f>B32</f>
        <v>NC_000022.10:g.</v>
      </c>
      <c r="M71" s="10" t="str">
        <f>B41</f>
        <v>NC_000022.10:g.</v>
      </c>
      <c r="P71" s="3" t="s">
        <v>21</v>
      </c>
      <c r="Q71" s="29" t="str">
        <f>Z53</f>
        <v>NC_000022.10:g.[19948337T&gt;C];[19948337T&gt;C]</v>
      </c>
      <c r="Y71" s="3"/>
      <c r="Z71" s="22" t="str">
        <f>Q23</f>
        <v>NC_000022.10:g.</v>
      </c>
      <c r="AA71" s="22" t="str">
        <f>Q32</f>
        <v>NC_000022.10:g.</v>
      </c>
      <c r="AB71" s="10">
        <f>Q41</f>
        <v>0</v>
      </c>
    </row>
    <row r="72" spans="1:28">
      <c r="B72" s="29"/>
      <c r="C72" s="3" t="str">
        <f>CONCATENATE("  &lt;Analysis name=",CHAR(34),B70,CHAR(34))</f>
        <v xml:space="preserve">  &lt;Analysis name="G158A (A;G)"</v>
      </c>
      <c r="J72" s="3" t="s">
        <v>21</v>
      </c>
      <c r="K72" s="15" t="str">
        <f>B24</f>
        <v>[19951271G&gt;A]</v>
      </c>
      <c r="L72" s="22" t="str">
        <f>B33</f>
        <v>[19950235C&gt;T]</v>
      </c>
      <c r="M72" s="10" t="str">
        <f>B42</f>
        <v>[19931407T&gt;C]</v>
      </c>
      <c r="Q72" s="29"/>
      <c r="R72" s="3" t="str">
        <f>CONCATENATE("  &lt;Analysis name=",CHAR(34),Q70,CHAR(34))</f>
        <v xml:space="preserve">  &lt;Analysis name="T19960814C (C;C)"</v>
      </c>
      <c r="Y72" s="3" t="s">
        <v>21</v>
      </c>
      <c r="Z72" s="15" t="str">
        <f>Q24</f>
        <v>[19948337T&gt;C]</v>
      </c>
      <c r="AA72" s="22" t="str">
        <f>Q33</f>
        <v>[19937533T&gt;G]</v>
      </c>
      <c r="AB72" s="10">
        <f>Q42</f>
        <v>0</v>
      </c>
    </row>
    <row r="73" spans="1:28">
      <c r="A73" s="5" t="s">
        <v>27</v>
      </c>
      <c r="B73" s="2"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73" s="3" t="str">
        <f>CONCATENATE("            case={  variantCall ",CHAR(40),CHAR(34),K74,CHAR(34),CHAR(41))</f>
        <v xml:space="preserve">            case={  variantCall ("NC_000022.10:g.[19951271G&gt;A];[19951271=]")</v>
      </c>
      <c r="J73" s="3" t="s">
        <v>52</v>
      </c>
      <c r="K73" s="15" t="str">
        <f>B25</f>
        <v>[19951271=]</v>
      </c>
      <c r="L73" s="22" t="str">
        <f>B34</f>
        <v>[19950235=]</v>
      </c>
      <c r="M73" s="10" t="str">
        <f>B43</f>
        <v>[19931407=]</v>
      </c>
      <c r="P73" s="5" t="s">
        <v>27</v>
      </c>
      <c r="Q73" s="2" t="str">
        <f>CONCATENATE("People with this variant have two copies of the ",Q22," variant. This substitution of a single nucleotide is known as a missense mutation.")</f>
        <v>People with this variant have two copies of the [T19960814C](https://www.ncbi.nlm.nih.gov/pubmed/19772600) variant. This substitution of a single nucleotide is known as a missense mutation.</v>
      </c>
      <c r="R73" s="3" t="str">
        <f>CONCATENATE("            case={  variantCall ",CHAR(40),CHAR(34),Q71,CHAR(34),CHAR(41))</f>
        <v xml:space="preserve">            case={  variantCall ("NC_000022.10:g.[19948337T&gt;C];[19948337T&gt;C]")</v>
      </c>
      <c r="Y73" s="3" t="s">
        <v>52</v>
      </c>
      <c r="Z73" s="15" t="str">
        <f>Q25</f>
        <v>[19948337=]</v>
      </c>
      <c r="AA73" s="22" t="str">
        <f>Q34</f>
        <v>[19937533=]</v>
      </c>
      <c r="AB73" s="10">
        <f>Q43</f>
        <v>0</v>
      </c>
    </row>
    <row r="74" spans="1:28">
      <c r="A74" s="1" t="s">
        <v>28</v>
      </c>
      <c r="B74" s="2" t="s">
        <v>287</v>
      </c>
      <c r="C74" s="3" t="s">
        <v>70</v>
      </c>
      <c r="J74" s="3" t="s">
        <v>62</v>
      </c>
      <c r="K74" s="15" t="str">
        <f>CONCATENATE(K71,K72,";",K73)</f>
        <v>NC_000022.10:g.[19951271G&gt;A];[19951271=]</v>
      </c>
      <c r="L74" s="15" t="str">
        <f>CONCATENATE(L71,L72,";",L73)</f>
        <v>NC_000022.10:g.[19950235C&gt;T];[19950235=]</v>
      </c>
      <c r="M74" s="15" t="str">
        <f>CONCATENATE(M71,M72,";",M73)</f>
        <v>NC_000022.10:g.[19931407T&gt;C];[19931407=]</v>
      </c>
      <c r="P74" s="1" t="s">
        <v>28</v>
      </c>
      <c r="Q74" s="2" t="s">
        <v>293</v>
      </c>
      <c r="R74" s="3" t="s">
        <v>70</v>
      </c>
      <c r="Y74" s="3" t="s">
        <v>62</v>
      </c>
      <c r="Z74" s="15" t="str">
        <f>CONCATENATE(Z71,Z72,";",Z73)</f>
        <v>NC_000022.10:g.[19948337T&gt;C];[19948337=]</v>
      </c>
      <c r="AA74" s="15" t="str">
        <f>CONCATENATE(AA71,AA72,";",AA73)</f>
        <v>NC_000022.10:g.[19937533T&gt;G];[19937533=]</v>
      </c>
      <c r="AB74" s="15" t="str">
        <f>CONCATENATE(AB71,AB72,";",AB73)</f>
        <v>00;0</v>
      </c>
    </row>
    <row r="75" spans="1:28">
      <c r="A75" s="3" t="s">
        <v>72</v>
      </c>
      <c r="B75" s="29">
        <f>K77</f>
        <v>43</v>
      </c>
      <c r="C75" s="3" t="str">
        <f>CONCATENATE("                    ",CHAR(40),"variantCall ",CHAR(40),CHAR(34),L75,CHAR(34),CHAR(41)," or variantCall ",CHAR(40),CHAR(34),L76,CHAR(34),CHAR(41),CHAR(41))</f>
        <v xml:space="preserve">                    (variantCall ("NC_000022.10:g.[19950235C&gt;T];[19950235C&gt;T]") or variantCall ("NC_000022.10:g.[19950235=];[19950235=]"))</v>
      </c>
      <c r="J75" s="3" t="s">
        <v>63</v>
      </c>
      <c r="K75" s="15" t="str">
        <f>CONCATENATE(K71,K72,";",K72)</f>
        <v>NC_000022.10:g.[19951271G&gt;A];[19951271G&gt;A]</v>
      </c>
      <c r="L75" s="15" t="str">
        <f>CONCATENATE(L71,L72,";",L72)</f>
        <v>NC_000022.10:g.[19950235C&gt;T];[19950235C&gt;T]</v>
      </c>
      <c r="M75" s="15" t="str">
        <f>CONCATENATE(M71,M72,";",M72)</f>
        <v>NC_000022.10:g.[19931407T&gt;C];[19931407T&gt;C]</v>
      </c>
      <c r="P75" s="3" t="s">
        <v>72</v>
      </c>
      <c r="Q75" s="29">
        <f>Z56</f>
        <v>18.5</v>
      </c>
      <c r="R75" s="3" t="str">
        <f>CONCATENATE("                    ",CHAR(40),"variantCall ",CHAR(40),CHAR(34),AA75,CHAR(34),CHAR(41)," or variantCall ",CHAR(40),CHAR(34),AA76,CHAR(34),CHAR(41),CHAR(41))</f>
        <v xml:space="preserve">                    (variantCall ("NC_000022.10:g.[19937533T&gt;G];[19937533T&gt;G]") or variantCall ("NC_000022.10:g.[19937533=];[19937533=]"))</v>
      </c>
      <c r="Y75" s="3" t="s">
        <v>63</v>
      </c>
      <c r="Z75" s="15" t="str">
        <f>CONCATENATE(Z71,Z72,";",Z72)</f>
        <v>NC_000022.10:g.[19948337T&gt;C];[19948337T&gt;C]</v>
      </c>
      <c r="AA75" s="15" t="str">
        <f>CONCATENATE(AA71,AA72,";",AA72)</f>
        <v>NC_000022.10:g.[19937533T&gt;G];[19937533T&gt;G]</v>
      </c>
      <c r="AB75" s="15" t="str">
        <f>CONCATENATE(AB71,AB72,";",AB72)</f>
        <v>00;0</v>
      </c>
    </row>
    <row r="76" spans="1:28">
      <c r="C76" s="3" t="s">
        <v>70</v>
      </c>
      <c r="J76" s="3" t="s">
        <v>52</v>
      </c>
      <c r="K76" s="2" t="str">
        <f>CONCATENATE(K71,K73,";",K73)</f>
        <v>NC_000022.10:g.[19951271=];[19951271=]</v>
      </c>
      <c r="L76" s="2" t="str">
        <f>CONCATENATE(L71,L73,";",L73)</f>
        <v>NC_000022.10:g.[19950235=];[19950235=]</v>
      </c>
      <c r="M76" s="2" t="str">
        <f>CONCATENATE(M71,M73,";",M73)</f>
        <v>NC_000022.10:g.[19931407=];[19931407=]</v>
      </c>
      <c r="Q76" s="15"/>
      <c r="R76" s="3" t="s">
        <v>70</v>
      </c>
      <c r="Y76" s="3" t="s">
        <v>52</v>
      </c>
      <c r="Z76" s="2" t="str">
        <f>CONCATENATE(Z71,Z73,";",Z73)</f>
        <v>NC_000022.10:g.[19948337=];[19948337=]</v>
      </c>
      <c r="AA76" s="2" t="str">
        <f>CONCATENATE(AA71,AA73,";",AA73)</f>
        <v>NC_000022.10:g.[19937533=];[19937533=]</v>
      </c>
      <c r="AB76" s="2" t="str">
        <f>CONCATENATE(AB71,AB73,";",AB73)</f>
        <v>00;0</v>
      </c>
    </row>
    <row r="77" spans="1:28">
      <c r="C77" s="3" t="str">
        <f>CONCATENATE("                    ",CHAR(40),"variantCall ",CHAR(40),CHAR(34),M75,CHAR(34),CHAR(41)," or variantCall ",CHAR(40),CHAR(34),M76,CHAR(34),CHAR(41),CHAR(41))</f>
        <v xml:space="preserve">                    (variantCall ("NC_000022.10:g.[19931407T&gt;C];[19931407T&gt;C]") or variantCall ("NC_000022.10:g.[19931407=];[19931407=]"))</v>
      </c>
      <c r="J77" s="3" t="s">
        <v>66</v>
      </c>
      <c r="K77">
        <v>43</v>
      </c>
      <c r="L77" s="2">
        <v>1.8</v>
      </c>
      <c r="M77" s="2">
        <v>15.8</v>
      </c>
      <c r="Q77" s="15"/>
      <c r="R77" s="3" t="str">
        <f>CONCATENATE("                    ",CHAR(40),"variantCall ",CHAR(40),CHAR(34),AB75,CHAR(34),CHAR(41)," or variantCall ",CHAR(40),CHAR(34),AB76,CHAR(34),CHAR(41),CHAR(41))</f>
        <v xml:space="preserve">                    (variantCall ("00;0") or variantCall ("00;0"))</v>
      </c>
      <c r="Y77" s="3" t="s">
        <v>66</v>
      </c>
      <c r="Z77">
        <v>43</v>
      </c>
      <c r="AA77" s="2">
        <v>1.8</v>
      </c>
      <c r="AB77" s="2">
        <v>15.8</v>
      </c>
    </row>
    <row r="78" spans="1:28">
      <c r="A78" s="14"/>
      <c r="C78" s="3" t="str">
        <f>CONCATENATE("                  } &gt; ")</f>
        <v xml:space="preserve">                  } &gt; </v>
      </c>
      <c r="J78" s="3" t="s">
        <v>67</v>
      </c>
      <c r="K78">
        <v>19.899999999999999</v>
      </c>
      <c r="L78" s="2">
        <v>0.5</v>
      </c>
      <c r="M78" s="2">
        <v>4.7</v>
      </c>
      <c r="P78" s="14"/>
      <c r="Q78" s="15"/>
      <c r="R78" s="3" t="str">
        <f>CONCATENATE("                  } &gt; ")</f>
        <v xml:space="preserve">                  } &gt; </v>
      </c>
      <c r="Y78" s="3" t="s">
        <v>67</v>
      </c>
      <c r="Z78">
        <v>19.899999999999999</v>
      </c>
      <c r="AA78" s="2">
        <v>0.5</v>
      </c>
      <c r="AB78" s="2">
        <v>4.7</v>
      </c>
    </row>
    <row r="79" spans="1:28">
      <c r="A79" s="26"/>
      <c r="J79" s="3" t="s">
        <v>68</v>
      </c>
      <c r="K79" s="2">
        <v>37.1</v>
      </c>
      <c r="L79" s="2">
        <v>97.8</v>
      </c>
      <c r="M79" s="2">
        <v>79.5</v>
      </c>
      <c r="P79" s="26"/>
      <c r="Q79" s="15"/>
      <c r="Y79" s="3" t="s">
        <v>68</v>
      </c>
      <c r="Z79" s="2">
        <v>37.1</v>
      </c>
      <c r="AA79" s="2">
        <v>97.8</v>
      </c>
      <c r="AB79" s="2">
        <v>79.5</v>
      </c>
    </row>
    <row r="80" spans="1:28">
      <c r="A80" s="14"/>
      <c r="C80" s="3" t="s">
        <v>26</v>
      </c>
      <c r="K80"/>
      <c r="L80" s="2"/>
      <c r="M80" s="2"/>
      <c r="P80" s="14"/>
      <c r="Q80" s="15"/>
      <c r="R80" s="3" t="s">
        <v>26</v>
      </c>
      <c r="Z80"/>
      <c r="AA80" s="2"/>
      <c r="AB80" s="2"/>
    </row>
    <row r="81" spans="1:28">
      <c r="A81" s="14"/>
      <c r="K81" s="15"/>
      <c r="L81" s="15"/>
      <c r="M81" s="15"/>
      <c r="P81" s="14"/>
      <c r="Q81" s="15"/>
      <c r="Z81" s="15"/>
      <c r="AA81" s="15"/>
      <c r="AB81" s="15"/>
    </row>
    <row r="82" spans="1:28">
      <c r="A82" s="26"/>
      <c r="C82" s="3" t="str">
        <f>CONCATENATE("    ",B73)</f>
        <v xml:space="preserve">    People with this variant have one copy of the [G158A](https://www.ncbi.nlm.nih.gov/pubmed/21059181) variant. This substitution of a single nucleotide is known as a missense mutation.</v>
      </c>
      <c r="K82" s="15"/>
      <c r="L82" s="15"/>
      <c r="M82" s="15"/>
      <c r="P82" s="26"/>
      <c r="Q82" s="15"/>
      <c r="R82" s="3" t="str">
        <f>CONCATENATE("    ",Q73)</f>
        <v xml:space="preserve">    People with this variant have two copies of the [T19960814C](https://www.ncbi.nlm.nih.gov/pubmed/19772600) variant. This substitution of a single nucleotide is known as a missense mutation.</v>
      </c>
      <c r="Z82" s="15"/>
      <c r="AA82" s="15"/>
      <c r="AB82" s="15"/>
    </row>
    <row r="83" spans="1:28">
      <c r="A83" s="14"/>
      <c r="K83" s="2"/>
      <c r="L83" s="2"/>
      <c r="M83" s="2"/>
      <c r="P83" s="14"/>
      <c r="Q83" s="15"/>
      <c r="Z83" s="2"/>
      <c r="AA83" s="2"/>
      <c r="AB83" s="2"/>
    </row>
    <row r="84" spans="1:28">
      <c r="A84" s="14"/>
      <c r="C84" s="3" t="s">
        <v>29</v>
      </c>
      <c r="P84" s="14"/>
      <c r="Q84" s="15"/>
      <c r="R84" s="3" t="s">
        <v>29</v>
      </c>
    </row>
    <row r="85" spans="1:28">
      <c r="A85" s="14"/>
      <c r="P85" s="14"/>
      <c r="Q85" s="15"/>
    </row>
    <row r="86" spans="1:28">
      <c r="A86" s="14"/>
      <c r="C86" s="3" t="str">
        <f>CONCATENATE(B74)</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[clozapine](https://www.ncbi.nlm.nih.gov/pubmed/24448899?dopt=Abstract) 
    - [Intermediate response to antidepressant paroxetine](https://www.ncbi.nlm.nih.gov/pubmed/18989660?dopt=Abstract) 
    - [Increased susceptibility for cocaine dependence](https://www.ncbi.nlm.nih.gov/pubmed/18704099?dopt=Abstract) 
    - Greater risk for [nicotine dependence](https://www.ncbi.nlm.nih.gov/pubmed/16395295?dopt=Abstract) in Asian males and African American females 
    - [1.3X increased risk of breast cancer](https://www.ncbi.nlm.nih.gov/pubmed/18194538?dopt=Abstract) 
    # What should I do about this?
    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c r="P86" s="14"/>
      <c r="Q86" s="15"/>
      <c r="R86" s="3" t="str">
        <f>CONCATENATE(Q74)</f>
        <v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v>
      </c>
    </row>
    <row r="87" spans="1:28">
      <c r="A87" s="26"/>
      <c r="P87" s="26"/>
      <c r="Q87" s="15"/>
    </row>
    <row r="88" spans="1:28">
      <c r="A88" s="26"/>
      <c r="C88" s="3" t="s">
        <v>30</v>
      </c>
      <c r="P88" s="26"/>
      <c r="Q88" s="15"/>
      <c r="R88" s="3" t="s">
        <v>30</v>
      </c>
    </row>
    <row r="89" spans="1:28">
      <c r="A89" s="26"/>
      <c r="P89" s="26"/>
      <c r="Q89" s="15"/>
    </row>
    <row r="90" spans="1:28">
      <c r="A90" s="26"/>
      <c r="C90" s="3" t="str">
        <f>CONCATENATE( "    &lt;piechart percentage=",B75," /&gt;")</f>
        <v xml:space="preserve">    &lt;piechart percentage=43 /&gt;</v>
      </c>
      <c r="P90" s="26"/>
      <c r="Q90" s="15"/>
      <c r="R90" s="3" t="str">
        <f>CONCATENATE( "    &lt;piechart percentage=",Q75," /&gt;")</f>
        <v xml:space="preserve">    &lt;piechart percentage=18.5 /&gt;</v>
      </c>
    </row>
    <row r="91" spans="1:28">
      <c r="A91" s="26"/>
      <c r="C91" s="3" t="str">
        <f>"  &lt;/Analysis&gt;"</f>
        <v xml:space="preserve">  &lt;/Analysis&gt;</v>
      </c>
      <c r="K91" s="3" t="str">
        <f>K47</f>
        <v>rs6691840</v>
      </c>
      <c r="L91" s="3" t="str">
        <f>L47</f>
        <v>rs3913434</v>
      </c>
      <c r="M91" s="3" t="str">
        <f>M47</f>
        <v>rs270838</v>
      </c>
      <c r="P91" s="26"/>
      <c r="Q91" s="15"/>
      <c r="R91" s="3" t="str">
        <f>"  &lt;/Analysis&gt;"</f>
        <v xml:space="preserve">  &lt;/Analysis&gt;</v>
      </c>
      <c r="Z91" s="3">
        <f>Z47</f>
        <v>0</v>
      </c>
      <c r="AA91" s="3">
        <f>AA47</f>
        <v>0</v>
      </c>
      <c r="AB91" s="3">
        <f>AB47</f>
        <v>0</v>
      </c>
    </row>
    <row r="92" spans="1:28" s="21" customFormat="1">
      <c r="A92" s="28" t="s">
        <v>69</v>
      </c>
      <c r="B92" s="20" t="str">
        <f>CONCATENATE(B19," (A;A)")</f>
        <v>G158A (A;A)</v>
      </c>
      <c r="C92" s="21" t="str">
        <f>CONCATENATE("&lt;# ",B92," #&gt;")</f>
        <v>&lt;# G158A (A;A) #&gt;</v>
      </c>
      <c r="K92" s="21" t="str">
        <f t="shared" ref="K92:M93" si="2">K70</f>
        <v>G158A</v>
      </c>
      <c r="L92" s="21" t="str">
        <f t="shared" si="2"/>
        <v>C62T</v>
      </c>
      <c r="M92" s="21" t="str">
        <f t="shared" si="2"/>
        <v>T19943884C</v>
      </c>
      <c r="P92" s="28" t="s">
        <v>69</v>
      </c>
      <c r="Q92" s="20" t="str">
        <f>CONCATENATE(Q28," (G;G)")</f>
        <v>T19950010G (G;G)</v>
      </c>
      <c r="R92" s="21" t="str">
        <f>CONCATENATE("&lt;# ",Q92," #&gt;")</f>
        <v>&lt;# T19950010G (G;G) #&gt;</v>
      </c>
      <c r="Z92" s="21" t="str">
        <f t="shared" ref="Z92:AB92" si="3">Z70</f>
        <v>T19960814C</v>
      </c>
      <c r="AA92" s="21" t="str">
        <f t="shared" si="3"/>
        <v>T19950010G</v>
      </c>
      <c r="AB92" s="21">
        <f t="shared" si="3"/>
        <v>0</v>
      </c>
    </row>
    <row r="93" spans="1:28">
      <c r="A93" s="3" t="s">
        <v>21</v>
      </c>
      <c r="B93" s="29" t="str">
        <f>K75</f>
        <v>NC_000022.10:g.[19951271G&gt;A];[19951271G&gt;A]</v>
      </c>
      <c r="C93" s="10"/>
      <c r="K93" s="3" t="str">
        <f t="shared" si="2"/>
        <v>NC_000022.10:g.</v>
      </c>
      <c r="L93" s="3" t="str">
        <f t="shared" si="2"/>
        <v>NC_000022.10:g.</v>
      </c>
      <c r="M93" s="3" t="str">
        <f t="shared" si="2"/>
        <v>NC_000022.10:g.</v>
      </c>
      <c r="P93" s="3" t="s">
        <v>21</v>
      </c>
      <c r="Q93" s="29" t="str">
        <f>AA97</f>
        <v>NC_000022.10:g.[19937533T&gt;G];[19937533T&gt;G]</v>
      </c>
      <c r="R93" s="10"/>
      <c r="Z93" s="3" t="str">
        <f t="shared" ref="Z93:AB93" si="4">Z71</f>
        <v>NC_000022.10:g.</v>
      </c>
      <c r="AA93" s="3" t="str">
        <f t="shared" si="4"/>
        <v>NC_000022.10:g.</v>
      </c>
      <c r="AB93" s="3">
        <f t="shared" si="4"/>
        <v>0</v>
      </c>
    </row>
    <row r="94" spans="1:28">
      <c r="B94" s="29"/>
      <c r="C94" s="3" t="str">
        <f>CONCATENATE("  &lt;Analysis name=",CHAR(34),B92,CHAR(34))</f>
        <v xml:space="preserve">  &lt;Analysis name="G158A (A;A)"</v>
      </c>
      <c r="J94" s="3" t="str">
        <f t="shared" ref="J94:M101" si="5">J72</f>
        <v>Variant</v>
      </c>
      <c r="K94" s="3" t="str">
        <f t="shared" si="5"/>
        <v>[19951271G&gt;A]</v>
      </c>
      <c r="L94" s="3" t="str">
        <f t="shared" si="5"/>
        <v>[19950235C&gt;T]</v>
      </c>
      <c r="M94" s="3" t="str">
        <f t="shared" si="5"/>
        <v>[19931407T&gt;C]</v>
      </c>
      <c r="Q94" s="29"/>
      <c r="R94" s="3" t="str">
        <f>CONCATENATE("  &lt;Analysis name=",CHAR(34),Q92,CHAR(34))</f>
        <v xml:space="preserve">  &lt;Analysis name="T19950010G (G;G)"</v>
      </c>
      <c r="Y94" s="3" t="str">
        <f t="shared" ref="Y94:AB94" si="6">Y72</f>
        <v>Variant</v>
      </c>
      <c r="Z94" s="3" t="str">
        <f t="shared" si="6"/>
        <v>[19948337T&gt;C]</v>
      </c>
      <c r="AA94" s="3" t="str">
        <f t="shared" si="6"/>
        <v>[19937533T&gt;G]</v>
      </c>
      <c r="AB94" s="3">
        <f t="shared" si="6"/>
        <v>0</v>
      </c>
    </row>
    <row r="95" spans="1:28">
      <c r="A95" s="5" t="s">
        <v>74</v>
      </c>
      <c r="B95" s="2"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95" s="3" t="str">
        <f>CONCATENATE("            case={  variantCall ",CHAR(40),CHAR(34),B93,CHAR(34),CHAR(41))</f>
        <v xml:space="preserve">            case={  variantCall ("NC_000022.10:g.[19951271G&gt;A];[19951271G&gt;A]")</v>
      </c>
      <c r="J95" s="3" t="str">
        <f t="shared" si="5"/>
        <v>Wildtype</v>
      </c>
      <c r="K95" s="3" t="str">
        <f t="shared" si="5"/>
        <v>[19951271=]</v>
      </c>
      <c r="L95" s="3" t="str">
        <f t="shared" si="5"/>
        <v>[19950235=]</v>
      </c>
      <c r="M95" s="3" t="str">
        <f t="shared" si="5"/>
        <v>[19931407=]</v>
      </c>
      <c r="P95" s="5" t="s">
        <v>74</v>
      </c>
      <c r="Q95" s="2" t="str">
        <f>CONCATENATE("People with this variant have two copies of the ",Q31," variant. This substitution of a single nucleotide is known as a missense mutation.")</f>
        <v>People with this variant have two copies of the [T19950010G](https://www.ncbi.nlm.nih.gov/pubmed/19540336) variant. This substitution of a single nucleotide is known as a missense mutation.</v>
      </c>
      <c r="R95" s="3" t="str">
        <f>CONCATENATE("            case={  variantCall ",CHAR(40),CHAR(34),Q93,CHAR(34),CHAR(41))</f>
        <v xml:space="preserve">            case={  variantCall ("NC_000022.10:g.[19937533T&gt;G];[19937533T&gt;G]")</v>
      </c>
      <c r="Y95" s="3" t="str">
        <f t="shared" ref="Y95:AB95" si="7">Y73</f>
        <v>Wildtype</v>
      </c>
      <c r="Z95" s="3" t="str">
        <f t="shared" si="7"/>
        <v>[19948337=]</v>
      </c>
      <c r="AA95" s="3" t="str">
        <f t="shared" si="7"/>
        <v>[19937533=]</v>
      </c>
      <c r="AB95" s="3">
        <f t="shared" si="7"/>
        <v>0</v>
      </c>
    </row>
    <row r="96" spans="1:28">
      <c r="A96" s="1" t="s">
        <v>28</v>
      </c>
      <c r="B96" s="2" t="s">
        <v>288</v>
      </c>
      <c r="C96" s="3" t="s">
        <v>70</v>
      </c>
      <c r="J96" s="3" t="str">
        <f t="shared" si="5"/>
        <v>Het</v>
      </c>
      <c r="K96" s="3" t="str">
        <f t="shared" si="5"/>
        <v>NC_000022.10:g.[19951271G&gt;A];[19951271=]</v>
      </c>
      <c r="L96" s="3" t="str">
        <f t="shared" si="5"/>
        <v>NC_000022.10:g.[19950235C&gt;T];[19950235=]</v>
      </c>
      <c r="M96" s="3" t="str">
        <f t="shared" si="5"/>
        <v>NC_000022.10:g.[19931407T&gt;C];[19931407=]</v>
      </c>
      <c r="P96" s="1" t="s">
        <v>28</v>
      </c>
      <c r="Q96" s="2" t="s">
        <v>295</v>
      </c>
      <c r="R96" s="3" t="s">
        <v>70</v>
      </c>
      <c r="Y96" s="3" t="str">
        <f t="shared" ref="Y96:AB96" si="8">Y74</f>
        <v>Het</v>
      </c>
      <c r="Z96" s="3" t="str">
        <f t="shared" si="8"/>
        <v>NC_000022.10:g.[19948337T&gt;C];[19948337=]</v>
      </c>
      <c r="AA96" s="3" t="str">
        <f t="shared" si="8"/>
        <v>NC_000022.10:g.[19937533T&gt;G];[19937533=]</v>
      </c>
      <c r="AB96" s="3" t="str">
        <f t="shared" si="8"/>
        <v>00;0</v>
      </c>
    </row>
    <row r="97" spans="1:28">
      <c r="A97" s="3" t="s">
        <v>72</v>
      </c>
      <c r="B97" s="29">
        <f>K78</f>
        <v>19.899999999999999</v>
      </c>
      <c r="C97" s="3" t="str">
        <f>CONCATENATE("                    ",CHAR(40),"variantCall ",CHAR(40),CHAR(34),L97,CHAR(34),CHAR(41)," or variantCall ",CHAR(40),CHAR(34),L98,CHAR(34),CHAR(41),CHAR(41))</f>
        <v xml:space="preserve">                    (variantCall ("NC_000022.10:g.[19950235C&gt;T];[19950235C&gt;T]") or variantCall ("NC_000022.10:g.[19950235=];[19950235=]"))</v>
      </c>
      <c r="J97" s="3" t="str">
        <f t="shared" si="5"/>
        <v>Homo</v>
      </c>
      <c r="K97" s="3" t="str">
        <f t="shared" si="5"/>
        <v>NC_000022.10:g.[19951271G&gt;A];[19951271G&gt;A]</v>
      </c>
      <c r="L97" s="3" t="str">
        <f t="shared" si="5"/>
        <v>NC_000022.10:g.[19950235C&gt;T];[19950235C&gt;T]</v>
      </c>
      <c r="M97" s="3" t="str">
        <f t="shared" si="5"/>
        <v>NC_000022.10:g.[19931407T&gt;C];[19931407T&gt;C]</v>
      </c>
      <c r="P97" s="3" t="s">
        <v>72</v>
      </c>
      <c r="Q97" s="29">
        <f>Z78</f>
        <v>19.899999999999999</v>
      </c>
      <c r="R97" s="3" t="str">
        <f>CONCATENATE("                    ",CHAR(40),"variantCall ",CHAR(40),CHAR(34),AA97,CHAR(34),CHAR(41)," or variantCall ",CHAR(40),CHAR(34),AA98,CHAR(34),CHAR(41),CHAR(41))</f>
        <v xml:space="preserve">                    (variantCall ("NC_000022.10:g.[19937533T&gt;G];[19937533T&gt;G]") or variantCall ("NC_000022.10:g.[19937533=];[19937533=]"))</v>
      </c>
      <c r="Y97" s="3" t="str">
        <f t="shared" ref="Y97:AB97" si="9">Y75</f>
        <v>Homo</v>
      </c>
      <c r="Z97" s="3" t="str">
        <f t="shared" si="9"/>
        <v>NC_000022.10:g.[19948337T&gt;C];[19948337T&gt;C]</v>
      </c>
      <c r="AA97" s="3" t="str">
        <f t="shared" si="9"/>
        <v>NC_000022.10:g.[19937533T&gt;G];[19937533T&gt;G]</v>
      </c>
      <c r="AB97" s="3" t="str">
        <f t="shared" si="9"/>
        <v>00;0</v>
      </c>
    </row>
    <row r="98" spans="1:28">
      <c r="C98" s="3" t="s">
        <v>70</v>
      </c>
      <c r="J98" s="3" t="str">
        <f t="shared" si="5"/>
        <v>Wildtype</v>
      </c>
      <c r="K98" s="3" t="str">
        <f t="shared" si="5"/>
        <v>NC_000022.10:g.[19951271=];[19951271=]</v>
      </c>
      <c r="L98" s="3" t="str">
        <f t="shared" si="5"/>
        <v>NC_000022.10:g.[19950235=];[19950235=]</v>
      </c>
      <c r="M98" s="3" t="str">
        <f t="shared" si="5"/>
        <v>NC_000022.10:g.[19931407=];[19931407=]</v>
      </c>
      <c r="Q98" s="15"/>
      <c r="R98" s="3" t="s">
        <v>70</v>
      </c>
      <c r="Y98" s="3" t="str">
        <f t="shared" ref="Y98:AB98" si="10">Y76</f>
        <v>Wildtype</v>
      </c>
      <c r="Z98" s="3" t="str">
        <f t="shared" si="10"/>
        <v>NC_000022.10:g.[19948337=];[19948337=]</v>
      </c>
      <c r="AA98" s="3" t="str">
        <f t="shared" si="10"/>
        <v>NC_000022.10:g.[19937533=];[19937533=]</v>
      </c>
      <c r="AB98" s="3" t="str">
        <f t="shared" si="10"/>
        <v>00;0</v>
      </c>
    </row>
    <row r="99" spans="1:28">
      <c r="C99" s="3" t="str">
        <f>CONCATENATE("                    ",CHAR(40),"variantCall ",CHAR(40),CHAR(34),M97,CHAR(34),CHAR(41)," or variantCall ",CHAR(40),CHAR(34),M98,CHAR(34),CHAR(41),CHAR(41))</f>
        <v xml:space="preserve">                    (variantCall ("NC_000022.10:g.[19931407T&gt;C];[19931407T&gt;C]") or variantCall ("NC_000022.10:g.[19931407=];[19931407=]"))</v>
      </c>
      <c r="J99" s="3" t="str">
        <f t="shared" si="5"/>
        <v>Het%</v>
      </c>
      <c r="K99" s="3">
        <f t="shared" si="5"/>
        <v>43</v>
      </c>
      <c r="L99" s="3">
        <f t="shared" si="5"/>
        <v>1.8</v>
      </c>
      <c r="M99" s="3">
        <f t="shared" si="5"/>
        <v>15.8</v>
      </c>
      <c r="Q99" s="15"/>
      <c r="R99" s="3" t="str">
        <f>CONCATENATE("                    ",CHAR(40),"variantCall ",CHAR(40),CHAR(34),AB97,CHAR(34),CHAR(41)," or variantCall ",CHAR(40),CHAR(34),AB98,CHAR(34),CHAR(41),CHAR(41))</f>
        <v xml:space="preserve">                    (variantCall ("00;0") or variantCall ("00;0"))</v>
      </c>
      <c r="Y99" s="3" t="str">
        <f t="shared" ref="Y99:AB99" si="11">Y77</f>
        <v>Het%</v>
      </c>
      <c r="Z99" s="3">
        <f t="shared" si="11"/>
        <v>43</v>
      </c>
      <c r="AA99" s="3">
        <f t="shared" si="11"/>
        <v>1.8</v>
      </c>
      <c r="AB99" s="3">
        <f t="shared" si="11"/>
        <v>15.8</v>
      </c>
    </row>
    <row r="100" spans="1:28">
      <c r="A100" s="14"/>
      <c r="C100" s="3" t="str">
        <f>CONCATENATE("                  } &gt; ")</f>
        <v xml:space="preserve">                  } &gt; </v>
      </c>
      <c r="J100" s="3" t="str">
        <f t="shared" si="5"/>
        <v>Homo%</v>
      </c>
      <c r="K100" s="3">
        <f t="shared" si="5"/>
        <v>19.899999999999999</v>
      </c>
      <c r="L100" s="3">
        <f t="shared" si="5"/>
        <v>0.5</v>
      </c>
      <c r="M100" s="3">
        <f t="shared" si="5"/>
        <v>4.7</v>
      </c>
      <c r="P100" s="14"/>
      <c r="Q100" s="15"/>
      <c r="R100" s="3" t="str">
        <f>CONCATENATE("                  } &gt; ")</f>
        <v xml:space="preserve">                  } &gt; </v>
      </c>
      <c r="Y100" s="3" t="str">
        <f t="shared" ref="Y100:AB100" si="12">Y78</f>
        <v>Homo%</v>
      </c>
      <c r="Z100" s="3">
        <f t="shared" si="12"/>
        <v>19.899999999999999</v>
      </c>
      <c r="AA100" s="3">
        <f t="shared" si="12"/>
        <v>0.5</v>
      </c>
      <c r="AB100" s="3">
        <f t="shared" si="12"/>
        <v>4.7</v>
      </c>
    </row>
    <row r="101" spans="1:28">
      <c r="A101" s="26"/>
      <c r="J101" s="3" t="str">
        <f t="shared" si="5"/>
        <v>Wildtype%</v>
      </c>
      <c r="K101" s="3">
        <f t="shared" si="5"/>
        <v>37.1</v>
      </c>
      <c r="L101" s="3">
        <f t="shared" si="5"/>
        <v>97.8</v>
      </c>
      <c r="M101" s="3">
        <f t="shared" si="5"/>
        <v>79.5</v>
      </c>
      <c r="P101" s="26"/>
      <c r="Q101" s="15"/>
      <c r="Y101" s="3" t="str">
        <f t="shared" ref="Y101:AB101" si="13">Y79</f>
        <v>Wildtype%</v>
      </c>
      <c r="Z101" s="3">
        <f t="shared" si="13"/>
        <v>37.1</v>
      </c>
      <c r="AA101" s="3">
        <f t="shared" si="13"/>
        <v>97.8</v>
      </c>
      <c r="AB101" s="3">
        <f t="shared" si="13"/>
        <v>79.5</v>
      </c>
    </row>
    <row r="102" spans="1:28">
      <c r="A102" s="14"/>
      <c r="C102" s="3" t="s">
        <v>26</v>
      </c>
      <c r="P102" s="14"/>
      <c r="Q102" s="15"/>
      <c r="R102" s="3" t="s">
        <v>26</v>
      </c>
    </row>
    <row r="103" spans="1:28">
      <c r="A103" s="14"/>
      <c r="P103" s="14"/>
      <c r="Q103" s="15"/>
    </row>
    <row r="104" spans="1:28">
      <c r="A104" s="26"/>
      <c r="C104" s="3" t="str">
        <f>CONCATENATE("    ",B95)</f>
        <v xml:space="preserve">    People with this variant have two copies of the [G158A](https://www.ncbi.nlm.nih.gov/pubmed/21059181) variant. This substitution of a single nucleotide is known as a missense mutation.</v>
      </c>
      <c r="P104" s="26"/>
      <c r="Q104" s="15"/>
      <c r="R104" s="3" t="str">
        <f>CONCATENATE("    ",Q95)</f>
        <v xml:space="preserve">    People with this variant have two copies of the [T19950010G](https://www.ncbi.nlm.nih.gov/pubmed/19540336) variant. This substitution of a single nucleotide is known as a missense mutation.</v>
      </c>
    </row>
    <row r="105" spans="1:28">
      <c r="A105" s="14"/>
      <c r="P105" s="14"/>
      <c r="Q105" s="15"/>
    </row>
    <row r="106" spans="1:28">
      <c r="A106" s="14"/>
      <c r="C106" s="3" t="s">
        <v>29</v>
      </c>
      <c r="P106" s="14"/>
      <c r="Q106" s="15"/>
      <c r="R106" s="3" t="s">
        <v>29</v>
      </c>
    </row>
    <row r="107" spans="1:28">
      <c r="A107" s="14"/>
      <c r="P107" s="14"/>
      <c r="Q107" s="15"/>
    </row>
    <row r="108" spans="1:28">
      <c r="A108" s="14"/>
      <c r="C108" s="3" t="str">
        <f>CONCATENATE(B96)</f>
        <v xml:space="preserve">    The double adenine (A) missense variant reduces enzyme activity by 25% and greatly increases dopamine levels. [78% of people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[ME/CFS patients](https://www.ncbi.nlm.nih.gov/pubmed/21059181) and has many effects.
    -  After exercise, the COMT gene showed [more activation](https://www.ncbi.nlm.nih.gov/pubmed/22110941) than healthy patients, [causing muscle fatigue and pain](https://www.ncbi.nlm.nih.gov/pubmed/19647494) 
    -  CFS patients have [higher cortisol levels, enhanced IgE, diminished IgG3 levels, and an increased susceptibility to respiratory tract infections](https://www.ncbi.nlm.nih.gov/pubmed/26272340) 
    - Increased postural orthostatic tachycardia syndrome ([POTS](https://www.ncbi.nlm.nih.gov/pubmed/21059181)) during tilt table testing 
    - Daytime [sleepiness](https://www.ncbi.nlm.nih.gov/pubmed/23728717?dopt=Abstract) 
    - Increased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dependence](https://www.ncbi.nlm.nih.gov/pubmed/18704099?dopt=Abstract) 
    - Greatest chance of [nicotine dependence](https://www.ncbi.nlm.nih.gov/pubmed/16395295?dopt=Abstract) in Asian males and African American females 
    # What should I do about this?
    - Avoid all stress and moderate exercise to improve pain sensitivity, muscle fatigue and thinking. Consider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antibiotics](http://www.piduk.org/static/media/up/IgG%20subclass%20Patient%20Information%20Sheet.pdf) may prevent development of infections. 
    - Check [cortisol levels](https://www.ncbi.nlm.nih.gov/pubmed/26272340). If elevated, consider [magnesium](https://www.ncbi.nlm.nih.gov/pubmed/18500945), [omega-3 fish oil](https://www.ncbi.nlm.nih.gov/pubmed/12909818), [massage](https://www.ncbi.nlm.nih.gov/pubmed/16162447) therapy,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c r="P108" s="14"/>
      <c r="Q108" s="15"/>
      <c r="R108" s="3" t="str">
        <f>CONCATENATE(Q96)</f>
        <v xml:space="preserve">    This variant is associated with an increased risk of [ME/CFS](https://www.ncbi.nlm.nih.gov/pubmed/19540336)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v>
      </c>
    </row>
    <row r="109" spans="1:28">
      <c r="A109" s="26"/>
      <c r="P109" s="26"/>
      <c r="Q109" s="15"/>
    </row>
    <row r="110" spans="1:28">
      <c r="A110" s="26"/>
      <c r="C110" s="3" t="s">
        <v>30</v>
      </c>
      <c r="P110" s="26"/>
      <c r="Q110" s="15"/>
      <c r="R110" s="3" t="s">
        <v>30</v>
      </c>
    </row>
    <row r="111" spans="1:28">
      <c r="A111" s="26"/>
      <c r="P111" s="26"/>
      <c r="Q111" s="15"/>
    </row>
    <row r="112" spans="1:28">
      <c r="A112" s="26"/>
      <c r="C112" s="3" t="str">
        <f>CONCATENATE( "    &lt;piechart percentage=",B97," /&gt;")</f>
        <v xml:space="preserve">    &lt;piechart percentage=19.9 /&gt;</v>
      </c>
      <c r="P112" s="26"/>
      <c r="Q112" s="15"/>
      <c r="R112" s="3" t="str">
        <f>CONCATENATE( "    &lt;piechart percentage=",Q97," /&gt;")</f>
        <v xml:space="preserve">    &lt;piechart percentage=19.9 /&gt;</v>
      </c>
    </row>
    <row r="113" spans="1:28">
      <c r="A113" s="26"/>
      <c r="C113" s="3" t="str">
        <f>"  &lt;/Analysis&gt;"</f>
        <v xml:space="preserve">  &lt;/Analysis&gt;</v>
      </c>
      <c r="K113" s="3" t="str">
        <f t="shared" ref="K113:M115" si="14">K91</f>
        <v>rs6691840</v>
      </c>
      <c r="L113" s="3" t="str">
        <f t="shared" si="14"/>
        <v>rs3913434</v>
      </c>
      <c r="M113" s="3" t="str">
        <f t="shared" si="14"/>
        <v>rs270838</v>
      </c>
      <c r="P113" s="26"/>
      <c r="Q113" s="15"/>
      <c r="R113" s="3" t="str">
        <f>"  &lt;/Analysis&gt;"</f>
        <v xml:space="preserve">  &lt;/Analysis&gt;</v>
      </c>
      <c r="Z113" s="3">
        <f t="shared" ref="Z113:AB113" si="15">Z91</f>
        <v>0</v>
      </c>
      <c r="AA113" s="3">
        <f t="shared" si="15"/>
        <v>0</v>
      </c>
      <c r="AB113" s="3">
        <f t="shared" si="15"/>
        <v>0</v>
      </c>
    </row>
    <row r="114" spans="1:28" s="21" customFormat="1">
      <c r="A114" s="28" t="s">
        <v>69</v>
      </c>
      <c r="B114" s="20" t="str">
        <f>CONCATENATE(B28," (C;T)")</f>
        <v>C62T (C;T)</v>
      </c>
      <c r="C114" s="21" t="str">
        <f>CONCATENATE("&lt;# ",B114," #&gt;")</f>
        <v>&lt;# C62T (C;T) #&gt;</v>
      </c>
      <c r="K114" s="21" t="str">
        <f t="shared" si="14"/>
        <v>G158A</v>
      </c>
      <c r="L114" s="21" t="str">
        <f t="shared" si="14"/>
        <v>C62T</v>
      </c>
      <c r="M114" s="21" t="str">
        <f t="shared" si="14"/>
        <v>T19943884C</v>
      </c>
      <c r="P114" s="28" t="s">
        <v>69</v>
      </c>
      <c r="Q114" s="20" t="str">
        <f>CONCATENATE(Q28," (T;G)")</f>
        <v>T19950010G (T;G)</v>
      </c>
      <c r="R114" s="21" t="str">
        <f>CONCATENATE("&lt;# ",Q114," #&gt;")</f>
        <v>&lt;# T19950010G (T;G) #&gt;</v>
      </c>
      <c r="Z114" s="21" t="str">
        <f t="shared" ref="Z114:AB114" si="16">Z92</f>
        <v>T19960814C</v>
      </c>
      <c r="AA114" s="21" t="str">
        <f t="shared" si="16"/>
        <v>T19950010G</v>
      </c>
      <c r="AB114" s="21">
        <f t="shared" si="16"/>
        <v>0</v>
      </c>
    </row>
    <row r="115" spans="1:28" s="10" customFormat="1">
      <c r="A115" s="3" t="s">
        <v>21</v>
      </c>
      <c r="B115" s="29" t="str">
        <f>L118</f>
        <v>NC_000022.10:g.[19950235C&gt;T];[19950235=]</v>
      </c>
      <c r="J115" s="3"/>
      <c r="K115" s="22" t="str">
        <f t="shared" si="14"/>
        <v>NC_000022.10:g.</v>
      </c>
      <c r="L115" s="22" t="str">
        <f t="shared" si="14"/>
        <v>NC_000022.10:g.</v>
      </c>
      <c r="M115" s="10" t="str">
        <f t="shared" si="14"/>
        <v>NC_000022.10:g.</v>
      </c>
      <c r="P115" s="3" t="s">
        <v>21</v>
      </c>
      <c r="Q115" s="29" t="str">
        <f>AA118</f>
        <v>NC_000022.10:g.[19937533T&gt;G];[19937533=]</v>
      </c>
      <c r="Y115" s="3"/>
      <c r="Z115" s="22" t="str">
        <f t="shared" ref="Z115:AB115" si="17">Z93</f>
        <v>NC_000022.10:g.</v>
      </c>
      <c r="AA115" s="22" t="str">
        <f t="shared" si="17"/>
        <v>NC_000022.10:g.</v>
      </c>
      <c r="AB115" s="10">
        <f t="shared" si="17"/>
        <v>0</v>
      </c>
    </row>
    <row r="116" spans="1:28">
      <c r="A116" s="3" t="s">
        <v>71</v>
      </c>
      <c r="B116" s="29"/>
      <c r="C116" s="3" t="str">
        <f>CONCATENATE("  &lt;Analysis name=",CHAR(34),B114,CHAR(34))</f>
        <v xml:space="preserve">  &lt;Analysis name="C62T (C;T)"</v>
      </c>
      <c r="J116" s="3" t="str">
        <f t="shared" ref="J116:M123" si="18">J94</f>
        <v>Variant</v>
      </c>
      <c r="K116" s="15" t="str">
        <f t="shared" si="18"/>
        <v>[19951271G&gt;A]</v>
      </c>
      <c r="L116" s="22" t="str">
        <f t="shared" si="18"/>
        <v>[19950235C&gt;T]</v>
      </c>
      <c r="M116" s="3" t="str">
        <f t="shared" si="18"/>
        <v>[19931407T&gt;C]</v>
      </c>
      <c r="P116" s="3" t="s">
        <v>71</v>
      </c>
      <c r="Q116" s="29"/>
      <c r="R116" s="3" t="str">
        <f>CONCATENATE("  &lt;Analysis name=",CHAR(34),Q114,CHAR(34))</f>
        <v xml:space="preserve">  &lt;Analysis name="T19950010G (T;G)"</v>
      </c>
      <c r="Y116" s="3" t="str">
        <f t="shared" ref="Y116:AB116" si="19">Y94</f>
        <v>Variant</v>
      </c>
      <c r="Z116" s="15" t="str">
        <f t="shared" si="19"/>
        <v>[19948337T&gt;C]</v>
      </c>
      <c r="AA116" s="22" t="str">
        <f t="shared" si="19"/>
        <v>[19937533T&gt;G]</v>
      </c>
      <c r="AB116" s="3">
        <f t="shared" si="19"/>
        <v>0</v>
      </c>
    </row>
    <row r="117" spans="1:28">
      <c r="A117" s="5" t="s">
        <v>27</v>
      </c>
      <c r="B117" s="2" t="str">
        <f>CONCATENATE("People with this variant have one copy of the ",B31," variant. This substitution of a single nucleotide is known as a missense mutation.")</f>
        <v>People with this variant have one copy of the [C62T](https://www.ncbi.nlm.nih.gov/pubmed/26891941) variant. This substitution of a single nucleotide is known as a missense mutation.</v>
      </c>
      <c r="C117" s="3" t="str">
        <f>CONCATENATE("            case={  variantCall ",CHAR(40),CHAR(34),L118,CHAR(34),CHAR(41))</f>
        <v xml:space="preserve">            case={  variantCall ("NC_000022.10:g.[19950235C&gt;T];[19950235=]")</v>
      </c>
      <c r="J117" s="3" t="str">
        <f t="shared" si="18"/>
        <v>Wildtype</v>
      </c>
      <c r="K117" s="15" t="str">
        <f t="shared" si="18"/>
        <v>[19951271=]</v>
      </c>
      <c r="L117" s="22" t="str">
        <f t="shared" si="18"/>
        <v>[19950235=]</v>
      </c>
      <c r="M117" s="3" t="str">
        <f t="shared" si="18"/>
        <v>[19931407=]</v>
      </c>
      <c r="P117" s="5" t="s">
        <v>27</v>
      </c>
      <c r="Q117" s="2" t="str">
        <f>CONCATENATE("People with this variant have one copy of the ",Q31," variant. This substitution of a single nucleotide is known as a missense mutation.")</f>
        <v>People with this variant have one copy of the [T19950010G](https://www.ncbi.nlm.nih.gov/pubmed/19540336) variant. This substitution of a single nucleotide is known as a missense mutation.</v>
      </c>
      <c r="R117" s="3" t="str">
        <f>CONCATENATE("            case={  variantCall ",CHAR(40),CHAR(34),AA118,CHAR(34),CHAR(41))</f>
        <v xml:space="preserve">            case={  variantCall ("NC_000022.10:g.[19937533T&gt;G];[19937533=]")</v>
      </c>
      <c r="Y117" s="3" t="str">
        <f t="shared" ref="Y117:AB117" si="20">Y95</f>
        <v>Wildtype</v>
      </c>
      <c r="Z117" s="15" t="str">
        <f t="shared" si="20"/>
        <v>[19948337=]</v>
      </c>
      <c r="AA117" s="22" t="str">
        <f t="shared" si="20"/>
        <v>[19937533=]</v>
      </c>
      <c r="AB117" s="3">
        <f t="shared" si="20"/>
        <v>0</v>
      </c>
    </row>
    <row r="118" spans="1:28">
      <c r="A118" s="1" t="s">
        <v>28</v>
      </c>
      <c r="B118" s="2" t="s">
        <v>289</v>
      </c>
      <c r="C118" s="3" t="s">
        <v>70</v>
      </c>
      <c r="J118" s="3" t="str">
        <f t="shared" si="18"/>
        <v>Het</v>
      </c>
      <c r="K118" s="15" t="str">
        <f t="shared" si="18"/>
        <v>NC_000022.10:g.[19951271G&gt;A];[19951271=]</v>
      </c>
      <c r="L118" s="15" t="str">
        <f t="shared" si="18"/>
        <v>NC_000022.10:g.[19950235C&gt;T];[19950235=]</v>
      </c>
      <c r="M118" s="3" t="str">
        <f t="shared" si="18"/>
        <v>NC_000022.10:g.[19931407T&gt;C];[19931407=]</v>
      </c>
      <c r="P118" s="1" t="s">
        <v>28</v>
      </c>
      <c r="Q118" s="2" t="s">
        <v>292</v>
      </c>
      <c r="R118" s="3" t="s">
        <v>70</v>
      </c>
      <c r="Y118" s="3" t="str">
        <f t="shared" ref="Y118:AB118" si="21">Y96</f>
        <v>Het</v>
      </c>
      <c r="Z118" s="15" t="str">
        <f t="shared" si="21"/>
        <v>NC_000022.10:g.[19948337T&gt;C];[19948337=]</v>
      </c>
      <c r="AA118" s="15" t="str">
        <f t="shared" si="21"/>
        <v>NC_000022.10:g.[19937533T&gt;G];[19937533=]</v>
      </c>
      <c r="AB118" s="3" t="str">
        <f t="shared" si="21"/>
        <v>00;0</v>
      </c>
    </row>
    <row r="119" spans="1:28">
      <c r="A119" s="3" t="s">
        <v>72</v>
      </c>
      <c r="B119" s="29">
        <f>L77</f>
        <v>1.8</v>
      </c>
      <c r="C119" s="3" t="str">
        <f>CONCATENATE("                    ",CHAR(40),"variantCall ",CHAR(40),CHAR(34),M119,CHAR(34),CHAR(41)," or variantCall ",CHAR(40),CHAR(34),M120,CHAR(34),CHAR(41),CHAR(41))</f>
        <v xml:space="preserve">                    (variantCall ("NC_000022.10:g.[19931407T&gt;C];[19931407T&gt;C]") or variantCall ("NC_000022.10:g.[19931407=];[19931407=]"))</v>
      </c>
      <c r="J119" s="3" t="str">
        <f t="shared" si="18"/>
        <v>Homo</v>
      </c>
      <c r="K119" s="15" t="str">
        <f t="shared" si="18"/>
        <v>NC_000022.10:g.[19951271G&gt;A];[19951271G&gt;A]</v>
      </c>
      <c r="L119" s="15" t="str">
        <f t="shared" si="18"/>
        <v>NC_000022.10:g.[19950235C&gt;T];[19950235C&gt;T]</v>
      </c>
      <c r="M119" s="3" t="str">
        <f t="shared" si="18"/>
        <v>NC_000022.10:g.[19931407T&gt;C];[19931407T&gt;C]</v>
      </c>
      <c r="P119" s="3" t="s">
        <v>72</v>
      </c>
      <c r="Q119" s="29">
        <f>AA77</f>
        <v>1.8</v>
      </c>
      <c r="R119" s="3" t="str">
        <f>CONCATENATE("                    ",CHAR(40),"variantCall ",CHAR(40),CHAR(34),AB119,CHAR(34),CHAR(41)," or variantCall ",CHAR(40),CHAR(34),AB120,CHAR(34),CHAR(41),CHAR(41))</f>
        <v xml:space="preserve">                    (variantCall ("00;0") or variantCall ("00;0"))</v>
      </c>
      <c r="Y119" s="3" t="str">
        <f t="shared" ref="Y119:AB119" si="22">Y97</f>
        <v>Homo</v>
      </c>
      <c r="Z119" s="15" t="str">
        <f t="shared" si="22"/>
        <v>NC_000022.10:g.[19948337T&gt;C];[19948337T&gt;C]</v>
      </c>
      <c r="AA119" s="15" t="str">
        <f t="shared" si="22"/>
        <v>NC_000022.10:g.[19937533T&gt;G];[19937533T&gt;G]</v>
      </c>
      <c r="AB119" s="3" t="str">
        <f t="shared" si="22"/>
        <v>00;0</v>
      </c>
    </row>
    <row r="120" spans="1:28">
      <c r="B120" s="29"/>
      <c r="C120" s="3" t="s">
        <v>70</v>
      </c>
      <c r="J120" s="3" t="str">
        <f t="shared" si="18"/>
        <v>Wildtype</v>
      </c>
      <c r="K120" s="2" t="str">
        <f t="shared" si="18"/>
        <v>NC_000022.10:g.[19951271=];[19951271=]</v>
      </c>
      <c r="L120" s="2" t="str">
        <f t="shared" si="18"/>
        <v>NC_000022.10:g.[19950235=];[19950235=]</v>
      </c>
      <c r="M120" s="3" t="str">
        <f t="shared" si="18"/>
        <v>NC_000022.10:g.[19931407=];[19931407=]</v>
      </c>
      <c r="Q120" s="29"/>
      <c r="R120" s="3" t="s">
        <v>70</v>
      </c>
      <c r="Y120" s="3" t="str">
        <f t="shared" ref="Y120:AB120" si="23">Y98</f>
        <v>Wildtype</v>
      </c>
      <c r="Z120" s="2" t="str">
        <f t="shared" si="23"/>
        <v>NC_000022.10:g.[19948337=];[19948337=]</v>
      </c>
      <c r="AA120" s="2" t="str">
        <f t="shared" si="23"/>
        <v>NC_000022.10:g.[19937533=];[19937533=]</v>
      </c>
      <c r="AB120" s="3" t="str">
        <f t="shared" si="23"/>
        <v>00;0</v>
      </c>
    </row>
    <row r="121" spans="1:28">
      <c r="B121" s="29"/>
      <c r="C121" s="3" t="str">
        <f>CONCATENATE("                    variantCall ",CHAR(40),CHAR(34),K120,CHAR(34),CHAR(41))</f>
        <v xml:space="preserve">                    variantCall ("NC_000022.10:g.[19951271=];[19951271=]")</v>
      </c>
      <c r="J121" s="3" t="str">
        <f t="shared" si="18"/>
        <v>Het%</v>
      </c>
      <c r="K121" s="15">
        <f t="shared" si="18"/>
        <v>43</v>
      </c>
      <c r="L121" s="15">
        <f t="shared" si="18"/>
        <v>1.8</v>
      </c>
      <c r="M121" s="3">
        <f t="shared" si="18"/>
        <v>15.8</v>
      </c>
      <c r="Q121" s="29"/>
      <c r="R121" s="3" t="str">
        <f>CONCATENATE("                    variantCall ",CHAR(40),CHAR(34),Z120,CHAR(34),CHAR(41))</f>
        <v xml:space="preserve">                    variantCall ("NC_000022.10:g.[19948337=];[19948337=]")</v>
      </c>
      <c r="Y121" s="3" t="str">
        <f t="shared" ref="Y121:AB121" si="24">Y99</f>
        <v>Het%</v>
      </c>
      <c r="Z121" s="15">
        <f t="shared" si="24"/>
        <v>43</v>
      </c>
      <c r="AA121" s="15">
        <f t="shared" si="24"/>
        <v>1.8</v>
      </c>
      <c r="AB121" s="3">
        <f t="shared" si="24"/>
        <v>15.8</v>
      </c>
    </row>
    <row r="122" spans="1:28">
      <c r="C122" s="3" t="str">
        <f>CONCATENATE("                  } &gt; ")</f>
        <v xml:space="preserve">                  } &gt; </v>
      </c>
      <c r="J122" s="3" t="str">
        <f t="shared" si="18"/>
        <v>Homo%</v>
      </c>
      <c r="K122" s="2">
        <f t="shared" si="18"/>
        <v>19.899999999999999</v>
      </c>
      <c r="L122" s="2">
        <f t="shared" si="18"/>
        <v>0.5</v>
      </c>
      <c r="M122" s="3">
        <f t="shared" si="18"/>
        <v>4.7</v>
      </c>
      <c r="Q122" s="15"/>
      <c r="R122" s="3" t="str">
        <f>CONCATENATE("                  } &gt; ")</f>
        <v xml:space="preserve">                  } &gt; </v>
      </c>
      <c r="Y122" s="3" t="str">
        <f t="shared" ref="Y122:AB122" si="25">Y100</f>
        <v>Homo%</v>
      </c>
      <c r="Z122" s="2">
        <f t="shared" si="25"/>
        <v>19.899999999999999</v>
      </c>
      <c r="AA122" s="2">
        <f t="shared" si="25"/>
        <v>0.5</v>
      </c>
      <c r="AB122" s="3">
        <f t="shared" si="25"/>
        <v>4.7</v>
      </c>
    </row>
    <row r="123" spans="1:28">
      <c r="J123" s="3" t="str">
        <f t="shared" si="18"/>
        <v>Wildtype%</v>
      </c>
      <c r="K123" s="2">
        <f t="shared" si="18"/>
        <v>37.1</v>
      </c>
      <c r="L123" s="2">
        <f t="shared" si="18"/>
        <v>97.8</v>
      </c>
      <c r="M123" s="3">
        <f t="shared" si="18"/>
        <v>79.5</v>
      </c>
      <c r="Q123" s="15"/>
      <c r="Y123" s="3" t="str">
        <f t="shared" ref="Y123:AB123" si="26">Y101</f>
        <v>Wildtype%</v>
      </c>
      <c r="Z123" s="2">
        <f t="shared" si="26"/>
        <v>37.1</v>
      </c>
      <c r="AA123" s="2">
        <f t="shared" si="26"/>
        <v>97.8</v>
      </c>
      <c r="AB123" s="3">
        <f t="shared" si="26"/>
        <v>79.5</v>
      </c>
    </row>
    <row r="124" spans="1:28">
      <c r="A124" s="14"/>
      <c r="C124" s="3" t="s">
        <v>26</v>
      </c>
      <c r="P124" s="14"/>
      <c r="Q124" s="15"/>
      <c r="R124" s="3" t="s">
        <v>26</v>
      </c>
    </row>
    <row r="125" spans="1:28">
      <c r="A125" s="26"/>
      <c r="P125" s="26"/>
      <c r="Q125" s="15"/>
    </row>
    <row r="126" spans="1:28">
      <c r="A126" s="14"/>
      <c r="C126" s="3" t="str">
        <f>CONCATENATE("    ",B117)</f>
        <v xml:space="preserve">    People with this variant have one copy of the [C62T](https://www.ncbi.nlm.nih.gov/pubmed/26891941) variant. This substitution of a single nucleotide is known as a missense mutation.</v>
      </c>
      <c r="P126" s="14"/>
      <c r="Q126" s="15"/>
      <c r="R126" s="3" t="str">
        <f>CONCATENATE("    ",Q117)</f>
        <v xml:space="preserve">    People with this variant have one copy of the [T19950010G](https://www.ncbi.nlm.nih.gov/pubmed/19540336) variant. This substitution of a single nucleotide is known as a missense mutation.</v>
      </c>
    </row>
    <row r="127" spans="1:28">
      <c r="A127" s="14"/>
      <c r="P127" s="14"/>
      <c r="Q127" s="15"/>
    </row>
    <row r="128" spans="1:28">
      <c r="A128" s="26"/>
      <c r="C128" s="3" t="s">
        <v>29</v>
      </c>
      <c r="P128" s="26"/>
      <c r="Q128" s="15"/>
      <c r="R128" s="3" t="s">
        <v>29</v>
      </c>
    </row>
    <row r="129" spans="1:28">
      <c r="A129" s="14"/>
      <c r="P129" s="14"/>
      <c r="Q129" s="15"/>
    </row>
    <row r="130" spans="1:28">
      <c r="A130" s="14"/>
      <c r="C130" s="3" t="str">
        <f>CONCATENATE(B118)</f>
        <v xml:space="preserve">    COMT’s estrogen detoxification function is slightly impaired, causing higher than normal levels of estrogen in the body. This may increase the risk for [endometrial](https://www.ncbi.nlm.nih.gov/pubmed/18324659?dopt=Abstract) and [breast cancer](https://www.ncbi.nlm.nih.gov/pubmed/18194538?dopt=Abstract). Slightly high [estrogen levels](https://medlineplus.gov/druginfo/meds/a682922.html) may increase the risk for heart problems and memory problems, and [symptoms](https://medlineplus.gov/druginfo/meds/a682922.html) may include headaches, dizziness, and problems with thinking or memory.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ensure you maintain normal estrogen levels. 
    - Drinking green tea may [reduce risk of breast cancer.](https://www.ncbi.nlm.nih.gov/pubmed/19074205?dopt=Abstract) 
    Medications related to COMT include: [Clonidine, BIA, Diethylstilbestrol, Dobutamine, Dopamine, Entacapone, Methyldopa, Micafungin, Nialamide, S-Adenosylmethionine, Testosterone Propionate, and Tolcapone.](http://www.uniprot.org/uniprot/P21964#pathology_and_biotech)</v>
      </c>
      <c r="P130" s="14"/>
      <c r="Q130" s="15"/>
      <c r="R130" s="3" t="str">
        <f>CONCATENATE(Q118)</f>
        <v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v>
      </c>
    </row>
    <row r="131" spans="1:28">
      <c r="A131" s="14"/>
      <c r="P131" s="14"/>
      <c r="Q131" s="15"/>
    </row>
    <row r="132" spans="1:28">
      <c r="A132" s="14"/>
      <c r="C132" s="3" t="s">
        <v>30</v>
      </c>
      <c r="P132" s="14"/>
      <c r="Q132" s="15"/>
      <c r="R132" s="3" t="s">
        <v>30</v>
      </c>
    </row>
    <row r="133" spans="1:28">
      <c r="A133" s="26"/>
      <c r="P133" s="26"/>
      <c r="Q133" s="15"/>
    </row>
    <row r="134" spans="1:28">
      <c r="A134" s="26"/>
      <c r="C134" s="3" t="str">
        <f>CONCATENATE( "    &lt;piechart percentage=",B119," /&gt;")</f>
        <v xml:space="preserve">    &lt;piechart percentage=1.8 /&gt;</v>
      </c>
      <c r="P134" s="26"/>
      <c r="Q134" s="15"/>
      <c r="R134" s="3" t="str">
        <f>CONCATENATE( "    &lt;piechart percentage=",Q119," /&gt;")</f>
        <v xml:space="preserve">    &lt;piechart percentage=1.8 /&gt;</v>
      </c>
    </row>
    <row r="135" spans="1:28">
      <c r="A135" s="26"/>
      <c r="C135" s="3" t="str">
        <f>"  &lt;/Analysis&gt;"</f>
        <v xml:space="preserve">  &lt;/Analysis&gt;</v>
      </c>
      <c r="K135" s="3" t="str">
        <f t="shared" ref="K135:M135" si="27">K113</f>
        <v>rs6691840</v>
      </c>
      <c r="L135" s="3" t="str">
        <f t="shared" si="27"/>
        <v>rs3913434</v>
      </c>
      <c r="M135" s="3" t="str">
        <f t="shared" si="27"/>
        <v>rs270838</v>
      </c>
      <c r="P135" s="26"/>
      <c r="Q135" s="15"/>
      <c r="R135" s="3" t="str">
        <f>"  &lt;/Analysis&gt;"</f>
        <v xml:space="preserve">  &lt;/Analysis&gt;</v>
      </c>
      <c r="Z135" s="3">
        <f t="shared" ref="Z135:AB135" si="28">Z113</f>
        <v>0</v>
      </c>
      <c r="AA135" s="3">
        <f t="shared" si="28"/>
        <v>0</v>
      </c>
      <c r="AB135" s="3">
        <f t="shared" si="28"/>
        <v>0</v>
      </c>
    </row>
    <row r="136" spans="1:28" s="21" customFormat="1">
      <c r="A136" s="28" t="s">
        <v>69</v>
      </c>
      <c r="B136" s="20" t="str">
        <f>CONCATENATE(B28," (T;T)")</f>
        <v>C62T (T;T)</v>
      </c>
      <c r="C136" s="21" t="str">
        <f>CONCATENATE("&lt;# ",B136," #&gt;")</f>
        <v>&lt;# C62T (T;T) #&gt;</v>
      </c>
      <c r="K136" s="21" t="str">
        <f t="shared" ref="K136:M136" si="29">K114</f>
        <v>G158A</v>
      </c>
      <c r="L136" s="21" t="str">
        <f t="shared" si="29"/>
        <v>C62T</v>
      </c>
      <c r="M136" s="21" t="str">
        <f t="shared" si="29"/>
        <v>T19943884C</v>
      </c>
      <c r="P136" s="28" t="s">
        <v>69</v>
      </c>
      <c r="Q136" s="20" t="str">
        <f>CONCATENATE(Q50," (C;T)")</f>
        <v xml:space="preserve"> (C;T)</v>
      </c>
      <c r="R136" s="21" t="str">
        <f>CONCATENATE("&lt;# ",Q136," #&gt;")</f>
        <v>&lt;#  (C;T) #&gt;</v>
      </c>
      <c r="Z136" s="21" t="str">
        <f t="shared" ref="Z136:AB136" si="30">Z114</f>
        <v>T19960814C</v>
      </c>
      <c r="AA136" s="21" t="str">
        <f t="shared" si="30"/>
        <v>T19950010G</v>
      </c>
      <c r="AB136" s="21">
        <f t="shared" si="30"/>
        <v>0</v>
      </c>
    </row>
    <row r="137" spans="1:28" s="10" customFormat="1">
      <c r="A137" s="3" t="s">
        <v>21</v>
      </c>
      <c r="B137" s="29" t="str">
        <f>L142</f>
        <v>NC_000022.10:g.[19950235=];[19950235=]</v>
      </c>
      <c r="J137" s="3"/>
      <c r="K137" s="22" t="str">
        <f t="shared" ref="K137:M137" si="31">K115</f>
        <v>NC_000022.10:g.</v>
      </c>
      <c r="L137" s="22" t="str">
        <f t="shared" si="31"/>
        <v>NC_000022.10:g.</v>
      </c>
      <c r="M137" s="10" t="str">
        <f t="shared" si="31"/>
        <v>NC_000022.10:g.</v>
      </c>
      <c r="P137" s="3" t="s">
        <v>21</v>
      </c>
      <c r="Q137" s="29" t="str">
        <f>AA140</f>
        <v>NC_000022.10:g.[19937533T&gt;G];[19937533=]</v>
      </c>
      <c r="Y137" s="3"/>
      <c r="Z137" s="22" t="str">
        <f t="shared" ref="Z137:AB137" si="32">Z115</f>
        <v>NC_000022.10:g.</v>
      </c>
      <c r="AA137" s="22" t="str">
        <f t="shared" si="32"/>
        <v>NC_000022.10:g.</v>
      </c>
      <c r="AB137" s="10">
        <f t="shared" si="32"/>
        <v>0</v>
      </c>
    </row>
    <row r="138" spans="1:28">
      <c r="A138" s="3" t="s">
        <v>71</v>
      </c>
      <c r="B138" s="29"/>
      <c r="C138" s="3" t="str">
        <f>CONCATENATE("  &lt;Analysis name=",CHAR(34),B136,CHAR(34))</f>
        <v xml:space="preserve">  &lt;Analysis name="C62T (T;T)"</v>
      </c>
      <c r="J138" s="3" t="str">
        <f t="shared" ref="J138:M138" si="33">J116</f>
        <v>Variant</v>
      </c>
      <c r="K138" s="15" t="str">
        <f t="shared" si="33"/>
        <v>[19951271G&gt;A]</v>
      </c>
      <c r="L138" s="22" t="str">
        <f t="shared" si="33"/>
        <v>[19950235C&gt;T]</v>
      </c>
      <c r="M138" s="3" t="str">
        <f t="shared" si="33"/>
        <v>[19931407T&gt;C]</v>
      </c>
      <c r="P138" s="3" t="s">
        <v>71</v>
      </c>
      <c r="Q138" s="29"/>
      <c r="R138" s="3" t="str">
        <f>CONCATENATE("  &lt;Analysis name=",CHAR(34),Q136,CHAR(34))</f>
        <v xml:space="preserve">  &lt;Analysis name=" (C;T)"</v>
      </c>
      <c r="Y138" s="3" t="str">
        <f t="shared" ref="Y138:AB138" si="34">Y116</f>
        <v>Variant</v>
      </c>
      <c r="Z138" s="15" t="str">
        <f t="shared" si="34"/>
        <v>[19948337T&gt;C]</v>
      </c>
      <c r="AA138" s="22" t="str">
        <f t="shared" si="34"/>
        <v>[19937533T&gt;G]</v>
      </c>
      <c r="AB138" s="3">
        <f t="shared" si="34"/>
        <v>0</v>
      </c>
    </row>
    <row r="139" spans="1:28">
      <c r="A139" s="5" t="s">
        <v>27</v>
      </c>
      <c r="B139" s="2" t="str">
        <f>CONCATENATE("People with this variant have two copies of the ",B31," variant. This substitution of a single nucleotide is known as a missense mutation.")</f>
        <v>People with this variant have two copies of the [C62T](https://www.ncbi.nlm.nih.gov/pubmed/26891941) variant. This substitution of a single nucleotide is known as a missense mutation.</v>
      </c>
      <c r="C139" s="3" t="str">
        <f>CONCATENATE("            case={  variantCall ",CHAR(40),CHAR(34),L140,CHAR(34),CHAR(41))</f>
        <v xml:space="preserve">            case={  variantCall ("NC_000022.10:g.[19950235C&gt;T];[19950235=]")</v>
      </c>
      <c r="J139" s="3" t="str">
        <f t="shared" ref="J139:M139" si="35">J117</f>
        <v>Wildtype</v>
      </c>
      <c r="K139" s="15" t="str">
        <f t="shared" si="35"/>
        <v>[19951271=]</v>
      </c>
      <c r="L139" s="22" t="str">
        <f t="shared" si="35"/>
        <v>[19950235=]</v>
      </c>
      <c r="M139" s="3" t="str">
        <f t="shared" si="35"/>
        <v>[19931407=]</v>
      </c>
      <c r="P139" s="5" t="s">
        <v>27</v>
      </c>
      <c r="Q139" s="2" t="str">
        <f>CONCATENATE("People with this variant have one copy of the ",Q53," variant. This substitution of a single nucleotide is known as a missense mutation.")</f>
        <v>People with this variant have one copy of the 40.9 variant. This substitution of a single nucleotide is known as a missense mutation.</v>
      </c>
      <c r="R139" s="3" t="str">
        <f>CONCATENATE("            case={  variantCall ",CHAR(40),CHAR(34),AA140,CHAR(34),CHAR(41))</f>
        <v xml:space="preserve">            case={  variantCall ("NC_000022.10:g.[19937533T&gt;G];[19937533=]")</v>
      </c>
      <c r="Y139" s="3" t="str">
        <f t="shared" ref="Y139:AB139" si="36">Y117</f>
        <v>Wildtype</v>
      </c>
      <c r="Z139" s="15" t="str">
        <f t="shared" si="36"/>
        <v>[19948337=]</v>
      </c>
      <c r="AA139" s="22" t="str">
        <f t="shared" si="36"/>
        <v>[19937533=]</v>
      </c>
      <c r="AB139" s="3">
        <f t="shared" si="36"/>
        <v>0</v>
      </c>
    </row>
    <row r="140" spans="1:28">
      <c r="A140" s="1" t="s">
        <v>28</v>
      </c>
      <c r="B140" s="2" t="s">
        <v>291</v>
      </c>
      <c r="C140" s="3" t="s">
        <v>70</v>
      </c>
      <c r="J140" s="3" t="str">
        <f t="shared" ref="J140:M140" si="37">J118</f>
        <v>Het</v>
      </c>
      <c r="K140" s="15" t="str">
        <f t="shared" si="37"/>
        <v>NC_000022.10:g.[19951271G&gt;A];[19951271=]</v>
      </c>
      <c r="L140" s="15" t="str">
        <f t="shared" si="37"/>
        <v>NC_000022.10:g.[19950235C&gt;T];[19950235=]</v>
      </c>
      <c r="M140" s="3" t="str">
        <f t="shared" si="37"/>
        <v>NC_000022.10:g.[19931407T&gt;C];[19931407=]</v>
      </c>
      <c r="P140" s="1" t="s">
        <v>28</v>
      </c>
      <c r="Q140" s="15" t="s">
        <v>111</v>
      </c>
      <c r="R140" s="3" t="s">
        <v>70</v>
      </c>
      <c r="Y140" s="3" t="str">
        <f t="shared" ref="Y140:AB140" si="38">Y118</f>
        <v>Het</v>
      </c>
      <c r="Z140" s="15" t="str">
        <f t="shared" si="38"/>
        <v>NC_000022.10:g.[19948337T&gt;C];[19948337=]</v>
      </c>
      <c r="AA140" s="15" t="str">
        <f t="shared" si="38"/>
        <v>NC_000022.10:g.[19937533T&gt;G];[19937533=]</v>
      </c>
      <c r="AB140" s="3" t="str">
        <f t="shared" si="38"/>
        <v>00;0</v>
      </c>
    </row>
    <row r="141" spans="1:28">
      <c r="A141" s="3" t="s">
        <v>72</v>
      </c>
      <c r="B141" s="29">
        <f>L144</f>
        <v>0.5</v>
      </c>
      <c r="C141" s="3" t="str">
        <f>CONCATENATE("                    ",CHAR(40),"variantCall ",CHAR(40),CHAR(34),M141,CHAR(34),CHAR(41)," or variantCall ",CHAR(40),CHAR(34),M142,CHAR(34),CHAR(41),CHAR(41))</f>
        <v xml:space="preserve">                    (variantCall ("NC_000022.10:g.[19931407T&gt;C];[19931407T&gt;C]") or variantCall ("NC_000022.10:g.[19931407=];[19931407=]"))</v>
      </c>
      <c r="J141" s="3" t="str">
        <f t="shared" ref="J141:M141" si="39">J119</f>
        <v>Homo</v>
      </c>
      <c r="K141" s="15" t="str">
        <f t="shared" si="39"/>
        <v>NC_000022.10:g.[19951271G&gt;A];[19951271G&gt;A]</v>
      </c>
      <c r="L141" s="15" t="str">
        <f t="shared" si="39"/>
        <v>NC_000022.10:g.[19950235C&gt;T];[19950235C&gt;T]</v>
      </c>
      <c r="M141" s="3" t="str">
        <f t="shared" si="39"/>
        <v>NC_000022.10:g.[19931407T&gt;C];[19931407T&gt;C]</v>
      </c>
      <c r="P141" s="3" t="s">
        <v>72</v>
      </c>
      <c r="Q141" s="29">
        <f>AA99</f>
        <v>1.8</v>
      </c>
      <c r="R141" s="3" t="str">
        <f>CONCATENATE("                    ",CHAR(40),"variantCall ",CHAR(40),CHAR(34),AB141,CHAR(34),CHAR(41)," or variantCall ",CHAR(40),CHAR(34),AB142,CHAR(34),CHAR(41),CHAR(41))</f>
        <v xml:space="preserve">                    (variantCall ("00;0") or variantCall ("00;0"))</v>
      </c>
      <c r="Y141" s="3" t="str">
        <f t="shared" ref="Y141:AB141" si="40">Y119</f>
        <v>Homo</v>
      </c>
      <c r="Z141" s="15" t="str">
        <f t="shared" si="40"/>
        <v>NC_000022.10:g.[19948337T&gt;C];[19948337T&gt;C]</v>
      </c>
      <c r="AA141" s="15" t="str">
        <f t="shared" si="40"/>
        <v>NC_000022.10:g.[19937533T&gt;G];[19937533T&gt;G]</v>
      </c>
      <c r="AB141" s="3" t="str">
        <f t="shared" si="40"/>
        <v>00;0</v>
      </c>
    </row>
    <row r="142" spans="1:28">
      <c r="B142" s="29"/>
      <c r="C142" s="3" t="s">
        <v>70</v>
      </c>
      <c r="J142" s="3" t="str">
        <f t="shared" ref="J142:M142" si="41">J120</f>
        <v>Wildtype</v>
      </c>
      <c r="K142" s="2" t="str">
        <f t="shared" si="41"/>
        <v>NC_000022.10:g.[19951271=];[19951271=]</v>
      </c>
      <c r="L142" s="2" t="str">
        <f t="shared" si="41"/>
        <v>NC_000022.10:g.[19950235=];[19950235=]</v>
      </c>
      <c r="M142" s="3" t="str">
        <f t="shared" si="41"/>
        <v>NC_000022.10:g.[19931407=];[19931407=]</v>
      </c>
      <c r="Q142" s="29"/>
      <c r="R142" s="3" t="s">
        <v>70</v>
      </c>
      <c r="Y142" s="3" t="str">
        <f t="shared" ref="Y142:AB142" si="42">Y120</f>
        <v>Wildtype</v>
      </c>
      <c r="Z142" s="2" t="str">
        <f t="shared" si="42"/>
        <v>NC_000022.10:g.[19948337=];[19948337=]</v>
      </c>
      <c r="AA142" s="2" t="str">
        <f t="shared" si="42"/>
        <v>NC_000022.10:g.[19937533=];[19937533=]</v>
      </c>
      <c r="AB142" s="3" t="str">
        <f t="shared" si="42"/>
        <v>00;0</v>
      </c>
    </row>
    <row r="143" spans="1:28">
      <c r="B143" s="29"/>
      <c r="C143" s="3" t="str">
        <f>CONCATENATE("                    variantCall ",CHAR(40),CHAR(34),K142,CHAR(34),CHAR(41))</f>
        <v xml:space="preserve">                    variantCall ("NC_000022.10:g.[19951271=];[19951271=]")</v>
      </c>
      <c r="J143" s="3" t="str">
        <f t="shared" ref="J143:M143" si="43">J121</f>
        <v>Het%</v>
      </c>
      <c r="K143" s="15">
        <f t="shared" si="43"/>
        <v>43</v>
      </c>
      <c r="L143" s="15">
        <f t="shared" si="43"/>
        <v>1.8</v>
      </c>
      <c r="M143" s="3">
        <f t="shared" si="43"/>
        <v>15.8</v>
      </c>
      <c r="Q143" s="29"/>
      <c r="R143" s="3" t="str">
        <f>CONCATENATE("                    variantCall ",CHAR(40),CHAR(34),Z142,CHAR(34),CHAR(41))</f>
        <v xml:space="preserve">                    variantCall ("NC_000022.10:g.[19948337=];[19948337=]")</v>
      </c>
      <c r="Y143" s="3" t="str">
        <f t="shared" ref="Y143:AB143" si="44">Y121</f>
        <v>Het%</v>
      </c>
      <c r="Z143" s="15">
        <f t="shared" si="44"/>
        <v>43</v>
      </c>
      <c r="AA143" s="15">
        <f t="shared" si="44"/>
        <v>1.8</v>
      </c>
      <c r="AB143" s="3">
        <f t="shared" si="44"/>
        <v>15.8</v>
      </c>
    </row>
    <row r="144" spans="1:28">
      <c r="C144" s="3" t="str">
        <f>CONCATENATE("                  } &gt; ")</f>
        <v xml:space="preserve">                  } &gt; </v>
      </c>
      <c r="J144" s="3" t="str">
        <f t="shared" ref="J144:M144" si="45">J122</f>
        <v>Homo%</v>
      </c>
      <c r="K144" s="2">
        <f t="shared" si="45"/>
        <v>19.899999999999999</v>
      </c>
      <c r="L144" s="2">
        <f t="shared" si="45"/>
        <v>0.5</v>
      </c>
      <c r="M144" s="3">
        <f t="shared" si="45"/>
        <v>4.7</v>
      </c>
      <c r="Q144" s="15"/>
      <c r="R144" s="3" t="str">
        <f>CONCATENATE("                  } &gt; ")</f>
        <v xml:space="preserve">                  } &gt; </v>
      </c>
      <c r="Y144" s="3" t="str">
        <f t="shared" ref="Y144:AB144" si="46">Y122</f>
        <v>Homo%</v>
      </c>
      <c r="Z144" s="2">
        <f t="shared" si="46"/>
        <v>19.899999999999999</v>
      </c>
      <c r="AA144" s="2">
        <f t="shared" si="46"/>
        <v>0.5</v>
      </c>
      <c r="AB144" s="3">
        <f t="shared" si="46"/>
        <v>4.7</v>
      </c>
    </row>
    <row r="145" spans="1:28">
      <c r="J145" s="3" t="str">
        <f t="shared" ref="J145:M145" si="47">J123</f>
        <v>Wildtype%</v>
      </c>
      <c r="K145" s="2">
        <f t="shared" si="47"/>
        <v>37.1</v>
      </c>
      <c r="L145" s="2">
        <f t="shared" si="47"/>
        <v>97.8</v>
      </c>
      <c r="M145" s="3">
        <f t="shared" si="47"/>
        <v>79.5</v>
      </c>
      <c r="Q145" s="15"/>
      <c r="Y145" s="3" t="str">
        <f t="shared" ref="Y145:AB145" si="48">Y123</f>
        <v>Wildtype%</v>
      </c>
      <c r="Z145" s="2">
        <f t="shared" si="48"/>
        <v>37.1</v>
      </c>
      <c r="AA145" s="2">
        <f t="shared" si="48"/>
        <v>97.8</v>
      </c>
      <c r="AB145" s="3">
        <f t="shared" si="48"/>
        <v>79.5</v>
      </c>
    </row>
    <row r="146" spans="1:28">
      <c r="A146" s="14"/>
      <c r="C146" s="3" t="s">
        <v>26</v>
      </c>
      <c r="P146" s="14"/>
      <c r="Q146" s="15"/>
      <c r="R146" s="3" t="s">
        <v>26</v>
      </c>
    </row>
    <row r="147" spans="1:28">
      <c r="A147" s="26"/>
      <c r="P147" s="26"/>
      <c r="Q147" s="15"/>
    </row>
    <row r="148" spans="1:28">
      <c r="A148" s="14"/>
      <c r="C148" s="3" t="str">
        <f>CONCATENATE("    ",B139)</f>
        <v xml:space="preserve">    People with this variant have two copies of the [C62T](https://www.ncbi.nlm.nih.gov/pubmed/26891941) variant. This substitution of a single nucleotide is known as a missense mutation.</v>
      </c>
      <c r="P148" s="14"/>
      <c r="Q148" s="15"/>
      <c r="R148" s="3" t="str">
        <f>CONCATENATE("    ",Q139)</f>
        <v xml:space="preserve">    People with this variant have one copy of the 40.9 variant. This substitution of a single nucleotide is known as a missense mutation.</v>
      </c>
    </row>
    <row r="149" spans="1:28">
      <c r="A149" s="14"/>
      <c r="P149" s="14"/>
      <c r="Q149" s="15"/>
    </row>
    <row r="150" spans="1:28">
      <c r="A150" s="26"/>
      <c r="C150" s="3" t="s">
        <v>29</v>
      </c>
      <c r="P150" s="26"/>
      <c r="Q150" s="15"/>
      <c r="R150" s="3" t="s">
        <v>29</v>
      </c>
    </row>
    <row r="151" spans="1:28">
      <c r="A151" s="14"/>
      <c r="P151" s="14"/>
      <c r="Q151" s="15"/>
    </row>
    <row r="152" spans="1:28">
      <c r="A152" s="14"/>
      <c r="C152" s="3" t="str">
        <f>CONCATENATE(B140)</f>
        <v xml:space="preserve">    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
    Female patients with ME/CFS may have [abnormal ovarian function](https://www.ncbi.nlm.nih.gov/pubmed/9790489) worsened by COMT variants, including polycystic ovarian syndrome (PCOS), hirsutism, and cysts. This may [increase the risk for ME/CFS](https://www.ncbi.nlm.nih.gov/pubmed/9790489) due to continued estrogen function and higher estrogen levels in the body. Higher levels may also be related to ME/CFS related malformed [estrogen receptors](https://www.ncbi.nlm.nih.gov/pubmed/16731592). The excess estrogen damages the ability of progesterone to aid and modulate the immune system during the menstrual cycle.
    # What should I do about this?
    -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c r="P152" s="14"/>
      <c r="Q152" s="15"/>
      <c r="R152" s="3" t="str">
        <f>CONCATENATE(Q140)</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53" spans="1:28">
      <c r="A153" s="14"/>
      <c r="P153" s="14"/>
      <c r="Q153" s="15"/>
    </row>
    <row r="154" spans="1:28">
      <c r="A154" s="14"/>
      <c r="C154" s="3" t="s">
        <v>30</v>
      </c>
      <c r="P154" s="14"/>
      <c r="Q154" s="15"/>
      <c r="R154" s="3" t="s">
        <v>30</v>
      </c>
    </row>
    <row r="155" spans="1:28">
      <c r="A155" s="26"/>
      <c r="P155" s="26"/>
      <c r="Q155" s="15"/>
    </row>
    <row r="156" spans="1:28">
      <c r="A156" s="26"/>
      <c r="C156" s="3" t="str">
        <f>CONCATENATE( "    &lt;piechart percentage=",B141," /&gt;")</f>
        <v xml:space="preserve">    &lt;piechart percentage=0.5 /&gt;</v>
      </c>
      <c r="P156" s="26"/>
      <c r="Q156" s="15"/>
      <c r="R156" s="3" t="str">
        <f>CONCATENATE( "    &lt;piechart percentage=",Q141," /&gt;")</f>
        <v xml:space="preserve">    &lt;piechart percentage=1.8 /&gt;</v>
      </c>
    </row>
    <row r="157" spans="1:28">
      <c r="A157" s="26"/>
      <c r="C157" s="3" t="str">
        <f>"  &lt;/Analysis&gt;"</f>
        <v xml:space="preserve">  &lt;/Analysis&gt;</v>
      </c>
      <c r="K157" s="3" t="str">
        <f t="shared" ref="K157:M157" si="49">K135</f>
        <v>rs6691840</v>
      </c>
      <c r="L157" s="3" t="str">
        <f t="shared" si="49"/>
        <v>rs3913434</v>
      </c>
      <c r="M157" s="3" t="str">
        <f t="shared" si="49"/>
        <v>rs270838</v>
      </c>
      <c r="P157" s="26"/>
      <c r="Q157" s="15"/>
      <c r="R157" s="3" t="str">
        <f>"  &lt;/Analysis&gt;"</f>
        <v xml:space="preserve">  &lt;/Analysis&gt;</v>
      </c>
      <c r="Z157" s="3">
        <f t="shared" ref="Z157:AB157" si="50">Z135</f>
        <v>0</v>
      </c>
      <c r="AA157" s="3">
        <f t="shared" si="50"/>
        <v>0</v>
      </c>
      <c r="AB157" s="3">
        <f t="shared" si="50"/>
        <v>0</v>
      </c>
    </row>
    <row r="158" spans="1:28" s="21" customFormat="1">
      <c r="A158" s="28" t="s">
        <v>69</v>
      </c>
      <c r="B158" s="20" t="str">
        <f>CONCATENATE(B37," (T;C)")</f>
        <v>T19943884C (T;C)</v>
      </c>
      <c r="C158" s="21" t="str">
        <f>CONCATENATE("&lt;# ",B158," #&gt;")</f>
        <v>&lt;# T19943884C (T;C) #&gt;</v>
      </c>
      <c r="K158" s="21" t="str">
        <f t="shared" ref="K158:M167" si="51">K114</f>
        <v>G158A</v>
      </c>
      <c r="L158" s="21" t="str">
        <f t="shared" si="51"/>
        <v>C62T</v>
      </c>
      <c r="M158" s="21" t="str">
        <f t="shared" si="51"/>
        <v>T19943884C</v>
      </c>
      <c r="P158" s="28" t="s">
        <v>69</v>
      </c>
      <c r="Q158" s="20"/>
      <c r="Z158" s="21" t="str">
        <f t="shared" ref="Z158:AB158" si="52">Z114</f>
        <v>T19960814C</v>
      </c>
      <c r="AA158" s="21" t="str">
        <f t="shared" si="52"/>
        <v>T19950010G</v>
      </c>
      <c r="AB158" s="21">
        <f t="shared" si="52"/>
        <v>0</v>
      </c>
    </row>
    <row r="159" spans="1:28">
      <c r="A159" s="3" t="s">
        <v>21</v>
      </c>
      <c r="B159" s="29" t="str">
        <f>M162</f>
        <v>NC_000022.10:g.[19931407T&gt;C];[19931407=]</v>
      </c>
      <c r="C159" s="10"/>
      <c r="K159" s="3" t="str">
        <f t="shared" si="51"/>
        <v>NC_000022.10:g.</v>
      </c>
      <c r="L159" s="3" t="str">
        <f t="shared" si="51"/>
        <v>NC_000022.10:g.</v>
      </c>
      <c r="M159" s="3" t="str">
        <f t="shared" si="51"/>
        <v>NC_000022.10:g.</v>
      </c>
      <c r="P159" s="3" t="s">
        <v>21</v>
      </c>
      <c r="Q159" s="29"/>
      <c r="R159" s="10"/>
      <c r="Z159" s="3" t="str">
        <f t="shared" ref="Z159:AB159" si="53">Z115</f>
        <v>NC_000022.10:g.</v>
      </c>
      <c r="AA159" s="3" t="str">
        <f t="shared" si="53"/>
        <v>NC_000022.10:g.</v>
      </c>
      <c r="AB159" s="3">
        <f t="shared" si="53"/>
        <v>0</v>
      </c>
    </row>
    <row r="160" spans="1:28">
      <c r="A160" s="3" t="s">
        <v>71</v>
      </c>
      <c r="B160" s="29"/>
      <c r="C160" s="3" t="str">
        <f>CONCATENATE("  &lt;Analysis name=",CHAR(34),B158,CHAR(34))</f>
        <v xml:space="preserve">  &lt;Analysis name="T19943884C (T;C)"</v>
      </c>
      <c r="J160" s="3" t="str">
        <f t="shared" ref="J160:J167" si="54">J116</f>
        <v>Variant</v>
      </c>
      <c r="K160" s="3" t="str">
        <f t="shared" si="51"/>
        <v>[19951271G&gt;A]</v>
      </c>
      <c r="L160" s="3" t="str">
        <f t="shared" si="51"/>
        <v>[19950235C&gt;T]</v>
      </c>
      <c r="M160" s="3" t="str">
        <f t="shared" si="51"/>
        <v>[19931407T&gt;C]</v>
      </c>
      <c r="P160" s="3" t="s">
        <v>71</v>
      </c>
      <c r="Q160" s="29"/>
      <c r="Y160" s="3" t="str">
        <f t="shared" ref="Y160:AB167" si="55">Y116</f>
        <v>Variant</v>
      </c>
      <c r="Z160" s="3" t="str">
        <f t="shared" si="55"/>
        <v>[19948337T&gt;C]</v>
      </c>
      <c r="AA160" s="3" t="str">
        <f t="shared" si="55"/>
        <v>[19937533T&gt;G]</v>
      </c>
      <c r="AB160" s="3">
        <f t="shared" si="55"/>
        <v>0</v>
      </c>
    </row>
    <row r="161" spans="1:28">
      <c r="A161" s="5" t="s">
        <v>74</v>
      </c>
      <c r="B161" s="2" t="str">
        <f>CONCATENATE("People with this variant have one copy of the ",B40," variant. This substitution of a single nucleotide is known as a missense mutation.")</f>
        <v>People with this variant have one copy of the [T19943884C](https://www.ncbi.nlm.nih.gov/pubmed/19540336) variant. This substitution of a single nucleotide is known as a missense mutation.</v>
      </c>
      <c r="C161" s="3" t="str">
        <f>CONCATENATE("            case={  variantCall ",CHAR(40),CHAR(34),B159,CHAR(34),CHAR(41))</f>
        <v xml:space="preserve">            case={  variantCall ("NC_000022.10:g.[19931407T&gt;C];[19931407=]")</v>
      </c>
      <c r="J161" s="3" t="str">
        <f t="shared" si="54"/>
        <v>Wildtype</v>
      </c>
      <c r="K161" s="3" t="str">
        <f t="shared" si="51"/>
        <v>[19951271=]</v>
      </c>
      <c r="L161" s="3" t="str">
        <f t="shared" si="51"/>
        <v>[19950235=]</v>
      </c>
      <c r="M161" s="3" t="str">
        <f t="shared" si="51"/>
        <v>[19931407=]</v>
      </c>
      <c r="P161" s="5" t="s">
        <v>74</v>
      </c>
      <c r="Q161" s="2"/>
      <c r="Y161" s="3" t="str">
        <f t="shared" si="55"/>
        <v>Wildtype</v>
      </c>
      <c r="Z161" s="3" t="str">
        <f t="shared" si="55"/>
        <v>[19948337=]</v>
      </c>
      <c r="AA161" s="3" t="str">
        <f t="shared" si="55"/>
        <v>[19937533=]</v>
      </c>
      <c r="AB161" s="3">
        <f t="shared" si="55"/>
        <v>0</v>
      </c>
    </row>
    <row r="162" spans="1:28">
      <c r="A162" s="1" t="s">
        <v>28</v>
      </c>
      <c r="B162" s="2" t="s">
        <v>292</v>
      </c>
      <c r="C162" s="3" t="s">
        <v>70</v>
      </c>
      <c r="J162" s="3" t="str">
        <f t="shared" si="54"/>
        <v>Het</v>
      </c>
      <c r="K162" s="3" t="str">
        <f t="shared" si="51"/>
        <v>NC_000022.10:g.[19951271G&gt;A];[19951271=]</v>
      </c>
      <c r="L162" s="3" t="str">
        <f t="shared" si="51"/>
        <v>NC_000022.10:g.[19950235C&gt;T];[19950235=]</v>
      </c>
      <c r="M162" s="3" t="str">
        <f t="shared" si="51"/>
        <v>NC_000022.10:g.[19931407T&gt;C];[19931407=]</v>
      </c>
      <c r="P162" s="1" t="s">
        <v>28</v>
      </c>
      <c r="Q162" s="15"/>
      <c r="Y162" s="3" t="str">
        <f t="shared" si="55"/>
        <v>Het</v>
      </c>
      <c r="Z162" s="3" t="str">
        <f t="shared" si="55"/>
        <v>NC_000022.10:g.[19948337T&gt;C];[19948337=]</v>
      </c>
      <c r="AA162" s="3" t="str">
        <f t="shared" si="55"/>
        <v>NC_000022.10:g.[19937533T&gt;G];[19937533=]</v>
      </c>
      <c r="AB162" s="3" t="str">
        <f t="shared" si="55"/>
        <v>00;0</v>
      </c>
    </row>
    <row r="163" spans="1:28">
      <c r="A163" s="3" t="s">
        <v>72</v>
      </c>
      <c r="B163" s="29">
        <f>M165</f>
        <v>15.8</v>
      </c>
      <c r="C163" s="3" t="str">
        <f>CONCATENATE("                    ",CHAR(40),"variantCall ",CHAR(40),CHAR(34),L163,CHAR(34),CHAR(41)," or variantCall ",CHAR(40),CHAR(34),L164,CHAR(34),CHAR(41),CHAR(41))</f>
        <v xml:space="preserve">                    (variantCall ("NC_000022.10:g.[19950235C&gt;T];[19950235C&gt;T]") or variantCall ("NC_000022.10:g.[19950235=];[19950235=]"))</v>
      </c>
      <c r="J163" s="3" t="str">
        <f t="shared" si="54"/>
        <v>Homo</v>
      </c>
      <c r="K163" s="3" t="str">
        <f t="shared" si="51"/>
        <v>NC_000022.10:g.[19951271G&gt;A];[19951271G&gt;A]</v>
      </c>
      <c r="L163" s="3" t="str">
        <f t="shared" si="51"/>
        <v>NC_000022.10:g.[19950235C&gt;T];[19950235C&gt;T]</v>
      </c>
      <c r="M163" s="3" t="str">
        <f t="shared" si="51"/>
        <v>NC_000022.10:g.[19931407T&gt;C];[19931407T&gt;C]</v>
      </c>
      <c r="P163" s="3" t="s">
        <v>72</v>
      </c>
      <c r="Q163" s="29"/>
      <c r="Y163" s="3" t="str">
        <f t="shared" si="55"/>
        <v>Homo</v>
      </c>
      <c r="Z163" s="3" t="str">
        <f t="shared" si="55"/>
        <v>NC_000022.10:g.[19948337T&gt;C];[19948337T&gt;C]</v>
      </c>
      <c r="AA163" s="3" t="str">
        <f t="shared" si="55"/>
        <v>NC_000022.10:g.[19937533T&gt;G];[19937533T&gt;G]</v>
      </c>
      <c r="AB163" s="3" t="str">
        <f t="shared" si="55"/>
        <v>00;0</v>
      </c>
    </row>
    <row r="164" spans="1:28">
      <c r="C164" s="3" t="s">
        <v>70</v>
      </c>
      <c r="J164" s="3" t="str">
        <f t="shared" si="54"/>
        <v>Wildtype</v>
      </c>
      <c r="K164" s="3" t="str">
        <f t="shared" si="51"/>
        <v>NC_000022.10:g.[19951271=];[19951271=]</v>
      </c>
      <c r="L164" s="3" t="str">
        <f t="shared" si="51"/>
        <v>NC_000022.10:g.[19950235=];[19950235=]</v>
      </c>
      <c r="M164" s="3" t="str">
        <f t="shared" si="51"/>
        <v>NC_000022.10:g.[19931407=];[19931407=]</v>
      </c>
      <c r="Q164" s="15"/>
      <c r="Y164" s="3" t="str">
        <f t="shared" si="55"/>
        <v>Wildtype</v>
      </c>
      <c r="Z164" s="3" t="str">
        <f t="shared" si="55"/>
        <v>NC_000022.10:g.[19948337=];[19948337=]</v>
      </c>
      <c r="AA164" s="3" t="str">
        <f t="shared" si="55"/>
        <v>NC_000022.10:g.[19937533=];[19937533=]</v>
      </c>
      <c r="AB164" s="3" t="str">
        <f t="shared" si="55"/>
        <v>00;0</v>
      </c>
    </row>
    <row r="165" spans="1:28">
      <c r="C165" s="3" t="str">
        <f>CONCATENATE("                    variantCall ",CHAR(40),CHAR(34),K164,CHAR(34),CHAR(41))</f>
        <v xml:space="preserve">                    variantCall ("NC_000022.10:g.[19951271=];[19951271=]")</v>
      </c>
      <c r="J165" s="3" t="str">
        <f t="shared" si="54"/>
        <v>Het%</v>
      </c>
      <c r="K165" s="3">
        <f t="shared" si="51"/>
        <v>43</v>
      </c>
      <c r="L165" s="3">
        <f t="shared" si="51"/>
        <v>1.8</v>
      </c>
      <c r="M165" s="3">
        <f t="shared" si="51"/>
        <v>15.8</v>
      </c>
      <c r="Q165" s="15"/>
      <c r="Y165" s="3" t="str">
        <f t="shared" si="55"/>
        <v>Het%</v>
      </c>
      <c r="Z165" s="3">
        <f t="shared" si="55"/>
        <v>43</v>
      </c>
      <c r="AA165" s="3">
        <f t="shared" si="55"/>
        <v>1.8</v>
      </c>
      <c r="AB165" s="3">
        <f t="shared" si="55"/>
        <v>15.8</v>
      </c>
    </row>
    <row r="166" spans="1:28">
      <c r="A166" s="14"/>
      <c r="C166" s="3" t="str">
        <f>CONCATENATE("                  } &gt; ")</f>
        <v xml:space="preserve">                  } &gt; </v>
      </c>
      <c r="J166" s="3" t="str">
        <f t="shared" si="54"/>
        <v>Homo%</v>
      </c>
      <c r="K166" s="3">
        <f t="shared" si="51"/>
        <v>19.899999999999999</v>
      </c>
      <c r="L166" s="3">
        <f t="shared" si="51"/>
        <v>0.5</v>
      </c>
      <c r="M166" s="3">
        <f t="shared" si="51"/>
        <v>4.7</v>
      </c>
      <c r="P166" s="14"/>
      <c r="Q166" s="15"/>
      <c r="Y166" s="3" t="str">
        <f t="shared" si="55"/>
        <v>Homo%</v>
      </c>
      <c r="Z166" s="3">
        <f t="shared" si="55"/>
        <v>19.899999999999999</v>
      </c>
      <c r="AA166" s="3">
        <f t="shared" si="55"/>
        <v>0.5</v>
      </c>
      <c r="AB166" s="3">
        <f t="shared" si="55"/>
        <v>4.7</v>
      </c>
    </row>
    <row r="167" spans="1:28">
      <c r="A167" s="26"/>
      <c r="J167" s="3" t="str">
        <f t="shared" si="54"/>
        <v>Wildtype%</v>
      </c>
      <c r="K167" s="3">
        <f t="shared" si="51"/>
        <v>37.1</v>
      </c>
      <c r="L167" s="3">
        <f t="shared" si="51"/>
        <v>97.8</v>
      </c>
      <c r="M167" s="3">
        <f t="shared" si="51"/>
        <v>79.5</v>
      </c>
      <c r="P167" s="26"/>
      <c r="Q167" s="15"/>
      <c r="Y167" s="3" t="str">
        <f t="shared" si="55"/>
        <v>Wildtype%</v>
      </c>
      <c r="Z167" s="3">
        <f t="shared" si="55"/>
        <v>37.1</v>
      </c>
      <c r="AA167" s="3">
        <f t="shared" si="55"/>
        <v>97.8</v>
      </c>
      <c r="AB167" s="3">
        <f t="shared" si="55"/>
        <v>79.5</v>
      </c>
    </row>
    <row r="168" spans="1:28">
      <c r="A168" s="14"/>
      <c r="C168" s="3" t="s">
        <v>26</v>
      </c>
      <c r="P168" s="14"/>
      <c r="Q168" s="15"/>
    </row>
    <row r="169" spans="1:28">
      <c r="A169" s="14"/>
      <c r="P169" s="14"/>
      <c r="Q169" s="15"/>
    </row>
    <row r="170" spans="1:28">
      <c r="A170" s="26"/>
      <c r="C170" s="3" t="str">
        <f>CONCATENATE("    ",B161)</f>
        <v xml:space="preserve">    People with this variant have one copy of the [T19943884C](https://www.ncbi.nlm.nih.gov/pubmed/19540336) variant. This substitution of a single nucleotide is known as a missense mutation.</v>
      </c>
      <c r="P170" s="26"/>
      <c r="Q170" s="15"/>
    </row>
    <row r="171" spans="1:28">
      <c r="A171" s="14"/>
      <c r="P171" s="14"/>
      <c r="Q171" s="15"/>
    </row>
    <row r="172" spans="1:28">
      <c r="A172" s="14"/>
      <c r="C172" s="3" t="s">
        <v>29</v>
      </c>
      <c r="P172" s="14"/>
      <c r="Q172" s="15"/>
    </row>
    <row r="173" spans="1:28">
      <c r="A173" s="14"/>
      <c r="P173" s="14"/>
      <c r="Q173" s="15"/>
    </row>
    <row r="174" spans="1:28">
      <c r="A174" s="14"/>
      <c r="C174" s="3" t="str">
        <f>CONCATENATE(B162)</f>
        <v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v>
      </c>
      <c r="P174" s="14"/>
      <c r="Q174" s="15"/>
    </row>
    <row r="175" spans="1:28">
      <c r="A175" s="26"/>
      <c r="P175" s="26"/>
      <c r="Q175" s="15"/>
    </row>
    <row r="176" spans="1:28">
      <c r="A176" s="26"/>
      <c r="C176" s="3" t="s">
        <v>30</v>
      </c>
      <c r="P176" s="26"/>
      <c r="Q176" s="15"/>
    </row>
    <row r="177" spans="1:28">
      <c r="A177" s="26"/>
      <c r="P177" s="26"/>
      <c r="Q177" s="15"/>
    </row>
    <row r="178" spans="1:28">
      <c r="A178" s="26"/>
      <c r="C178" s="3" t="str">
        <f>CONCATENATE( "    &lt;piechart percentage=",B163," /&gt;")</f>
        <v xml:space="preserve">    &lt;piechart percentage=15.8 /&gt;</v>
      </c>
      <c r="P178" s="26"/>
      <c r="Q178" s="15"/>
    </row>
    <row r="179" spans="1:28">
      <c r="A179" s="26"/>
      <c r="C179" s="3" t="str">
        <f>"  &lt;/Analysis&gt;"</f>
        <v xml:space="preserve">  &lt;/Analysis&gt;</v>
      </c>
      <c r="K179" s="3" t="str">
        <f t="shared" ref="K179:M189" si="56">K135</f>
        <v>rs6691840</v>
      </c>
      <c r="L179" s="3" t="str">
        <f t="shared" si="56"/>
        <v>rs3913434</v>
      </c>
      <c r="M179" s="3" t="str">
        <f t="shared" si="56"/>
        <v>rs270838</v>
      </c>
      <c r="P179" s="26"/>
      <c r="Q179" s="15"/>
      <c r="Z179" s="3">
        <f t="shared" ref="Z179:AB179" si="57">Z135</f>
        <v>0</v>
      </c>
      <c r="AA179" s="3">
        <f t="shared" si="57"/>
        <v>0</v>
      </c>
      <c r="AB179" s="3">
        <f t="shared" si="57"/>
        <v>0</v>
      </c>
    </row>
    <row r="180" spans="1:28" s="21" customFormat="1">
      <c r="A180" s="28" t="s">
        <v>69</v>
      </c>
      <c r="B180" s="20" t="str">
        <f>CONCATENATE(B37," (C;C)")</f>
        <v>T19943884C (C;C)</v>
      </c>
      <c r="C180" s="21" t="str">
        <f>CONCATENATE("&lt;# ",B180," #&gt;")</f>
        <v>&lt;# T19943884C (C;C) #&gt;</v>
      </c>
      <c r="K180" s="21" t="str">
        <f t="shared" si="56"/>
        <v>G158A</v>
      </c>
      <c r="L180" s="21" t="str">
        <f t="shared" si="56"/>
        <v>C62T</v>
      </c>
      <c r="M180" s="21" t="str">
        <f t="shared" si="56"/>
        <v>T19943884C</v>
      </c>
      <c r="P180" s="28" t="s">
        <v>69</v>
      </c>
      <c r="Q180" s="20"/>
      <c r="Z180" s="21" t="str">
        <f t="shared" ref="Z180:AB180" si="58">Z136</f>
        <v>T19960814C</v>
      </c>
      <c r="AA180" s="21" t="str">
        <f t="shared" si="58"/>
        <v>T19950010G</v>
      </c>
      <c r="AB180" s="21">
        <f t="shared" si="58"/>
        <v>0</v>
      </c>
    </row>
    <row r="181" spans="1:28">
      <c r="A181" s="3" t="s">
        <v>21</v>
      </c>
      <c r="B181" s="29" t="str">
        <f>M185</f>
        <v>NC_000022.10:g.[19931407T&gt;C];[19931407T&gt;C]</v>
      </c>
      <c r="C181" s="10"/>
      <c r="K181" s="3" t="str">
        <f t="shared" si="56"/>
        <v>NC_000022.10:g.</v>
      </c>
      <c r="L181" s="3" t="str">
        <f t="shared" si="56"/>
        <v>NC_000022.10:g.</v>
      </c>
      <c r="M181" s="3" t="str">
        <f t="shared" si="56"/>
        <v>NC_000022.10:g.</v>
      </c>
      <c r="P181" s="3" t="s">
        <v>21</v>
      </c>
      <c r="Q181" s="29"/>
      <c r="R181" s="10"/>
      <c r="Z181" s="3" t="str">
        <f t="shared" ref="Z181:AB181" si="59">Z137</f>
        <v>NC_000022.10:g.</v>
      </c>
      <c r="AA181" s="3" t="str">
        <f t="shared" si="59"/>
        <v>NC_000022.10:g.</v>
      </c>
      <c r="AB181" s="3">
        <f t="shared" si="59"/>
        <v>0</v>
      </c>
    </row>
    <row r="182" spans="1:28">
      <c r="A182" s="3" t="s">
        <v>71</v>
      </c>
      <c r="B182" s="29"/>
      <c r="C182" s="3" t="str">
        <f>CONCATENATE("  &lt;Analysis name=",CHAR(34),B180,CHAR(34))</f>
        <v xml:space="preserve">  &lt;Analysis name="T19943884C (C;C)"</v>
      </c>
      <c r="J182" s="3" t="str">
        <f t="shared" ref="J182:J189" si="60">J138</f>
        <v>Variant</v>
      </c>
      <c r="K182" s="3" t="str">
        <f t="shared" si="56"/>
        <v>[19951271G&gt;A]</v>
      </c>
      <c r="L182" s="3" t="str">
        <f t="shared" si="56"/>
        <v>[19950235C&gt;T]</v>
      </c>
      <c r="M182" s="3" t="str">
        <f t="shared" si="56"/>
        <v>[19931407T&gt;C]</v>
      </c>
      <c r="P182" s="3" t="s">
        <v>71</v>
      </c>
      <c r="Q182" s="29"/>
      <c r="Y182" s="3" t="str">
        <f t="shared" ref="Y182:AB189" si="61">Y138</f>
        <v>Variant</v>
      </c>
      <c r="Z182" s="3" t="str">
        <f t="shared" si="61"/>
        <v>[19948337T&gt;C]</v>
      </c>
      <c r="AA182" s="3" t="str">
        <f t="shared" si="61"/>
        <v>[19937533T&gt;G]</v>
      </c>
      <c r="AB182" s="3">
        <f t="shared" si="61"/>
        <v>0</v>
      </c>
    </row>
    <row r="183" spans="1:28">
      <c r="A183" s="5" t="s">
        <v>74</v>
      </c>
      <c r="B183" s="2" t="str">
        <f>CONCATENATE("People with this variant have one copy of the ",B62," variant. This substitution of a single nucleotide is known as a missense mutation.")</f>
        <v>People with this variant have one copy of the  variant. This substitution of a single nucleotide is known as a missense mutation.</v>
      </c>
      <c r="C183" s="3" t="str">
        <f>CONCATENATE("            case={  variantCall ",CHAR(40),CHAR(34),B181,CHAR(34),CHAR(41))</f>
        <v xml:space="preserve">            case={  variantCall ("NC_000022.10:g.[19931407T&gt;C];[19931407T&gt;C]")</v>
      </c>
      <c r="J183" s="3" t="str">
        <f t="shared" si="60"/>
        <v>Wildtype</v>
      </c>
      <c r="K183" s="3" t="str">
        <f t="shared" si="56"/>
        <v>[19951271=]</v>
      </c>
      <c r="L183" s="3" t="str">
        <f t="shared" si="56"/>
        <v>[19950235=]</v>
      </c>
      <c r="M183" s="3" t="str">
        <f t="shared" si="56"/>
        <v>[19931407=]</v>
      </c>
      <c r="P183" s="5" t="s">
        <v>74</v>
      </c>
      <c r="Q183" s="2"/>
      <c r="Y183" s="3" t="str">
        <f t="shared" si="61"/>
        <v>Wildtype</v>
      </c>
      <c r="Z183" s="3" t="str">
        <f t="shared" si="61"/>
        <v>[19948337=]</v>
      </c>
      <c r="AA183" s="3" t="str">
        <f t="shared" si="61"/>
        <v>[19937533=]</v>
      </c>
      <c r="AB183" s="3">
        <f t="shared" si="61"/>
        <v>0</v>
      </c>
    </row>
    <row r="184" spans="1:28">
      <c r="A184" s="1" t="s">
        <v>28</v>
      </c>
      <c r="B184" s="2" t="s">
        <v>294</v>
      </c>
      <c r="C184" s="3" t="s">
        <v>70</v>
      </c>
      <c r="J184" s="3" t="str">
        <f t="shared" si="60"/>
        <v>Het</v>
      </c>
      <c r="K184" s="3" t="str">
        <f t="shared" si="56"/>
        <v>NC_000022.10:g.[19951271G&gt;A];[19951271=]</v>
      </c>
      <c r="L184" s="3" t="str">
        <f t="shared" si="56"/>
        <v>NC_000022.10:g.[19950235C&gt;T];[19950235=]</v>
      </c>
      <c r="M184" s="3" t="str">
        <f t="shared" si="56"/>
        <v>NC_000022.10:g.[19931407T&gt;C];[19931407=]</v>
      </c>
      <c r="P184" s="1" t="s">
        <v>28</v>
      </c>
      <c r="Q184" s="15"/>
      <c r="Y184" s="3" t="str">
        <f t="shared" si="61"/>
        <v>Het</v>
      </c>
      <c r="Z184" s="3" t="str">
        <f t="shared" si="61"/>
        <v>NC_000022.10:g.[19948337T&gt;C];[19948337=]</v>
      </c>
      <c r="AA184" s="3" t="str">
        <f t="shared" si="61"/>
        <v>NC_000022.10:g.[19937533T&gt;G];[19937533=]</v>
      </c>
      <c r="AB184" s="3" t="str">
        <f t="shared" si="61"/>
        <v>00;0</v>
      </c>
    </row>
    <row r="185" spans="1:28">
      <c r="A185" s="3" t="s">
        <v>72</v>
      </c>
      <c r="B185" s="29">
        <f>M187</f>
        <v>15.8</v>
      </c>
      <c r="C185" s="3" t="str">
        <f>CONCATENATE("                    ",CHAR(40),"variantCall ",CHAR(40),CHAR(34),L185,CHAR(34),CHAR(41)," or variantCall ",CHAR(40),CHAR(34),L186,CHAR(34),CHAR(41),CHAR(41))</f>
        <v xml:space="preserve">                    (variantCall ("NC_000022.10:g.[19950235C&gt;T];[19950235C&gt;T]") or variantCall ("NC_000022.10:g.[19950235=];[19950235=]"))</v>
      </c>
      <c r="J185" s="3" t="str">
        <f t="shared" si="60"/>
        <v>Homo</v>
      </c>
      <c r="K185" s="3" t="str">
        <f t="shared" si="56"/>
        <v>NC_000022.10:g.[19951271G&gt;A];[19951271G&gt;A]</v>
      </c>
      <c r="L185" s="3" t="str">
        <f t="shared" si="56"/>
        <v>NC_000022.10:g.[19950235C&gt;T];[19950235C&gt;T]</v>
      </c>
      <c r="M185" s="3" t="str">
        <f t="shared" si="56"/>
        <v>NC_000022.10:g.[19931407T&gt;C];[19931407T&gt;C]</v>
      </c>
      <c r="P185" s="3" t="s">
        <v>72</v>
      </c>
      <c r="Q185" s="29"/>
      <c r="Y185" s="3" t="str">
        <f t="shared" si="61"/>
        <v>Homo</v>
      </c>
      <c r="Z185" s="3" t="str">
        <f t="shared" si="61"/>
        <v>NC_000022.10:g.[19948337T&gt;C];[19948337T&gt;C]</v>
      </c>
      <c r="AA185" s="3" t="str">
        <f t="shared" si="61"/>
        <v>NC_000022.10:g.[19937533T&gt;G];[19937533T&gt;G]</v>
      </c>
      <c r="AB185" s="3" t="str">
        <f t="shared" si="61"/>
        <v>00;0</v>
      </c>
    </row>
    <row r="186" spans="1:28">
      <c r="C186" s="3" t="s">
        <v>70</v>
      </c>
      <c r="J186" s="3" t="str">
        <f t="shared" si="60"/>
        <v>Wildtype</v>
      </c>
      <c r="K186" s="3" t="str">
        <f t="shared" si="56"/>
        <v>NC_000022.10:g.[19951271=];[19951271=]</v>
      </c>
      <c r="L186" s="3" t="str">
        <f t="shared" si="56"/>
        <v>NC_000022.10:g.[19950235=];[19950235=]</v>
      </c>
      <c r="M186" s="3" t="str">
        <f t="shared" si="56"/>
        <v>NC_000022.10:g.[19931407=];[19931407=]</v>
      </c>
      <c r="Q186" s="15"/>
      <c r="Y186" s="3" t="str">
        <f t="shared" si="61"/>
        <v>Wildtype</v>
      </c>
      <c r="Z186" s="3" t="str">
        <f t="shared" si="61"/>
        <v>NC_000022.10:g.[19948337=];[19948337=]</v>
      </c>
      <c r="AA186" s="3" t="str">
        <f t="shared" si="61"/>
        <v>NC_000022.10:g.[19937533=];[19937533=]</v>
      </c>
      <c r="AB186" s="3" t="str">
        <f t="shared" si="61"/>
        <v>00;0</v>
      </c>
    </row>
    <row r="187" spans="1:28">
      <c r="C187" s="3" t="str">
        <f>CONCATENATE("                    variantCall ",CHAR(40),CHAR(34),K186,CHAR(34),CHAR(41))</f>
        <v xml:space="preserve">                    variantCall ("NC_000022.10:g.[19951271=];[19951271=]")</v>
      </c>
      <c r="J187" s="3" t="str">
        <f t="shared" si="60"/>
        <v>Het%</v>
      </c>
      <c r="K187" s="3">
        <f t="shared" si="56"/>
        <v>43</v>
      </c>
      <c r="L187" s="3">
        <f t="shared" si="56"/>
        <v>1.8</v>
      </c>
      <c r="M187" s="3">
        <f t="shared" si="56"/>
        <v>15.8</v>
      </c>
      <c r="Q187" s="15"/>
      <c r="Y187" s="3" t="str">
        <f t="shared" si="61"/>
        <v>Het%</v>
      </c>
      <c r="Z187" s="3">
        <f t="shared" si="61"/>
        <v>43</v>
      </c>
      <c r="AA187" s="3">
        <f t="shared" si="61"/>
        <v>1.8</v>
      </c>
      <c r="AB187" s="3">
        <f t="shared" si="61"/>
        <v>15.8</v>
      </c>
    </row>
    <row r="188" spans="1:28">
      <c r="A188" s="14"/>
      <c r="C188" s="3" t="str">
        <f>CONCATENATE("                  } &gt; ")</f>
        <v xml:space="preserve">                  } &gt; </v>
      </c>
      <c r="J188" s="3" t="str">
        <f t="shared" si="60"/>
        <v>Homo%</v>
      </c>
      <c r="K188" s="3">
        <f t="shared" si="56"/>
        <v>19.899999999999999</v>
      </c>
      <c r="L188" s="3">
        <f t="shared" si="56"/>
        <v>0.5</v>
      </c>
      <c r="M188" s="3">
        <f t="shared" si="56"/>
        <v>4.7</v>
      </c>
      <c r="P188" s="14"/>
      <c r="Q188" s="15"/>
      <c r="Y188" s="3" t="str">
        <f t="shared" si="61"/>
        <v>Homo%</v>
      </c>
      <c r="Z188" s="3">
        <f t="shared" si="61"/>
        <v>19.899999999999999</v>
      </c>
      <c r="AA188" s="3">
        <f t="shared" si="61"/>
        <v>0.5</v>
      </c>
      <c r="AB188" s="3">
        <f t="shared" si="61"/>
        <v>4.7</v>
      </c>
    </row>
    <row r="189" spans="1:28">
      <c r="A189" s="26"/>
      <c r="J189" s="3" t="str">
        <f t="shared" si="60"/>
        <v>Wildtype%</v>
      </c>
      <c r="K189" s="3">
        <f t="shared" si="56"/>
        <v>37.1</v>
      </c>
      <c r="L189" s="3">
        <f t="shared" si="56"/>
        <v>97.8</v>
      </c>
      <c r="M189" s="3">
        <f t="shared" si="56"/>
        <v>79.5</v>
      </c>
      <c r="P189" s="26"/>
      <c r="Q189" s="15"/>
      <c r="Y189" s="3" t="str">
        <f t="shared" si="61"/>
        <v>Wildtype%</v>
      </c>
      <c r="Z189" s="3">
        <f t="shared" si="61"/>
        <v>37.1</v>
      </c>
      <c r="AA189" s="3">
        <f t="shared" si="61"/>
        <v>97.8</v>
      </c>
      <c r="AB189" s="3">
        <f t="shared" si="61"/>
        <v>79.5</v>
      </c>
    </row>
    <row r="190" spans="1:28">
      <c r="A190" s="14"/>
      <c r="C190" s="3" t="s">
        <v>26</v>
      </c>
      <c r="P190" s="14"/>
      <c r="Q190" s="15"/>
    </row>
    <row r="191" spans="1:28">
      <c r="A191" s="14"/>
      <c r="P191" s="14"/>
      <c r="Q191" s="15"/>
    </row>
    <row r="192" spans="1:28">
      <c r="A192" s="26"/>
      <c r="C192" s="3" t="str">
        <f>CONCATENATE("    ",B183)</f>
        <v xml:space="preserve">    People with this variant have one copy of the  variant. This substitution of a single nucleotide is known as a missense mutation.</v>
      </c>
      <c r="P192" s="26"/>
      <c r="Q192" s="15"/>
    </row>
    <row r="193" spans="1:28">
      <c r="A193" s="14"/>
      <c r="P193" s="14"/>
      <c r="Q193" s="15"/>
    </row>
    <row r="194" spans="1:28">
      <c r="A194" s="14"/>
      <c r="C194" s="3" t="s">
        <v>29</v>
      </c>
      <c r="P194" s="14"/>
      <c r="Q194" s="15"/>
    </row>
    <row r="195" spans="1:28">
      <c r="A195" s="14"/>
      <c r="P195" s="14"/>
      <c r="Q195" s="15"/>
    </row>
    <row r="196" spans="1:28">
      <c r="A196" s="14"/>
      <c r="C196" s="3" t="str">
        <f>CONCATENATE(B184)</f>
        <v xml:space="preserve">    This variant is associated with an increased risk of [ME/CFS](https://www.ncbi.nlm.nih.gov/pubmed/19540336)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v>
      </c>
      <c r="P196" s="14"/>
      <c r="Q196" s="15"/>
    </row>
    <row r="197" spans="1:28">
      <c r="A197" s="26"/>
      <c r="P197" s="26"/>
      <c r="Q197" s="15"/>
    </row>
    <row r="198" spans="1:28">
      <c r="A198" s="26"/>
      <c r="C198" s="3" t="s">
        <v>30</v>
      </c>
      <c r="P198" s="26"/>
      <c r="Q198" s="15"/>
    </row>
    <row r="199" spans="1:28">
      <c r="A199" s="26"/>
      <c r="P199" s="26"/>
      <c r="Q199" s="15"/>
    </row>
    <row r="200" spans="1:28">
      <c r="A200" s="26"/>
      <c r="C200" s="3" t="str">
        <f>CONCATENATE( "    &lt;piechart percentage=",B185," /&gt;")</f>
        <v xml:space="preserve">    &lt;piechart percentage=15.8 /&gt;</v>
      </c>
      <c r="P200" s="26"/>
      <c r="Q200" s="15"/>
    </row>
    <row r="201" spans="1:28">
      <c r="A201" s="26"/>
      <c r="C201" s="3" t="str">
        <f>"  &lt;/Analysis&gt;"</f>
        <v xml:space="preserve">  &lt;/Analysis&gt;</v>
      </c>
      <c r="K201" s="3" t="str">
        <f t="shared" ref="K201:M211" si="62">K157</f>
        <v>rs6691840</v>
      </c>
      <c r="L201" s="3" t="str">
        <f t="shared" si="62"/>
        <v>rs3913434</v>
      </c>
      <c r="M201" s="3" t="str">
        <f t="shared" si="62"/>
        <v>rs270838</v>
      </c>
      <c r="P201" s="26"/>
      <c r="Q201" s="15"/>
      <c r="Z201" s="3">
        <f t="shared" ref="Z201:AB201" si="63">Z157</f>
        <v>0</v>
      </c>
      <c r="AA201" s="3">
        <f t="shared" si="63"/>
        <v>0</v>
      </c>
      <c r="AB201" s="3">
        <f t="shared" si="63"/>
        <v>0</v>
      </c>
    </row>
    <row r="202" spans="1:28" s="21" customFormat="1">
      <c r="A202" s="28" t="s">
        <v>69</v>
      </c>
      <c r="B202" s="20" t="str">
        <f>CONCATENATE(B70," and ",B114," and ",B158)</f>
        <v>G158A (A;G) and C62T (C;T) and T19943884C (T;C)</v>
      </c>
      <c r="C202" s="21" t="str">
        <f>CONCATENATE("&lt;# ",B202," #&gt;")</f>
        <v>&lt;# G158A (A;G) and C62T (C;T) and T19943884C (T;C) #&gt;</v>
      </c>
      <c r="K202" s="21" t="str">
        <f t="shared" si="62"/>
        <v>G158A</v>
      </c>
      <c r="L202" s="21" t="str">
        <f t="shared" si="62"/>
        <v>C62T</v>
      </c>
      <c r="M202" s="21" t="str">
        <f t="shared" si="62"/>
        <v>T19943884C</v>
      </c>
      <c r="P202" s="28" t="s">
        <v>69</v>
      </c>
      <c r="Q202" s="20"/>
      <c r="Z202" s="21" t="str">
        <f t="shared" ref="Z202:AB202" si="64">Z158</f>
        <v>T19960814C</v>
      </c>
      <c r="AA202" s="21" t="str">
        <f t="shared" si="64"/>
        <v>T19950010G</v>
      </c>
      <c r="AB202" s="21">
        <f t="shared" si="64"/>
        <v>0</v>
      </c>
    </row>
    <row r="203" spans="1:28">
      <c r="A203" s="14" t="s">
        <v>21</v>
      </c>
      <c r="B203" s="15" t="str">
        <f>K74</f>
        <v>NC_000022.10:g.[19951271G&gt;A];[19951271=]</v>
      </c>
      <c r="K203" s="3" t="str">
        <f t="shared" si="62"/>
        <v>NC_000022.10:g.</v>
      </c>
      <c r="L203" s="3" t="str">
        <f t="shared" si="62"/>
        <v>NC_000022.10:g.</v>
      </c>
      <c r="M203" s="3" t="str">
        <f t="shared" si="62"/>
        <v>NC_000022.10:g.</v>
      </c>
      <c r="P203" s="14" t="s">
        <v>21</v>
      </c>
      <c r="Q203" s="15"/>
      <c r="Z203" s="3" t="str">
        <f t="shared" ref="Z203:AB203" si="65">Z159</f>
        <v>NC_000022.10:g.</v>
      </c>
      <c r="AA203" s="3" t="str">
        <f t="shared" si="65"/>
        <v>NC_000022.10:g.</v>
      </c>
      <c r="AB203" s="3">
        <f t="shared" si="65"/>
        <v>0</v>
      </c>
    </row>
    <row r="204" spans="1:28">
      <c r="A204" s="14" t="s">
        <v>71</v>
      </c>
      <c r="C204" s="3" t="str">
        <f>CONCATENATE("  &lt;Analysis name=",CHAR(34),B202,CHAR(34))</f>
        <v xml:space="preserve">  &lt;Analysis name="G158A (A;G) and C62T (C;T) and T19943884C (T;C)"</v>
      </c>
      <c r="J204" s="3" t="str">
        <f t="shared" ref="J204:J211" si="66">J160</f>
        <v>Variant</v>
      </c>
      <c r="K204" s="3" t="str">
        <f t="shared" si="62"/>
        <v>[19951271G&gt;A]</v>
      </c>
      <c r="L204" s="3" t="str">
        <f t="shared" si="62"/>
        <v>[19950235C&gt;T]</v>
      </c>
      <c r="M204" s="3" t="str">
        <f t="shared" si="62"/>
        <v>[19931407T&gt;C]</v>
      </c>
      <c r="P204" s="14" t="s">
        <v>71</v>
      </c>
      <c r="Q204" s="15"/>
      <c r="Y204" s="3" t="str">
        <f t="shared" ref="Y204:AB204" si="67">Y160</f>
        <v>Variant</v>
      </c>
      <c r="Z204" s="3" t="str">
        <f t="shared" si="67"/>
        <v>[19948337T&gt;C]</v>
      </c>
      <c r="AA204" s="3" t="str">
        <f t="shared" si="67"/>
        <v>[19937533T&gt;G]</v>
      </c>
      <c r="AB204" s="3">
        <f t="shared" si="67"/>
        <v>0</v>
      </c>
    </row>
    <row r="205" spans="1:28">
      <c r="A205" s="26" t="s">
        <v>74</v>
      </c>
      <c r="B205" s="15" t="str">
        <f>CONCATENATE("People with this variant have one copy of the ",B22,", ",B31, ", and ",B40," variants. This substitution of a single nucleotide is known as a missense mutation.")</f>
        <v>People with this variant have one copy of the [G158A](https://www.ncbi.nlm.nih.gov/pubmed/21059181), [C62T](https://www.ncbi.nlm.nih.gov/pubmed/26891941), and [T19943884C](https://www.ncbi.nlm.nih.gov/pubmed/19540336) variants. This substitution of a single nucleotide is known as a missense mutation.</v>
      </c>
      <c r="C205" s="3" t="str">
        <f>CONCATENATE("            case={  variantCall ",CHAR(40),CHAR(34),K206,CHAR(34),CHAR(41))</f>
        <v xml:space="preserve">            case={  variantCall ("NC_000022.10:g.[19951271G&gt;A];[19951271=]")</v>
      </c>
      <c r="J205" s="3" t="str">
        <f t="shared" si="66"/>
        <v>Wildtype</v>
      </c>
      <c r="K205" s="3" t="str">
        <f t="shared" si="62"/>
        <v>[19951271=]</v>
      </c>
      <c r="L205" s="3" t="str">
        <f t="shared" si="62"/>
        <v>[19950235=]</v>
      </c>
      <c r="M205" s="3" t="str">
        <f t="shared" si="62"/>
        <v>[19931407=]</v>
      </c>
      <c r="P205" s="26" t="s">
        <v>74</v>
      </c>
      <c r="Q205" s="15"/>
      <c r="Y205" s="3" t="str">
        <f t="shared" ref="Y205:AB205" si="68">Y161</f>
        <v>Wildtype</v>
      </c>
      <c r="Z205" s="3" t="str">
        <f t="shared" si="68"/>
        <v>[19948337=]</v>
      </c>
      <c r="AA205" s="3" t="str">
        <f t="shared" si="68"/>
        <v>[19937533=]</v>
      </c>
      <c r="AB205" s="3">
        <f t="shared" si="68"/>
        <v>0</v>
      </c>
    </row>
    <row r="206" spans="1:28">
      <c r="A206" s="26" t="s">
        <v>28</v>
      </c>
      <c r="B206" s="15" t="s">
        <v>118</v>
      </c>
      <c r="C206" s="3" t="s">
        <v>70</v>
      </c>
      <c r="J206" s="3" t="str">
        <f t="shared" si="66"/>
        <v>Het</v>
      </c>
      <c r="K206" s="3" t="str">
        <f t="shared" si="62"/>
        <v>NC_000022.10:g.[19951271G&gt;A];[19951271=]</v>
      </c>
      <c r="L206" s="3" t="str">
        <f t="shared" si="62"/>
        <v>NC_000022.10:g.[19950235C&gt;T];[19950235=]</v>
      </c>
      <c r="M206" s="3" t="str">
        <f t="shared" si="62"/>
        <v>NC_000022.10:g.[19931407T&gt;C];[19931407=]</v>
      </c>
      <c r="P206" s="26" t="s">
        <v>28</v>
      </c>
      <c r="Q206" s="15"/>
      <c r="Y206" s="3" t="str">
        <f t="shared" ref="Y206:AB206" si="69">Y162</f>
        <v>Het</v>
      </c>
      <c r="Z206" s="3" t="str">
        <f t="shared" si="69"/>
        <v>NC_000022.10:g.[19948337T&gt;C];[19948337=]</v>
      </c>
      <c r="AA206" s="3" t="str">
        <f t="shared" si="69"/>
        <v>NC_000022.10:g.[19937533T&gt;G];[19937533=]</v>
      </c>
      <c r="AB206" s="3" t="str">
        <f t="shared" si="69"/>
        <v>00;0</v>
      </c>
    </row>
    <row r="207" spans="1:28">
      <c r="A207" s="26" t="s">
        <v>72</v>
      </c>
      <c r="C207" s="3" t="str">
        <f>CONCATENATE("                    variantCall ",CHAR(40),CHAR(34),L206,CHAR(34),CHAR(41))</f>
        <v xml:space="preserve">                    variantCall ("NC_000022.10:g.[19950235C&gt;T];[19950235=]")</v>
      </c>
      <c r="J207" s="3" t="str">
        <f t="shared" si="66"/>
        <v>Homo</v>
      </c>
      <c r="K207" s="3" t="str">
        <f t="shared" si="62"/>
        <v>NC_000022.10:g.[19951271G&gt;A];[19951271G&gt;A]</v>
      </c>
      <c r="L207" s="3" t="str">
        <f t="shared" si="62"/>
        <v>NC_000022.10:g.[19950235C&gt;T];[19950235C&gt;T]</v>
      </c>
      <c r="M207" s="3" t="str">
        <f t="shared" si="62"/>
        <v>NC_000022.10:g.[19931407T&gt;C];[19931407T&gt;C]</v>
      </c>
      <c r="P207" s="26" t="s">
        <v>72</v>
      </c>
      <c r="Q207" s="15"/>
      <c r="Y207" s="3" t="str">
        <f t="shared" ref="Y207:AB207" si="70">Y163</f>
        <v>Homo</v>
      </c>
      <c r="Z207" s="3" t="str">
        <f t="shared" si="70"/>
        <v>NC_000022.10:g.[19948337T&gt;C];[19948337T&gt;C]</v>
      </c>
      <c r="AA207" s="3" t="str">
        <f t="shared" si="70"/>
        <v>NC_000022.10:g.[19937533T&gt;G];[19937533T&gt;G]</v>
      </c>
      <c r="AB207" s="3" t="str">
        <f t="shared" si="70"/>
        <v>00;0</v>
      </c>
    </row>
    <row r="208" spans="1:28">
      <c r="A208" s="26"/>
      <c r="C208" s="3" t="s">
        <v>70</v>
      </c>
      <c r="J208" s="3" t="str">
        <f t="shared" si="66"/>
        <v>Wildtype</v>
      </c>
      <c r="K208" s="3" t="str">
        <f t="shared" si="62"/>
        <v>NC_000022.10:g.[19951271=];[19951271=]</v>
      </c>
      <c r="L208" s="3" t="str">
        <f t="shared" si="62"/>
        <v>NC_000022.10:g.[19950235=];[19950235=]</v>
      </c>
      <c r="M208" s="3" t="str">
        <f t="shared" si="62"/>
        <v>NC_000022.10:g.[19931407=];[19931407=]</v>
      </c>
      <c r="P208" s="26"/>
      <c r="Q208" s="15"/>
      <c r="Y208" s="3" t="str">
        <f t="shared" ref="Y208:AB208" si="71">Y164</f>
        <v>Wildtype</v>
      </c>
      <c r="Z208" s="3" t="str">
        <f t="shared" si="71"/>
        <v>NC_000022.10:g.[19948337=];[19948337=]</v>
      </c>
      <c r="AA208" s="3" t="str">
        <f t="shared" si="71"/>
        <v>NC_000022.10:g.[19937533=];[19937533=]</v>
      </c>
      <c r="AB208" s="3" t="str">
        <f t="shared" si="71"/>
        <v>00;0</v>
      </c>
    </row>
    <row r="209" spans="1:28">
      <c r="A209" s="26"/>
      <c r="C209" s="3" t="str">
        <f>CONCATENATE("                    variantCall ",CHAR(40),CHAR(34),M206,CHAR(34),CHAR(41))</f>
        <v xml:space="preserve">                    variantCall ("NC_000022.10:g.[19931407T&gt;C];[19931407=]")</v>
      </c>
      <c r="J209" s="3" t="str">
        <f t="shared" si="66"/>
        <v>Het%</v>
      </c>
      <c r="K209" s="3">
        <f t="shared" si="62"/>
        <v>43</v>
      </c>
      <c r="L209" s="3">
        <f t="shared" si="62"/>
        <v>1.8</v>
      </c>
      <c r="M209" s="3">
        <f t="shared" si="62"/>
        <v>15.8</v>
      </c>
      <c r="P209" s="26"/>
      <c r="Q209" s="15"/>
      <c r="Y209" s="3" t="str">
        <f t="shared" ref="Y209:AB209" si="72">Y165</f>
        <v>Het%</v>
      </c>
      <c r="Z209" s="3">
        <f t="shared" si="72"/>
        <v>43</v>
      </c>
      <c r="AA209" s="3">
        <f t="shared" si="72"/>
        <v>1.8</v>
      </c>
      <c r="AB209" s="3">
        <f t="shared" si="72"/>
        <v>15.8</v>
      </c>
    </row>
    <row r="210" spans="1:28">
      <c r="A210" s="26"/>
      <c r="C210" s="3" t="str">
        <f>CONCATENATE("                  } &gt; ")</f>
        <v xml:space="preserve">                  } &gt; </v>
      </c>
      <c r="J210" s="3" t="str">
        <f t="shared" si="66"/>
        <v>Homo%</v>
      </c>
      <c r="K210" s="3">
        <f t="shared" si="62"/>
        <v>19.899999999999999</v>
      </c>
      <c r="L210" s="3">
        <f t="shared" si="62"/>
        <v>0.5</v>
      </c>
      <c r="M210" s="3">
        <f t="shared" si="62"/>
        <v>4.7</v>
      </c>
      <c r="P210" s="26"/>
      <c r="Q210" s="15"/>
      <c r="Y210" s="3" t="str">
        <f t="shared" ref="Y210:AB210" si="73">Y166</f>
        <v>Homo%</v>
      </c>
      <c r="Z210" s="3">
        <f t="shared" si="73"/>
        <v>19.899999999999999</v>
      </c>
      <c r="AA210" s="3">
        <f t="shared" si="73"/>
        <v>0.5</v>
      </c>
      <c r="AB210" s="3">
        <f t="shared" si="73"/>
        <v>4.7</v>
      </c>
    </row>
    <row r="211" spans="1:28">
      <c r="A211" s="14"/>
      <c r="J211" s="3" t="str">
        <f t="shared" si="66"/>
        <v>Wildtype%</v>
      </c>
      <c r="K211" s="3">
        <f t="shared" si="62"/>
        <v>37.1</v>
      </c>
      <c r="L211" s="3">
        <f t="shared" si="62"/>
        <v>97.8</v>
      </c>
      <c r="M211" s="3">
        <f t="shared" si="62"/>
        <v>79.5</v>
      </c>
      <c r="P211" s="14"/>
      <c r="Q211" s="15"/>
      <c r="Y211" s="3" t="str">
        <f t="shared" ref="Y211:AB211" si="74">Y167</f>
        <v>Wildtype%</v>
      </c>
      <c r="Z211" s="3">
        <f t="shared" si="74"/>
        <v>37.1</v>
      </c>
      <c r="AA211" s="3">
        <f t="shared" si="74"/>
        <v>97.8</v>
      </c>
      <c r="AB211" s="3">
        <f t="shared" si="74"/>
        <v>79.5</v>
      </c>
    </row>
    <row r="212" spans="1:28">
      <c r="A212" s="14"/>
      <c r="C212" s="3" t="s">
        <v>26</v>
      </c>
      <c r="P212" s="14"/>
      <c r="Q212" s="15"/>
    </row>
    <row r="213" spans="1:28">
      <c r="A213" s="14"/>
      <c r="P213" s="14"/>
      <c r="Q213" s="15"/>
    </row>
    <row r="214" spans="1:28">
      <c r="A214" s="14"/>
      <c r="C214" s="3" t="str">
        <f>CONCATENATE("    ",B205)</f>
        <v xml:space="preserve">    People with this variant have one copy of the [G158A](https://www.ncbi.nlm.nih.gov/pubmed/21059181), [C62T](https://www.ncbi.nlm.nih.gov/pubmed/26891941), and [T19943884C](https://www.ncbi.nlm.nih.gov/pubmed/19540336) variants. This substitution of a single nucleotide is known as a missense mutation.</v>
      </c>
      <c r="P214" s="14"/>
      <c r="Q214" s="15"/>
    </row>
    <row r="215" spans="1:28">
      <c r="A215" s="14"/>
      <c r="P215" s="14"/>
      <c r="Q215" s="15"/>
    </row>
    <row r="216" spans="1:28">
      <c r="A216" s="26"/>
      <c r="C216" s="3" t="s">
        <v>29</v>
      </c>
      <c r="P216" s="26"/>
      <c r="Q216" s="15"/>
    </row>
    <row r="217" spans="1:28">
      <c r="A217" s="26"/>
      <c r="P217" s="26"/>
      <c r="Q217" s="15"/>
    </row>
    <row r="218" spans="1:28">
      <c r="A218" s="26"/>
      <c r="C218" s="3" t="str">
        <f>CONCATENATE(B206)</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18" s="26"/>
      <c r="Q218" s="15"/>
    </row>
    <row r="219" spans="1:28">
      <c r="A219" s="26"/>
      <c r="P219" s="26"/>
      <c r="Q219" s="15"/>
    </row>
    <row r="220" spans="1:28">
      <c r="A220" s="26"/>
      <c r="C220" s="3" t="s">
        <v>30</v>
      </c>
      <c r="P220" s="26"/>
      <c r="Q220" s="15"/>
    </row>
    <row r="221" spans="1:28">
      <c r="A221" s="26"/>
      <c r="P221" s="26"/>
      <c r="Q221" s="15"/>
    </row>
    <row r="222" spans="1:28">
      <c r="A222" s="26"/>
      <c r="C222" s="3" t="str">
        <f>CONCATENATE( "    &lt;piechart percentage=",B207," /&gt;")</f>
        <v xml:space="preserve">    &lt;piechart percentage= /&gt;</v>
      </c>
      <c r="P222" s="26"/>
      <c r="Q222" s="15"/>
    </row>
    <row r="223" spans="1:28">
      <c r="A223" s="26"/>
      <c r="C223" s="3" t="str">
        <f>"  &lt;/Analysis&gt;"</f>
        <v xml:space="preserve">  &lt;/Analysis&gt;</v>
      </c>
      <c r="K223" s="3" t="str">
        <f>K179</f>
        <v>rs6691840</v>
      </c>
      <c r="L223" s="3" t="str">
        <f>L179</f>
        <v>rs3913434</v>
      </c>
      <c r="M223" s="3" t="str">
        <f>M179</f>
        <v>rs270838</v>
      </c>
      <c r="P223" s="26"/>
      <c r="Q223" s="15"/>
      <c r="Z223" s="3">
        <f t="shared" ref="Z223:AB223" si="75">Z179</f>
        <v>0</v>
      </c>
      <c r="AA223" s="3">
        <f t="shared" si="75"/>
        <v>0</v>
      </c>
      <c r="AB223" s="3">
        <f t="shared" si="75"/>
        <v>0</v>
      </c>
    </row>
    <row r="224" spans="1:28" s="21" customFormat="1">
      <c r="A224" s="28" t="s">
        <v>69</v>
      </c>
      <c r="B224" s="20" t="str">
        <f>CONCATENATE(B92," and ",B114," and ",B158)</f>
        <v>G158A (A;A) and C62T (C;T) and T19943884C (T;C)</v>
      </c>
      <c r="C224" s="21" t="str">
        <f>CONCATENATE("&lt;# ",B224," #&gt;")</f>
        <v>&lt;# G158A (A;A) and C62T (C;T) and T19943884C (T;C) #&gt;</v>
      </c>
      <c r="K224" s="21" t="str">
        <f t="shared" ref="K224:M225" si="76">K202</f>
        <v>G158A</v>
      </c>
      <c r="L224" s="21" t="str">
        <f t="shared" si="76"/>
        <v>C62T</v>
      </c>
      <c r="M224" s="21" t="str">
        <f t="shared" si="76"/>
        <v>T19943884C</v>
      </c>
      <c r="P224" s="28" t="s">
        <v>69</v>
      </c>
      <c r="Q224" s="20"/>
      <c r="Z224" s="21" t="str">
        <f t="shared" ref="Z224:AB224" si="77">Z202</f>
        <v>T19960814C</v>
      </c>
      <c r="AA224" s="21" t="str">
        <f t="shared" si="77"/>
        <v>T19950010G</v>
      </c>
      <c r="AB224" s="21">
        <f t="shared" si="77"/>
        <v>0</v>
      </c>
    </row>
    <row r="225" spans="1:28">
      <c r="A225" s="14" t="s">
        <v>21</v>
      </c>
      <c r="B225" s="15" t="str">
        <f>K96</f>
        <v>NC_000022.10:g.[19951271G&gt;A];[19951271=]</v>
      </c>
      <c r="K225" s="3" t="str">
        <f t="shared" si="76"/>
        <v>NC_000022.10:g.</v>
      </c>
      <c r="L225" s="3" t="str">
        <f t="shared" si="76"/>
        <v>NC_000022.10:g.</v>
      </c>
      <c r="M225" s="3" t="str">
        <f t="shared" si="76"/>
        <v>NC_000022.10:g.</v>
      </c>
      <c r="P225" s="14" t="s">
        <v>21</v>
      </c>
      <c r="Q225" s="15"/>
      <c r="Z225" s="3" t="str">
        <f t="shared" ref="Z225:AB225" si="78">Z203</f>
        <v>NC_000022.10:g.</v>
      </c>
      <c r="AA225" s="3" t="str">
        <f t="shared" si="78"/>
        <v>NC_000022.10:g.</v>
      </c>
      <c r="AB225" s="3">
        <f t="shared" si="78"/>
        <v>0</v>
      </c>
    </row>
    <row r="226" spans="1:28">
      <c r="A226" s="14" t="s">
        <v>71</v>
      </c>
      <c r="C226" s="3" t="str">
        <f>CONCATENATE("  &lt;Analysis name=",CHAR(34),B224,CHAR(34))</f>
        <v xml:space="preserve">  &lt;Analysis name="G158A (A;A) and C62T (C;T) and T19943884C (T;C)"</v>
      </c>
      <c r="J226" s="3" t="str">
        <f t="shared" ref="J226:M233" si="79">J204</f>
        <v>Variant</v>
      </c>
      <c r="K226" s="3" t="str">
        <f t="shared" si="79"/>
        <v>[19951271G&gt;A]</v>
      </c>
      <c r="L226" s="3" t="str">
        <f t="shared" si="79"/>
        <v>[19950235C&gt;T]</v>
      </c>
      <c r="M226" s="3" t="str">
        <f t="shared" si="79"/>
        <v>[19931407T&gt;C]</v>
      </c>
      <c r="P226" s="14" t="s">
        <v>71</v>
      </c>
      <c r="Q226" s="15"/>
      <c r="Y226" s="3" t="str">
        <f t="shared" ref="Y226:AB226" si="80">Y204</f>
        <v>Variant</v>
      </c>
      <c r="Z226" s="3" t="str">
        <f t="shared" si="80"/>
        <v>[19948337T&gt;C]</v>
      </c>
      <c r="AA226" s="3" t="str">
        <f t="shared" si="80"/>
        <v>[19937533T&gt;G]</v>
      </c>
      <c r="AB226" s="3">
        <f t="shared" si="80"/>
        <v>0</v>
      </c>
    </row>
    <row r="227" spans="1:28">
      <c r="A227" s="26" t="s">
        <v>74</v>
      </c>
      <c r="B227" s="15" t="str">
        <f>CONCATENATE("People with this variant have two copies of the ",B22," variant and one copy of the ",B31, " and ",B40," variants. This substitution of a single nucleotide is known as a missense mutation.")</f>
        <v>People with this variant have two copies of the [G158A](https://www.ncbi.nlm.nih.gov/pubmed/21059181) variant and one copy of the [C62T](https://www.ncbi.nlm.nih.gov/pubmed/26891941) and [T19943884C](https://www.ncbi.nlm.nih.gov/pubmed/19540336) variants. This substitution of a single nucleotide is known as a missense mutation.</v>
      </c>
      <c r="C227" s="3" t="str">
        <f>CONCATENATE("            case={  variantCall ",CHAR(40),CHAR(34),K229,CHAR(34),CHAR(41))</f>
        <v xml:space="preserve">            case={  variantCall ("NC_000022.10:g.[19951271G&gt;A];[19951271G&gt;A]")</v>
      </c>
      <c r="J227" s="3" t="str">
        <f t="shared" si="79"/>
        <v>Wildtype</v>
      </c>
      <c r="K227" s="3" t="str">
        <f t="shared" si="79"/>
        <v>[19951271=]</v>
      </c>
      <c r="L227" s="3" t="str">
        <f t="shared" si="79"/>
        <v>[19950235=]</v>
      </c>
      <c r="M227" s="3" t="str">
        <f t="shared" si="79"/>
        <v>[19931407=]</v>
      </c>
      <c r="P227" s="26" t="s">
        <v>74</v>
      </c>
      <c r="Q227" s="15"/>
      <c r="Y227" s="3" t="str">
        <f t="shared" ref="Y227:AB227" si="81">Y205</f>
        <v>Wildtype</v>
      </c>
      <c r="Z227" s="3" t="str">
        <f t="shared" si="81"/>
        <v>[19948337=]</v>
      </c>
      <c r="AA227" s="3" t="str">
        <f t="shared" si="81"/>
        <v>[19937533=]</v>
      </c>
      <c r="AB227" s="3">
        <f t="shared" si="81"/>
        <v>0</v>
      </c>
    </row>
    <row r="228" spans="1:28">
      <c r="A228" s="26" t="s">
        <v>28</v>
      </c>
      <c r="B228" s="36"/>
      <c r="C228" s="3" t="s">
        <v>70</v>
      </c>
      <c r="J228" s="3" t="str">
        <f t="shared" si="79"/>
        <v>Het</v>
      </c>
      <c r="K228" s="3" t="str">
        <f t="shared" si="79"/>
        <v>NC_000022.10:g.[19951271G&gt;A];[19951271=]</v>
      </c>
      <c r="L228" s="3" t="str">
        <f t="shared" si="79"/>
        <v>NC_000022.10:g.[19950235C&gt;T];[19950235=]</v>
      </c>
      <c r="M228" s="3" t="str">
        <f t="shared" si="79"/>
        <v>NC_000022.10:g.[19931407T&gt;C];[19931407=]</v>
      </c>
      <c r="P228" s="26" t="s">
        <v>28</v>
      </c>
      <c r="Q228" s="36"/>
      <c r="Y228" s="3" t="str">
        <f t="shared" ref="Y228:AB228" si="82">Y206</f>
        <v>Het</v>
      </c>
      <c r="Z228" s="3" t="str">
        <f t="shared" si="82"/>
        <v>NC_000022.10:g.[19948337T&gt;C];[19948337=]</v>
      </c>
      <c r="AA228" s="3" t="str">
        <f t="shared" si="82"/>
        <v>NC_000022.10:g.[19937533T&gt;G];[19937533=]</v>
      </c>
      <c r="AB228" s="3" t="str">
        <f t="shared" si="82"/>
        <v>00;0</v>
      </c>
    </row>
    <row r="229" spans="1:28">
      <c r="A229" s="26" t="s">
        <v>72</v>
      </c>
      <c r="C229" s="3" t="str">
        <f>CONCATENATE("                    variantCall ",CHAR(40),CHAR(34),L228,CHAR(34),CHAR(41))</f>
        <v xml:space="preserve">                    variantCall ("NC_000022.10:g.[19950235C&gt;T];[19950235=]")</v>
      </c>
      <c r="J229" s="3" t="str">
        <f t="shared" si="79"/>
        <v>Homo</v>
      </c>
      <c r="K229" s="3" t="str">
        <f t="shared" si="79"/>
        <v>NC_000022.10:g.[19951271G&gt;A];[19951271G&gt;A]</v>
      </c>
      <c r="L229" s="3" t="str">
        <f t="shared" si="79"/>
        <v>NC_000022.10:g.[19950235C&gt;T];[19950235C&gt;T]</v>
      </c>
      <c r="M229" s="3" t="str">
        <f t="shared" si="79"/>
        <v>NC_000022.10:g.[19931407T&gt;C];[19931407T&gt;C]</v>
      </c>
      <c r="P229" s="26" t="s">
        <v>72</v>
      </c>
      <c r="Q229" s="15"/>
      <c r="Y229" s="3" t="str">
        <f t="shared" ref="Y229:AB229" si="83">Y207</f>
        <v>Homo</v>
      </c>
      <c r="Z229" s="3" t="str">
        <f t="shared" si="83"/>
        <v>NC_000022.10:g.[19948337T&gt;C];[19948337T&gt;C]</v>
      </c>
      <c r="AA229" s="3" t="str">
        <f t="shared" si="83"/>
        <v>NC_000022.10:g.[19937533T&gt;G];[19937533T&gt;G]</v>
      </c>
      <c r="AB229" s="3" t="str">
        <f t="shared" si="83"/>
        <v>00;0</v>
      </c>
    </row>
    <row r="230" spans="1:28">
      <c r="A230" s="26"/>
      <c r="C230" s="3" t="s">
        <v>70</v>
      </c>
      <c r="J230" s="3" t="str">
        <f t="shared" si="79"/>
        <v>Wildtype</v>
      </c>
      <c r="K230" s="3" t="str">
        <f t="shared" si="79"/>
        <v>NC_000022.10:g.[19951271=];[19951271=]</v>
      </c>
      <c r="L230" s="3" t="str">
        <f t="shared" si="79"/>
        <v>NC_000022.10:g.[19950235=];[19950235=]</v>
      </c>
      <c r="M230" s="3" t="str">
        <f t="shared" si="79"/>
        <v>NC_000022.10:g.[19931407=];[19931407=]</v>
      </c>
      <c r="P230" s="26"/>
      <c r="Q230" s="15"/>
      <c r="Y230" s="3" t="str">
        <f t="shared" ref="Y230:AB230" si="84">Y208</f>
        <v>Wildtype</v>
      </c>
      <c r="Z230" s="3" t="str">
        <f t="shared" si="84"/>
        <v>NC_000022.10:g.[19948337=];[19948337=]</v>
      </c>
      <c r="AA230" s="3" t="str">
        <f t="shared" si="84"/>
        <v>NC_000022.10:g.[19937533=];[19937533=]</v>
      </c>
      <c r="AB230" s="3" t="str">
        <f t="shared" si="84"/>
        <v>00;0</v>
      </c>
    </row>
    <row r="231" spans="1:28">
      <c r="A231" s="26"/>
      <c r="C231" s="3" t="str">
        <f>CONCATENATE("                    variantCall ",CHAR(40),CHAR(34),M228,CHAR(34),CHAR(41))</f>
        <v xml:space="preserve">                    variantCall ("NC_000022.10:g.[19931407T&gt;C];[19931407=]")</v>
      </c>
      <c r="J231" s="3" t="str">
        <f t="shared" si="79"/>
        <v>Het%</v>
      </c>
      <c r="K231" s="3">
        <f t="shared" si="79"/>
        <v>43</v>
      </c>
      <c r="L231" s="3">
        <f t="shared" si="79"/>
        <v>1.8</v>
      </c>
      <c r="M231" s="3">
        <f t="shared" si="79"/>
        <v>15.8</v>
      </c>
      <c r="P231" s="26"/>
      <c r="Q231" s="15"/>
      <c r="Y231" s="3" t="str">
        <f t="shared" ref="Y231:AB231" si="85">Y209</f>
        <v>Het%</v>
      </c>
      <c r="Z231" s="3">
        <f t="shared" si="85"/>
        <v>43</v>
      </c>
      <c r="AA231" s="3">
        <f t="shared" si="85"/>
        <v>1.8</v>
      </c>
      <c r="AB231" s="3">
        <f t="shared" si="85"/>
        <v>15.8</v>
      </c>
    </row>
    <row r="232" spans="1:28">
      <c r="A232" s="26"/>
      <c r="C232" s="3" t="str">
        <f>CONCATENATE("                  } &gt; ")</f>
        <v xml:space="preserve">                  } &gt; </v>
      </c>
      <c r="J232" s="3" t="str">
        <f t="shared" si="79"/>
        <v>Homo%</v>
      </c>
      <c r="K232" s="3">
        <f t="shared" si="79"/>
        <v>19.899999999999999</v>
      </c>
      <c r="L232" s="3">
        <f t="shared" si="79"/>
        <v>0.5</v>
      </c>
      <c r="M232" s="3">
        <f t="shared" si="79"/>
        <v>4.7</v>
      </c>
      <c r="P232" s="26"/>
      <c r="Q232" s="15"/>
      <c r="Y232" s="3" t="str">
        <f t="shared" ref="Y232:AB232" si="86">Y210</f>
        <v>Homo%</v>
      </c>
      <c r="Z232" s="3">
        <f t="shared" si="86"/>
        <v>19.899999999999999</v>
      </c>
      <c r="AA232" s="3">
        <f t="shared" si="86"/>
        <v>0.5</v>
      </c>
      <c r="AB232" s="3">
        <f t="shared" si="86"/>
        <v>4.7</v>
      </c>
    </row>
    <row r="233" spans="1:28">
      <c r="A233" s="14"/>
      <c r="J233" s="3" t="str">
        <f t="shared" si="79"/>
        <v>Wildtype%</v>
      </c>
      <c r="K233" s="3">
        <f t="shared" si="79"/>
        <v>37.1</v>
      </c>
      <c r="L233" s="3">
        <f t="shared" si="79"/>
        <v>97.8</v>
      </c>
      <c r="M233" s="3">
        <f t="shared" si="79"/>
        <v>79.5</v>
      </c>
      <c r="P233" s="14"/>
      <c r="Q233" s="15"/>
      <c r="Y233" s="3" t="str">
        <f t="shared" ref="Y233:AB233" si="87">Y211</f>
        <v>Wildtype%</v>
      </c>
      <c r="Z233" s="3">
        <f t="shared" si="87"/>
        <v>37.1</v>
      </c>
      <c r="AA233" s="3">
        <f t="shared" si="87"/>
        <v>97.8</v>
      </c>
      <c r="AB233" s="3">
        <f t="shared" si="87"/>
        <v>79.5</v>
      </c>
    </row>
    <row r="234" spans="1:28">
      <c r="A234" s="14"/>
      <c r="C234" s="3" t="s">
        <v>26</v>
      </c>
      <c r="P234" s="14"/>
      <c r="Q234" s="15"/>
    </row>
    <row r="235" spans="1:28">
      <c r="A235" s="14"/>
      <c r="P235" s="14"/>
      <c r="Q235" s="15"/>
    </row>
    <row r="236" spans="1:28">
      <c r="A236" s="14"/>
      <c r="C236" s="3" t="str">
        <f>CONCATENATE("    ",B227)</f>
        <v xml:space="preserve">    People with this variant have two copies of the [G158A](https://www.ncbi.nlm.nih.gov/pubmed/21059181) variant and one copy of the [C62T](https://www.ncbi.nlm.nih.gov/pubmed/26891941) and [T19943884C](https://www.ncbi.nlm.nih.gov/pubmed/19540336) variants. This substitution of a single nucleotide is known as a missense mutation.</v>
      </c>
      <c r="P236" s="14"/>
      <c r="Q236" s="15"/>
    </row>
    <row r="237" spans="1:28">
      <c r="A237" s="14"/>
      <c r="P237" s="14"/>
      <c r="Q237" s="15"/>
    </row>
    <row r="238" spans="1:28">
      <c r="A238" s="26"/>
      <c r="C238" s="3" t="s">
        <v>29</v>
      </c>
      <c r="P238" s="26"/>
      <c r="Q238" s="15"/>
    </row>
    <row r="239" spans="1:28">
      <c r="A239" s="26"/>
      <c r="P239" s="26"/>
      <c r="Q239" s="15"/>
    </row>
    <row r="240" spans="1:28">
      <c r="A240" s="26"/>
      <c r="C240" s="3" t="str">
        <f>CONCATENATE(B228)</f>
        <v/>
      </c>
      <c r="P240" s="26"/>
      <c r="Q240" s="15"/>
    </row>
    <row r="241" spans="1:28">
      <c r="A241" s="26"/>
      <c r="P241" s="26"/>
      <c r="Q241" s="15"/>
    </row>
    <row r="242" spans="1:28">
      <c r="A242" s="26"/>
      <c r="C242" s="3" t="s">
        <v>30</v>
      </c>
      <c r="P242" s="26"/>
      <c r="Q242" s="15"/>
    </row>
    <row r="243" spans="1:28">
      <c r="A243" s="26"/>
      <c r="P243" s="26"/>
      <c r="Q243" s="15"/>
    </row>
    <row r="244" spans="1:28">
      <c r="A244" s="26"/>
      <c r="C244" s="3" t="str">
        <f>CONCATENATE( "    &lt;piechart percentage=",B229," /&gt;")</f>
        <v xml:space="preserve">    &lt;piechart percentage= /&gt;</v>
      </c>
      <c r="P244" s="26"/>
      <c r="Q244" s="15"/>
    </row>
    <row r="245" spans="1:28">
      <c r="A245" s="26"/>
      <c r="C245" s="3" t="str">
        <f>"  &lt;/Analysis&gt;"</f>
        <v xml:space="preserve">  &lt;/Analysis&gt;</v>
      </c>
      <c r="K245" s="3" t="str">
        <f t="shared" ref="K245:M247" si="88">K223</f>
        <v>rs6691840</v>
      </c>
      <c r="L245" s="3" t="str">
        <f t="shared" si="88"/>
        <v>rs3913434</v>
      </c>
      <c r="M245" s="3" t="str">
        <f t="shared" si="88"/>
        <v>rs270838</v>
      </c>
      <c r="P245" s="26"/>
      <c r="Q245" s="15"/>
      <c r="Z245" s="3">
        <f t="shared" ref="Z245:AB245" si="89">Z223</f>
        <v>0</v>
      </c>
      <c r="AA245" s="3">
        <f t="shared" si="89"/>
        <v>0</v>
      </c>
      <c r="AB245" s="3">
        <f t="shared" si="89"/>
        <v>0</v>
      </c>
    </row>
    <row r="246" spans="1:28" s="21" customFormat="1">
      <c r="A246" s="28" t="s">
        <v>69</v>
      </c>
      <c r="B246" s="20" t="str">
        <f>CONCATENATE(B70," and ",B114)</f>
        <v>G158A (A;G) and C62T (C;T)</v>
      </c>
      <c r="C246" s="21" t="str">
        <f>CONCATENATE("&lt;# ",B246," #&gt;")</f>
        <v>&lt;# G158A (A;G) and C62T (C;T) #&gt;</v>
      </c>
      <c r="K246" s="21" t="str">
        <f t="shared" si="88"/>
        <v>G158A</v>
      </c>
      <c r="L246" s="21" t="str">
        <f t="shared" si="88"/>
        <v>C62T</v>
      </c>
      <c r="M246" s="21" t="str">
        <f t="shared" si="88"/>
        <v>T19943884C</v>
      </c>
      <c r="P246" s="28" t="s">
        <v>69</v>
      </c>
      <c r="Q246" s="20" t="str">
        <f>CONCATENATE(Q70," and ",Q114)</f>
        <v>T19960814C (C;C) and T19950010G (T;G)</v>
      </c>
      <c r="R246" s="21" t="str">
        <f>CONCATENATE("&lt;# ",Q246," #&gt;")</f>
        <v>&lt;# T19960814C (C;C) and T19950010G (T;G) #&gt;</v>
      </c>
      <c r="Z246" s="21" t="str">
        <f t="shared" ref="Z246:AB246" si="90">Z224</f>
        <v>T19960814C</v>
      </c>
      <c r="AA246" s="21" t="str">
        <f t="shared" si="90"/>
        <v>T19950010G</v>
      </c>
      <c r="AB246" s="21">
        <f t="shared" si="90"/>
        <v>0</v>
      </c>
    </row>
    <row r="247" spans="1:28">
      <c r="A247" s="14" t="s">
        <v>21</v>
      </c>
      <c r="B247" s="15" t="str">
        <f>K118</f>
        <v>NC_000022.10:g.[19951271G&gt;A];[19951271=]</v>
      </c>
      <c r="K247" s="3" t="str">
        <f t="shared" si="88"/>
        <v>NC_000022.10:g.</v>
      </c>
      <c r="L247" s="3" t="str">
        <f t="shared" si="88"/>
        <v>NC_000022.10:g.</v>
      </c>
      <c r="M247" s="3" t="str">
        <f t="shared" si="88"/>
        <v>NC_000022.10:g.</v>
      </c>
      <c r="P247" s="14" t="s">
        <v>21</v>
      </c>
      <c r="Q247" s="15" t="str">
        <f>Z118</f>
        <v>NC_000022.10:g.[19948337T&gt;C];[19948337=]</v>
      </c>
      <c r="Z247" s="3" t="str">
        <f t="shared" ref="Z247:AB247" si="91">Z225</f>
        <v>NC_000022.10:g.</v>
      </c>
      <c r="AA247" s="3" t="str">
        <f t="shared" si="91"/>
        <v>NC_000022.10:g.</v>
      </c>
      <c r="AB247" s="3">
        <f t="shared" si="91"/>
        <v>0</v>
      </c>
    </row>
    <row r="248" spans="1:28">
      <c r="A248" s="14" t="s">
        <v>71</v>
      </c>
      <c r="C248" s="3" t="str">
        <f>CONCATENATE("  &lt;Analysis name=",CHAR(34),B246,CHAR(34))</f>
        <v xml:space="preserve">  &lt;Analysis name="G158A (A;G) and C62T (C;T)"</v>
      </c>
      <c r="J248" s="3" t="str">
        <f t="shared" ref="J248:M255" si="92">J226</f>
        <v>Variant</v>
      </c>
      <c r="K248" s="3" t="str">
        <f t="shared" si="92"/>
        <v>[19951271G&gt;A]</v>
      </c>
      <c r="L248" s="3" t="str">
        <f t="shared" si="92"/>
        <v>[19950235C&gt;T]</v>
      </c>
      <c r="M248" s="3" t="str">
        <f t="shared" si="92"/>
        <v>[19931407T&gt;C]</v>
      </c>
      <c r="P248" s="14" t="s">
        <v>71</v>
      </c>
      <c r="Q248" s="15"/>
      <c r="R248" s="3" t="str">
        <f>CONCATENATE("  &lt;Analysis name=",CHAR(34),Q246,CHAR(34))</f>
        <v xml:space="preserve">  &lt;Analysis name="T19960814C (C;C) and T19950010G (T;G)"</v>
      </c>
      <c r="Y248" s="3" t="str">
        <f t="shared" ref="Y248:AB248" si="93">Y226</f>
        <v>Variant</v>
      </c>
      <c r="Z248" s="3" t="str">
        <f t="shared" si="93"/>
        <v>[19948337T&gt;C]</v>
      </c>
      <c r="AA248" s="3" t="str">
        <f t="shared" si="93"/>
        <v>[19937533T&gt;G]</v>
      </c>
      <c r="AB248" s="3">
        <f t="shared" si="93"/>
        <v>0</v>
      </c>
    </row>
    <row r="249" spans="1:28">
      <c r="A249" s="26" t="s">
        <v>74</v>
      </c>
      <c r="B249" s="15" t="str">
        <f>CONCATENATE("People with this variant have one copy of the ",B22, ", and ",B31," variants. This substitution of a single nucleotide is known as a missense mutation.")</f>
        <v>People with this variant have one copy of the [G158A](https://www.ncbi.nlm.nih.gov/pubmed/21059181), and [C62T](https://www.ncbi.nlm.nih.gov/pubmed/26891941) variants. This substitution of a single nucleotide is known as a missense mutation.</v>
      </c>
      <c r="C249" s="3" t="str">
        <f>CONCATENATE("            case={  variantCall ",CHAR(40),CHAR(34),K250,CHAR(34),CHAR(41))</f>
        <v xml:space="preserve">            case={  variantCall ("NC_000022.10:g.[19951271G&gt;A];[19951271=]")</v>
      </c>
      <c r="J249" s="3" t="str">
        <f t="shared" si="92"/>
        <v>Wildtype</v>
      </c>
      <c r="K249" s="3" t="str">
        <f t="shared" si="92"/>
        <v>[19951271=]</v>
      </c>
      <c r="L249" s="3" t="str">
        <f t="shared" si="92"/>
        <v>[19950235=]</v>
      </c>
      <c r="M249" s="3" t="str">
        <f t="shared" si="92"/>
        <v>[19931407=]</v>
      </c>
      <c r="P249" s="26" t="s">
        <v>74</v>
      </c>
      <c r="Q249" s="15" t="str">
        <f>CONCATENATE("People with this variant have one copy of the ",Q22, ", and ",Q31," variants. This substitution of a single nucleotide is known as a missense mutation.")</f>
        <v>People with this variant have one copy of the [T19960814C](https://www.ncbi.nlm.nih.gov/pubmed/19772600), and [T19950010G](https://www.ncbi.nlm.nih.gov/pubmed/19540336) variants. This substitution of a single nucleotide is known as a missense mutation.</v>
      </c>
      <c r="R249" s="3" t="str">
        <f>CONCATENATE("            case={  variantCall ",CHAR(40),CHAR(34),Z250,CHAR(34),CHAR(41))</f>
        <v xml:space="preserve">            case={  variantCall ("NC_000022.10:g.[19948337T&gt;C];[19948337=]")</v>
      </c>
      <c r="Y249" s="3" t="str">
        <f t="shared" ref="Y249:AB249" si="94">Y227</f>
        <v>Wildtype</v>
      </c>
      <c r="Z249" s="3" t="str">
        <f t="shared" si="94"/>
        <v>[19948337=]</v>
      </c>
      <c r="AA249" s="3" t="str">
        <f t="shared" si="94"/>
        <v>[19937533=]</v>
      </c>
      <c r="AB249" s="3">
        <f t="shared" si="94"/>
        <v>0</v>
      </c>
    </row>
    <row r="250" spans="1:28">
      <c r="A250" s="26" t="s">
        <v>28</v>
      </c>
      <c r="B250" s="15" t="s">
        <v>113</v>
      </c>
      <c r="C250" s="3" t="s">
        <v>70</v>
      </c>
      <c r="J250" s="3" t="str">
        <f t="shared" si="92"/>
        <v>Het</v>
      </c>
      <c r="K250" s="3" t="str">
        <f t="shared" si="92"/>
        <v>NC_000022.10:g.[19951271G&gt;A];[19951271=]</v>
      </c>
      <c r="L250" s="3" t="str">
        <f t="shared" si="92"/>
        <v>NC_000022.10:g.[19950235C&gt;T];[19950235=]</v>
      </c>
      <c r="M250" s="3" t="str">
        <f t="shared" si="92"/>
        <v>NC_000022.10:g.[19931407T&gt;C];[19931407=]</v>
      </c>
      <c r="P250" s="26" t="s">
        <v>28</v>
      </c>
      <c r="Q250" s="15" t="s">
        <v>113</v>
      </c>
      <c r="R250" s="3" t="s">
        <v>70</v>
      </c>
      <c r="Y250" s="3" t="str">
        <f t="shared" ref="Y250:AB250" si="95">Y228</f>
        <v>Het</v>
      </c>
      <c r="Z250" s="3" t="str">
        <f t="shared" si="95"/>
        <v>NC_000022.10:g.[19948337T&gt;C];[19948337=]</v>
      </c>
      <c r="AA250" s="3" t="str">
        <f t="shared" si="95"/>
        <v>NC_000022.10:g.[19937533T&gt;G];[19937533=]</v>
      </c>
      <c r="AB250" s="3" t="str">
        <f t="shared" si="95"/>
        <v>00;0</v>
      </c>
    </row>
    <row r="251" spans="1:28">
      <c r="A251" s="26" t="s">
        <v>72</v>
      </c>
      <c r="C251" s="3" t="str">
        <f>CONCATENATE("                    variantCall ",CHAR(40),CHAR(34),L250,CHAR(34),CHAR(41))</f>
        <v xml:space="preserve">                    variantCall ("NC_000022.10:g.[19950235C&gt;T];[19950235=]")</v>
      </c>
      <c r="J251" s="3" t="str">
        <f t="shared" si="92"/>
        <v>Homo</v>
      </c>
      <c r="K251" s="3" t="str">
        <f t="shared" si="92"/>
        <v>NC_000022.10:g.[19951271G&gt;A];[19951271G&gt;A]</v>
      </c>
      <c r="L251" s="3" t="str">
        <f t="shared" si="92"/>
        <v>NC_000022.10:g.[19950235C&gt;T];[19950235C&gt;T]</v>
      </c>
      <c r="M251" s="3" t="str">
        <f t="shared" si="92"/>
        <v>NC_000022.10:g.[19931407T&gt;C];[19931407T&gt;C]</v>
      </c>
      <c r="P251" s="26" t="s">
        <v>72</v>
      </c>
      <c r="Q251" s="15"/>
      <c r="R251" s="3" t="str">
        <f>CONCATENATE("                    variantCall ",CHAR(40),CHAR(34),AA250,CHAR(34),CHAR(41))</f>
        <v xml:space="preserve">                    variantCall ("NC_000022.10:g.[19937533T&gt;G];[19937533=]")</v>
      </c>
      <c r="Y251" s="3" t="str">
        <f t="shared" ref="Y251:AB251" si="96">Y229</f>
        <v>Homo</v>
      </c>
      <c r="Z251" s="3" t="str">
        <f t="shared" si="96"/>
        <v>NC_000022.10:g.[19948337T&gt;C];[19948337T&gt;C]</v>
      </c>
      <c r="AA251" s="3" t="str">
        <f t="shared" si="96"/>
        <v>NC_000022.10:g.[19937533T&gt;G];[19937533T&gt;G]</v>
      </c>
      <c r="AB251" s="3" t="str">
        <f t="shared" si="96"/>
        <v>00;0</v>
      </c>
    </row>
    <row r="252" spans="1:28">
      <c r="A252" s="26"/>
      <c r="C252" s="3" t="s">
        <v>70</v>
      </c>
      <c r="J252" s="3" t="str">
        <f t="shared" si="92"/>
        <v>Wildtype</v>
      </c>
      <c r="K252" s="3" t="str">
        <f t="shared" si="92"/>
        <v>NC_000022.10:g.[19951271=];[19951271=]</v>
      </c>
      <c r="L252" s="3" t="str">
        <f t="shared" si="92"/>
        <v>NC_000022.10:g.[19950235=];[19950235=]</v>
      </c>
      <c r="M252" s="3" t="str">
        <f t="shared" si="92"/>
        <v>NC_000022.10:g.[19931407=];[19931407=]</v>
      </c>
      <c r="P252" s="26"/>
      <c r="Q252" s="15"/>
      <c r="R252" s="3" t="s">
        <v>70</v>
      </c>
      <c r="Y252" s="3" t="str">
        <f t="shared" ref="Y252:AB252" si="97">Y230</f>
        <v>Wildtype</v>
      </c>
      <c r="Z252" s="3" t="str">
        <f t="shared" si="97"/>
        <v>NC_000022.10:g.[19948337=];[19948337=]</v>
      </c>
      <c r="AA252" s="3" t="str">
        <f t="shared" si="97"/>
        <v>NC_000022.10:g.[19937533=];[19937533=]</v>
      </c>
      <c r="AB252" s="3" t="str">
        <f t="shared" si="97"/>
        <v>00;0</v>
      </c>
    </row>
    <row r="253" spans="1:28">
      <c r="A253" s="26"/>
      <c r="C253" s="3" t="str">
        <f>CONCATENATE("                    variantCall ",CHAR(40),CHAR(34),M250,CHAR(34),CHAR(41))</f>
        <v xml:space="preserve">                    variantCall ("NC_000022.10:g.[19931407T&gt;C];[19931407=]")</v>
      </c>
      <c r="J253" s="3" t="str">
        <f t="shared" si="92"/>
        <v>Het%</v>
      </c>
      <c r="K253" s="3">
        <f t="shared" si="92"/>
        <v>43</v>
      </c>
      <c r="L253" s="3">
        <f t="shared" si="92"/>
        <v>1.8</v>
      </c>
      <c r="M253" s="3">
        <f t="shared" si="92"/>
        <v>15.8</v>
      </c>
      <c r="P253" s="26"/>
      <c r="Q253" s="15"/>
      <c r="R253" s="3" t="str">
        <f>CONCATENATE("                    variantCall ",CHAR(40),CHAR(34),AB250,CHAR(34),CHAR(41))</f>
        <v xml:space="preserve">                    variantCall ("00;0")</v>
      </c>
      <c r="Y253" s="3" t="str">
        <f t="shared" ref="Y253:AB253" si="98">Y231</f>
        <v>Het%</v>
      </c>
      <c r="Z253" s="3">
        <f t="shared" si="98"/>
        <v>43</v>
      </c>
      <c r="AA253" s="3">
        <f t="shared" si="98"/>
        <v>1.8</v>
      </c>
      <c r="AB253" s="3">
        <f t="shared" si="98"/>
        <v>15.8</v>
      </c>
    </row>
    <row r="254" spans="1:28">
      <c r="A254" s="26"/>
      <c r="C254" s="3" t="str">
        <f>CONCATENATE("                  } &gt; ")</f>
        <v xml:space="preserve">                  } &gt; </v>
      </c>
      <c r="J254" s="3" t="str">
        <f t="shared" si="92"/>
        <v>Homo%</v>
      </c>
      <c r="K254" s="3">
        <f t="shared" si="92"/>
        <v>19.899999999999999</v>
      </c>
      <c r="L254" s="3">
        <f t="shared" si="92"/>
        <v>0.5</v>
      </c>
      <c r="M254" s="3">
        <f t="shared" si="92"/>
        <v>4.7</v>
      </c>
      <c r="P254" s="26"/>
      <c r="Q254" s="15"/>
      <c r="R254" s="3" t="str">
        <f>CONCATENATE("                  } &gt; ")</f>
        <v xml:space="preserve">                  } &gt; </v>
      </c>
      <c r="Y254" s="3" t="str">
        <f t="shared" ref="Y254:AB254" si="99">Y232</f>
        <v>Homo%</v>
      </c>
      <c r="Z254" s="3">
        <f t="shared" si="99"/>
        <v>19.899999999999999</v>
      </c>
      <c r="AA254" s="3">
        <f t="shared" si="99"/>
        <v>0.5</v>
      </c>
      <c r="AB254" s="3">
        <f t="shared" si="99"/>
        <v>4.7</v>
      </c>
    </row>
    <row r="255" spans="1:28">
      <c r="A255" s="14"/>
      <c r="J255" s="3" t="str">
        <f t="shared" si="92"/>
        <v>Wildtype%</v>
      </c>
      <c r="K255" s="3">
        <f t="shared" si="92"/>
        <v>37.1</v>
      </c>
      <c r="L255" s="3">
        <f t="shared" si="92"/>
        <v>97.8</v>
      </c>
      <c r="M255" s="3">
        <f t="shared" si="92"/>
        <v>79.5</v>
      </c>
      <c r="P255" s="14"/>
      <c r="Q255" s="15"/>
      <c r="Y255" s="3" t="str">
        <f t="shared" ref="Y255:AB255" si="100">Y233</f>
        <v>Wildtype%</v>
      </c>
      <c r="Z255" s="3">
        <f t="shared" si="100"/>
        <v>37.1</v>
      </c>
      <c r="AA255" s="3">
        <f t="shared" si="100"/>
        <v>97.8</v>
      </c>
      <c r="AB255" s="3">
        <f t="shared" si="100"/>
        <v>79.5</v>
      </c>
    </row>
    <row r="256" spans="1:28">
      <c r="A256" s="14"/>
      <c r="C256" s="3" t="s">
        <v>26</v>
      </c>
      <c r="P256" s="14"/>
      <c r="Q256" s="15"/>
      <c r="R256" s="3" t="s">
        <v>26</v>
      </c>
    </row>
    <row r="257" spans="1:28">
      <c r="A257" s="14"/>
      <c r="P257" s="14"/>
      <c r="Q257" s="15"/>
    </row>
    <row r="258" spans="1:28">
      <c r="A258" s="14"/>
      <c r="C258" s="3" t="str">
        <f>CONCATENATE("    ",B249)</f>
        <v xml:space="preserve">    People with this variant have one copy of the [G158A](https://www.ncbi.nlm.nih.gov/pubmed/21059181), and [C62T](https://www.ncbi.nlm.nih.gov/pubmed/26891941) variants. This substitution of a single nucleotide is known as a missense mutation.</v>
      </c>
      <c r="P258" s="14"/>
      <c r="Q258" s="15"/>
      <c r="R258" s="3" t="str">
        <f>CONCATENATE("    ",Q249)</f>
        <v xml:space="preserve">    People with this variant have one copy of the [T19960814C](https://www.ncbi.nlm.nih.gov/pubmed/19772600), and [T19950010G](https://www.ncbi.nlm.nih.gov/pubmed/19540336) variants. This substitution of a single nucleotide is known as a missense mutation.</v>
      </c>
    </row>
    <row r="259" spans="1:28">
      <c r="A259" s="14"/>
      <c r="P259" s="14"/>
      <c r="Q259" s="15"/>
    </row>
    <row r="260" spans="1:28">
      <c r="A260" s="26"/>
      <c r="C260" s="3" t="s">
        <v>29</v>
      </c>
      <c r="P260" s="26"/>
      <c r="Q260" s="15"/>
      <c r="R260" s="3" t="s">
        <v>29</v>
      </c>
    </row>
    <row r="261" spans="1:28">
      <c r="A261" s="26"/>
      <c r="P261" s="26"/>
      <c r="Q261" s="15"/>
    </row>
    <row r="262" spans="1:28">
      <c r="A262" s="26"/>
      <c r="C262" s="3" t="str">
        <f>CONCATENATE(B250)</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62" s="26"/>
      <c r="Q262" s="15"/>
      <c r="R262" s="3" t="str">
        <f>CONCATENATE(Q250)</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63" spans="1:28">
      <c r="A263" s="26"/>
      <c r="P263" s="26"/>
      <c r="Q263" s="15"/>
    </row>
    <row r="264" spans="1:28">
      <c r="A264" s="26"/>
      <c r="C264" s="3" t="s">
        <v>30</v>
      </c>
      <c r="P264" s="26"/>
      <c r="Q264" s="15"/>
      <c r="R264" s="3" t="s">
        <v>30</v>
      </c>
    </row>
    <row r="265" spans="1:28">
      <c r="A265" s="26"/>
      <c r="P265" s="26"/>
      <c r="Q265" s="15"/>
    </row>
    <row r="266" spans="1:28">
      <c r="A266" s="26"/>
      <c r="C266" s="3" t="str">
        <f>CONCATENATE( "    &lt;piechart percentage=",B251," /&gt;")</f>
        <v xml:space="preserve">    &lt;piechart percentage= /&gt;</v>
      </c>
      <c r="P266" s="26"/>
      <c r="Q266" s="15"/>
      <c r="R266" s="3" t="str">
        <f>CONCATENATE( "    &lt;piechart percentage=",Q251," /&gt;")</f>
        <v xml:space="preserve">    &lt;piechart percentage= /&gt;</v>
      </c>
    </row>
    <row r="267" spans="1:28">
      <c r="A267" s="26"/>
      <c r="C267" s="3" t="str">
        <f>"  &lt;/Analysis&gt;"</f>
        <v xml:space="preserve">  &lt;/Analysis&gt;</v>
      </c>
      <c r="K267" s="3" t="str">
        <f t="shared" ref="K267:M269" si="101">K245</f>
        <v>rs6691840</v>
      </c>
      <c r="L267" s="3" t="str">
        <f t="shared" si="101"/>
        <v>rs3913434</v>
      </c>
      <c r="M267" s="3" t="str">
        <f t="shared" si="101"/>
        <v>rs270838</v>
      </c>
      <c r="P267" s="26"/>
      <c r="Q267" s="15"/>
      <c r="R267" s="3" t="str">
        <f>"  &lt;/Analysis&gt;"</f>
        <v xml:space="preserve">  &lt;/Analysis&gt;</v>
      </c>
      <c r="Z267" s="3">
        <f t="shared" ref="Z267:AB267" si="102">Z245</f>
        <v>0</v>
      </c>
      <c r="AA267" s="3">
        <f t="shared" si="102"/>
        <v>0</v>
      </c>
      <c r="AB267" s="3">
        <f t="shared" si="102"/>
        <v>0</v>
      </c>
    </row>
    <row r="268" spans="1:28" s="21" customFormat="1">
      <c r="A268" s="28" t="s">
        <v>69</v>
      </c>
      <c r="B268" s="20" t="str">
        <f>CONCATENATE(B70," and ",B158)</f>
        <v>G158A (A;G) and T19943884C (T;C)</v>
      </c>
      <c r="C268" s="21" t="str">
        <f>CONCATENATE("&lt;# ",B268," #&gt;")</f>
        <v>&lt;# G158A (A;G) and T19943884C (T;C) #&gt;</v>
      </c>
      <c r="K268" s="21" t="str">
        <f t="shared" si="101"/>
        <v>G158A</v>
      </c>
      <c r="L268" s="21" t="str">
        <f t="shared" si="101"/>
        <v>C62T</v>
      </c>
      <c r="M268" s="21" t="str">
        <f t="shared" si="101"/>
        <v>T19943884C</v>
      </c>
      <c r="P268" s="28" t="s">
        <v>69</v>
      </c>
      <c r="Q268" s="20"/>
      <c r="Z268" s="21" t="str">
        <f t="shared" ref="Z268:AB268" si="103">Z246</f>
        <v>T19960814C</v>
      </c>
      <c r="AA268" s="21" t="str">
        <f t="shared" si="103"/>
        <v>T19950010G</v>
      </c>
      <c r="AB268" s="21">
        <f t="shared" si="103"/>
        <v>0</v>
      </c>
    </row>
    <row r="269" spans="1:28">
      <c r="A269" s="14" t="s">
        <v>21</v>
      </c>
      <c r="B269" s="15" t="str">
        <f>K162</f>
        <v>NC_000022.10:g.[19951271G&gt;A];[19951271=]</v>
      </c>
      <c r="K269" s="3" t="str">
        <f t="shared" si="101"/>
        <v>NC_000022.10:g.</v>
      </c>
      <c r="L269" s="3" t="str">
        <f t="shared" si="101"/>
        <v>NC_000022.10:g.</v>
      </c>
      <c r="M269" s="3" t="str">
        <f t="shared" si="101"/>
        <v>NC_000022.10:g.</v>
      </c>
      <c r="P269" s="14" t="s">
        <v>21</v>
      </c>
      <c r="Q269" s="15"/>
      <c r="Z269" s="3" t="str">
        <f t="shared" ref="Z269:AB269" si="104">Z247</f>
        <v>NC_000022.10:g.</v>
      </c>
      <c r="AA269" s="3" t="str">
        <f t="shared" si="104"/>
        <v>NC_000022.10:g.</v>
      </c>
      <c r="AB269" s="3">
        <f t="shared" si="104"/>
        <v>0</v>
      </c>
    </row>
    <row r="270" spans="1:28">
      <c r="A270" s="14" t="s">
        <v>71</v>
      </c>
      <c r="C270" s="3" t="str">
        <f>CONCATENATE("  &lt;Analysis name=",CHAR(34),B268,CHAR(34))</f>
        <v xml:space="preserve">  &lt;Analysis name="G158A (A;G) and T19943884C (T;C)"</v>
      </c>
      <c r="J270" s="3" t="str">
        <f t="shared" ref="J270:M277" si="105">J248</f>
        <v>Variant</v>
      </c>
      <c r="K270" s="3" t="str">
        <f t="shared" si="105"/>
        <v>[19951271G&gt;A]</v>
      </c>
      <c r="L270" s="3" t="str">
        <f t="shared" si="105"/>
        <v>[19950235C&gt;T]</v>
      </c>
      <c r="M270" s="3" t="str">
        <f t="shared" si="105"/>
        <v>[19931407T&gt;C]</v>
      </c>
      <c r="P270" s="14" t="s">
        <v>71</v>
      </c>
      <c r="Q270" s="15"/>
      <c r="Y270" s="3" t="str">
        <f t="shared" ref="Y270:AB270" si="106">Y248</f>
        <v>Variant</v>
      </c>
      <c r="Z270" s="3" t="str">
        <f t="shared" si="106"/>
        <v>[19948337T&gt;C]</v>
      </c>
      <c r="AA270" s="3" t="str">
        <f t="shared" si="106"/>
        <v>[19937533T&gt;G]</v>
      </c>
      <c r="AB270" s="3">
        <f t="shared" si="106"/>
        <v>0</v>
      </c>
    </row>
    <row r="271" spans="1:28">
      <c r="A271" s="26" t="s">
        <v>74</v>
      </c>
      <c r="B271" s="15" t="str">
        <f>CONCATENATE("People with this variant have one copy of the ",B22," and ",B40," variants. This substitution of a single nucleotide is known as a missense mutation.")</f>
        <v>People with this variant have one copy of the [G158A](https://www.ncbi.nlm.nih.gov/pubmed/21059181) and [T19943884C](https://www.ncbi.nlm.nih.gov/pubmed/19540336) variants. This substitution of a single nucleotide is known as a missense mutation.</v>
      </c>
      <c r="C271" s="3" t="str">
        <f>CONCATENATE("            case={  variantCall ",CHAR(40),CHAR(34),K272,CHAR(34),CHAR(41))</f>
        <v xml:space="preserve">            case={  variantCall ("NC_000022.10:g.[19951271G&gt;A];[19951271=]")</v>
      </c>
      <c r="J271" s="3" t="str">
        <f t="shared" si="105"/>
        <v>Wildtype</v>
      </c>
      <c r="K271" s="3" t="str">
        <f t="shared" si="105"/>
        <v>[19951271=]</v>
      </c>
      <c r="L271" s="3" t="str">
        <f t="shared" si="105"/>
        <v>[19950235=]</v>
      </c>
      <c r="M271" s="3" t="str">
        <f t="shared" si="105"/>
        <v>[19931407=]</v>
      </c>
      <c r="P271" s="26" t="s">
        <v>74</v>
      </c>
      <c r="Q271" s="15"/>
      <c r="Y271" s="3" t="str">
        <f t="shared" ref="Y271:AB271" si="107">Y249</f>
        <v>Wildtype</v>
      </c>
      <c r="Z271" s="3" t="str">
        <f t="shared" si="107"/>
        <v>[19948337=]</v>
      </c>
      <c r="AA271" s="3" t="str">
        <f t="shared" si="107"/>
        <v>[19937533=]</v>
      </c>
      <c r="AB271" s="3">
        <f t="shared" si="107"/>
        <v>0</v>
      </c>
    </row>
    <row r="272" spans="1:28">
      <c r="A272" s="26" t="s">
        <v>28</v>
      </c>
      <c r="B272" s="15" t="s">
        <v>114</v>
      </c>
      <c r="C272" s="3" t="s">
        <v>70</v>
      </c>
      <c r="J272" s="3" t="str">
        <f t="shared" si="105"/>
        <v>Het</v>
      </c>
      <c r="K272" s="3" t="str">
        <f t="shared" si="105"/>
        <v>NC_000022.10:g.[19951271G&gt;A];[19951271=]</v>
      </c>
      <c r="L272" s="3" t="str">
        <f t="shared" si="105"/>
        <v>NC_000022.10:g.[19950235C&gt;T];[19950235=]</v>
      </c>
      <c r="M272" s="3" t="str">
        <f t="shared" si="105"/>
        <v>NC_000022.10:g.[19931407T&gt;C];[19931407=]</v>
      </c>
      <c r="P272" s="26" t="s">
        <v>28</v>
      </c>
      <c r="Q272" s="15"/>
      <c r="Y272" s="3" t="str">
        <f t="shared" ref="Y272:AB272" si="108">Y250</f>
        <v>Het</v>
      </c>
      <c r="Z272" s="3" t="str">
        <f t="shared" si="108"/>
        <v>NC_000022.10:g.[19948337T&gt;C];[19948337=]</v>
      </c>
      <c r="AA272" s="3" t="str">
        <f t="shared" si="108"/>
        <v>NC_000022.10:g.[19937533T&gt;G];[19937533=]</v>
      </c>
      <c r="AB272" s="3" t="str">
        <f t="shared" si="108"/>
        <v>00;0</v>
      </c>
    </row>
    <row r="273" spans="1:28">
      <c r="A273" s="26" t="s">
        <v>72</v>
      </c>
      <c r="C273" s="3" t="str">
        <f>CONCATENATE("                    variantCall ",CHAR(40),CHAR(34),L272,CHAR(34),CHAR(41))</f>
        <v xml:space="preserve">                    variantCall ("NC_000022.10:g.[19950235C&gt;T];[19950235=]")</v>
      </c>
      <c r="J273" s="3" t="str">
        <f t="shared" si="105"/>
        <v>Homo</v>
      </c>
      <c r="K273" s="3" t="str">
        <f t="shared" si="105"/>
        <v>NC_000022.10:g.[19951271G&gt;A];[19951271G&gt;A]</v>
      </c>
      <c r="L273" s="3" t="str">
        <f t="shared" si="105"/>
        <v>NC_000022.10:g.[19950235C&gt;T];[19950235C&gt;T]</v>
      </c>
      <c r="M273" s="3" t="str">
        <f t="shared" si="105"/>
        <v>NC_000022.10:g.[19931407T&gt;C];[19931407T&gt;C]</v>
      </c>
      <c r="P273" s="26" t="s">
        <v>72</v>
      </c>
      <c r="Q273" s="15"/>
      <c r="Y273" s="3" t="str">
        <f t="shared" ref="Y273:AB273" si="109">Y251</f>
        <v>Homo</v>
      </c>
      <c r="Z273" s="3" t="str">
        <f t="shared" si="109"/>
        <v>NC_000022.10:g.[19948337T&gt;C];[19948337T&gt;C]</v>
      </c>
      <c r="AA273" s="3" t="str">
        <f t="shared" si="109"/>
        <v>NC_000022.10:g.[19937533T&gt;G];[19937533T&gt;G]</v>
      </c>
      <c r="AB273" s="3" t="str">
        <f t="shared" si="109"/>
        <v>00;0</v>
      </c>
    </row>
    <row r="274" spans="1:28">
      <c r="A274" s="26"/>
      <c r="C274" s="3" t="s">
        <v>70</v>
      </c>
      <c r="J274" s="3" t="str">
        <f t="shared" si="105"/>
        <v>Wildtype</v>
      </c>
      <c r="K274" s="3" t="str">
        <f t="shared" si="105"/>
        <v>NC_000022.10:g.[19951271=];[19951271=]</v>
      </c>
      <c r="L274" s="3" t="str">
        <f t="shared" si="105"/>
        <v>NC_000022.10:g.[19950235=];[19950235=]</v>
      </c>
      <c r="M274" s="3" t="str">
        <f t="shared" si="105"/>
        <v>NC_000022.10:g.[19931407=];[19931407=]</v>
      </c>
      <c r="P274" s="26"/>
      <c r="Q274" s="15"/>
      <c r="Y274" s="3" t="str">
        <f t="shared" ref="Y274:AB274" si="110">Y252</f>
        <v>Wildtype</v>
      </c>
      <c r="Z274" s="3" t="str">
        <f t="shared" si="110"/>
        <v>NC_000022.10:g.[19948337=];[19948337=]</v>
      </c>
      <c r="AA274" s="3" t="str">
        <f t="shared" si="110"/>
        <v>NC_000022.10:g.[19937533=];[19937533=]</v>
      </c>
      <c r="AB274" s="3" t="str">
        <f t="shared" si="110"/>
        <v>00;0</v>
      </c>
    </row>
    <row r="275" spans="1:28">
      <c r="A275" s="26"/>
      <c r="C275" s="3" t="str">
        <f>CONCATENATE("                    variantCall ",CHAR(40),CHAR(34),M272,CHAR(34),CHAR(41))</f>
        <v xml:space="preserve">                    variantCall ("NC_000022.10:g.[19931407T&gt;C];[19931407=]")</v>
      </c>
      <c r="J275" s="3" t="str">
        <f t="shared" si="105"/>
        <v>Het%</v>
      </c>
      <c r="K275" s="3">
        <f t="shared" si="105"/>
        <v>43</v>
      </c>
      <c r="L275" s="3">
        <f t="shared" si="105"/>
        <v>1.8</v>
      </c>
      <c r="M275" s="3">
        <f t="shared" si="105"/>
        <v>15.8</v>
      </c>
      <c r="P275" s="26"/>
      <c r="Q275" s="15"/>
      <c r="Y275" s="3" t="str">
        <f t="shared" ref="Y275:AB275" si="111">Y253</f>
        <v>Het%</v>
      </c>
      <c r="Z275" s="3">
        <f t="shared" si="111"/>
        <v>43</v>
      </c>
      <c r="AA275" s="3">
        <f t="shared" si="111"/>
        <v>1.8</v>
      </c>
      <c r="AB275" s="3">
        <f t="shared" si="111"/>
        <v>15.8</v>
      </c>
    </row>
    <row r="276" spans="1:28">
      <c r="A276" s="26"/>
      <c r="C276" s="3" t="str">
        <f>CONCATENATE("                  } &gt; ")</f>
        <v xml:space="preserve">                  } &gt; </v>
      </c>
      <c r="J276" s="3" t="str">
        <f t="shared" si="105"/>
        <v>Homo%</v>
      </c>
      <c r="K276" s="3">
        <f t="shared" si="105"/>
        <v>19.899999999999999</v>
      </c>
      <c r="L276" s="3">
        <f t="shared" si="105"/>
        <v>0.5</v>
      </c>
      <c r="M276" s="3">
        <f t="shared" si="105"/>
        <v>4.7</v>
      </c>
      <c r="P276" s="26"/>
      <c r="Q276" s="15"/>
      <c r="Y276" s="3" t="str">
        <f t="shared" ref="Y276:AB276" si="112">Y254</f>
        <v>Homo%</v>
      </c>
      <c r="Z276" s="3">
        <f t="shared" si="112"/>
        <v>19.899999999999999</v>
      </c>
      <c r="AA276" s="3">
        <f t="shared" si="112"/>
        <v>0.5</v>
      </c>
      <c r="AB276" s="3">
        <f t="shared" si="112"/>
        <v>4.7</v>
      </c>
    </row>
    <row r="277" spans="1:28">
      <c r="A277" s="14"/>
      <c r="J277" s="3" t="str">
        <f t="shared" si="105"/>
        <v>Wildtype%</v>
      </c>
      <c r="K277" s="3">
        <f t="shared" si="105"/>
        <v>37.1</v>
      </c>
      <c r="L277" s="3">
        <f t="shared" si="105"/>
        <v>97.8</v>
      </c>
      <c r="M277" s="3">
        <f t="shared" si="105"/>
        <v>79.5</v>
      </c>
      <c r="P277" s="14"/>
      <c r="Q277" s="15"/>
      <c r="Y277" s="3" t="str">
        <f t="shared" ref="Y277:AB277" si="113">Y255</f>
        <v>Wildtype%</v>
      </c>
      <c r="Z277" s="3">
        <f t="shared" si="113"/>
        <v>37.1</v>
      </c>
      <c r="AA277" s="3">
        <f t="shared" si="113"/>
        <v>97.8</v>
      </c>
      <c r="AB277" s="3">
        <f t="shared" si="113"/>
        <v>79.5</v>
      </c>
    </row>
    <row r="278" spans="1:28">
      <c r="A278" s="14"/>
      <c r="C278" s="3" t="s">
        <v>26</v>
      </c>
      <c r="P278" s="14"/>
      <c r="Q278" s="15"/>
    </row>
    <row r="279" spans="1:28">
      <c r="A279" s="14"/>
      <c r="P279" s="14"/>
      <c r="Q279" s="15"/>
    </row>
    <row r="280" spans="1:28">
      <c r="A280" s="14"/>
      <c r="C280" s="3" t="str">
        <f>CONCATENATE("    ",B271)</f>
        <v xml:space="preserve">    People with this variant have one copy of the [G158A](https://www.ncbi.nlm.nih.gov/pubmed/21059181) and [T19943884C](https://www.ncbi.nlm.nih.gov/pubmed/19540336) variants. This substitution of a single nucleotide is known as a missense mutation.</v>
      </c>
      <c r="P280" s="14"/>
      <c r="Q280" s="15"/>
    </row>
    <row r="281" spans="1:28">
      <c r="A281" s="14"/>
      <c r="P281" s="14"/>
      <c r="Q281" s="15"/>
    </row>
    <row r="282" spans="1:28">
      <c r="A282" s="26"/>
      <c r="C282" s="3" t="s">
        <v>29</v>
      </c>
      <c r="P282" s="26"/>
      <c r="Q282" s="15"/>
    </row>
    <row r="283" spans="1:28">
      <c r="A283" s="26"/>
      <c r="P283" s="26"/>
      <c r="Q283" s="15"/>
    </row>
    <row r="284" spans="1:28">
      <c r="A284" s="26"/>
      <c r="C284" s="3" t="str">
        <f>CONCATENATE(B272)</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84" s="26"/>
      <c r="Q284" s="15"/>
    </row>
    <row r="285" spans="1:28">
      <c r="A285" s="26"/>
      <c r="P285" s="26"/>
      <c r="Q285" s="15"/>
    </row>
    <row r="286" spans="1:28">
      <c r="A286" s="26"/>
      <c r="C286" s="3" t="s">
        <v>30</v>
      </c>
      <c r="P286" s="26"/>
      <c r="Q286" s="15"/>
    </row>
    <row r="287" spans="1:28">
      <c r="A287" s="26"/>
      <c r="P287" s="26"/>
      <c r="Q287" s="15"/>
    </row>
    <row r="288" spans="1:28">
      <c r="A288" s="26"/>
      <c r="C288" s="3" t="str">
        <f>CONCATENATE( "    &lt;piechart percentage=",B273," /&gt;")</f>
        <v xml:space="preserve">    &lt;piechart percentage= /&gt;</v>
      </c>
      <c r="P288" s="26"/>
      <c r="Q288" s="15"/>
    </row>
    <row r="289" spans="1:28">
      <c r="A289" s="26"/>
      <c r="C289" s="3" t="str">
        <f>"  &lt;/Analysis&gt;"</f>
        <v xml:space="preserve">  &lt;/Analysis&gt;</v>
      </c>
      <c r="K289" s="3" t="str">
        <f t="shared" ref="K289:M291" si="114">K267</f>
        <v>rs6691840</v>
      </c>
      <c r="L289" s="3" t="str">
        <f t="shared" si="114"/>
        <v>rs3913434</v>
      </c>
      <c r="M289" s="3" t="str">
        <f t="shared" si="114"/>
        <v>rs270838</v>
      </c>
      <c r="P289" s="26"/>
      <c r="Q289" s="15"/>
      <c r="Z289" s="3">
        <f t="shared" ref="Z289:AB289" si="115">Z267</f>
        <v>0</v>
      </c>
      <c r="AA289" s="3">
        <f t="shared" si="115"/>
        <v>0</v>
      </c>
      <c r="AB289" s="3">
        <f t="shared" si="115"/>
        <v>0</v>
      </c>
    </row>
    <row r="290" spans="1:28" s="21" customFormat="1">
      <c r="A290" s="28" t="s">
        <v>69</v>
      </c>
      <c r="B290" s="20" t="str">
        <f>CONCATENATE(B92," and ",B114)</f>
        <v>G158A (A;A) and C62T (C;T)</v>
      </c>
      <c r="C290" s="21" t="str">
        <f>CONCATENATE("&lt;# ",B290," #&gt;")</f>
        <v>&lt;# G158A (A;A) and C62T (C;T) #&gt;</v>
      </c>
      <c r="K290" s="21" t="str">
        <f t="shared" si="114"/>
        <v>G158A</v>
      </c>
      <c r="L290" s="21" t="str">
        <f t="shared" si="114"/>
        <v>C62T</v>
      </c>
      <c r="M290" s="21" t="str">
        <f t="shared" si="114"/>
        <v>T19943884C</v>
      </c>
      <c r="P290" s="28" t="s">
        <v>69</v>
      </c>
      <c r="Q290" s="20" t="str">
        <f>CONCATENATE(Q92," and ",Q114)</f>
        <v>T19950010G (G;G) and T19950010G (T;G)</v>
      </c>
      <c r="R290" s="21" t="str">
        <f>CONCATENATE("&lt;# ",Q290," #&gt;")</f>
        <v>&lt;# T19950010G (G;G) and T19950010G (T;G) #&gt;</v>
      </c>
      <c r="Z290" s="21" t="str">
        <f t="shared" ref="Z290:AB290" si="116">Z268</f>
        <v>T19960814C</v>
      </c>
      <c r="AA290" s="21" t="str">
        <f t="shared" si="116"/>
        <v>T19950010G</v>
      </c>
      <c r="AB290" s="21">
        <f t="shared" si="116"/>
        <v>0</v>
      </c>
    </row>
    <row r="291" spans="1:28">
      <c r="A291" s="14" t="s">
        <v>21</v>
      </c>
      <c r="B291" s="15" t="str">
        <f>K206</f>
        <v>NC_000022.10:g.[19951271G&gt;A];[19951271=]</v>
      </c>
      <c r="K291" s="3" t="str">
        <f t="shared" si="114"/>
        <v>NC_000022.10:g.</v>
      </c>
      <c r="L291" s="3" t="str">
        <f t="shared" si="114"/>
        <v>NC_000022.10:g.</v>
      </c>
      <c r="M291" s="3" t="str">
        <f t="shared" si="114"/>
        <v>NC_000022.10:g.</v>
      </c>
      <c r="P291" s="14" t="s">
        <v>21</v>
      </c>
      <c r="Q291" s="15" t="str">
        <f>Z206</f>
        <v>NC_000022.10:g.[19948337T&gt;C];[19948337=]</v>
      </c>
      <c r="Z291" s="3" t="str">
        <f t="shared" ref="Z291:AB291" si="117">Z269</f>
        <v>NC_000022.10:g.</v>
      </c>
      <c r="AA291" s="3" t="str">
        <f t="shared" si="117"/>
        <v>NC_000022.10:g.</v>
      </c>
      <c r="AB291" s="3">
        <f t="shared" si="117"/>
        <v>0</v>
      </c>
    </row>
    <row r="292" spans="1:28">
      <c r="A292" s="14" t="s">
        <v>71</v>
      </c>
      <c r="C292" s="3" t="str">
        <f>CONCATENATE("  &lt;Analysis name=",CHAR(34),B290,CHAR(34))</f>
        <v xml:space="preserve">  &lt;Analysis name="G158A (A;A) and C62T (C;T)"</v>
      </c>
      <c r="J292" s="3" t="str">
        <f t="shared" ref="J292:M299" si="118">J270</f>
        <v>Variant</v>
      </c>
      <c r="K292" s="3" t="str">
        <f t="shared" si="118"/>
        <v>[19951271G&gt;A]</v>
      </c>
      <c r="L292" s="3" t="str">
        <f t="shared" si="118"/>
        <v>[19950235C&gt;T]</v>
      </c>
      <c r="M292" s="3" t="str">
        <f t="shared" si="118"/>
        <v>[19931407T&gt;C]</v>
      </c>
      <c r="P292" s="14" t="s">
        <v>71</v>
      </c>
      <c r="Q292" s="15"/>
      <c r="R292" s="3" t="str">
        <f>CONCATENATE("  &lt;Analysis name=",CHAR(34),Q290,CHAR(34))</f>
        <v xml:space="preserve">  &lt;Analysis name="T19950010G (G;G) and T19950010G (T;G)"</v>
      </c>
      <c r="Y292" s="3" t="str">
        <f t="shared" ref="Y292:AB292" si="119">Y270</f>
        <v>Variant</v>
      </c>
      <c r="Z292" s="3" t="str">
        <f t="shared" si="119"/>
        <v>[19948337T&gt;C]</v>
      </c>
      <c r="AA292" s="3" t="str">
        <f t="shared" si="119"/>
        <v>[19937533T&gt;G]</v>
      </c>
      <c r="AB292" s="3">
        <f t="shared" si="119"/>
        <v>0</v>
      </c>
    </row>
    <row r="293" spans="1:28">
      <c r="A293" s="26" t="s">
        <v>74</v>
      </c>
      <c r="B293" s="15" t="str">
        <f>CONCATENATE("People with this variant have two copies of the ",B22," variant and one copy of the ",B31," variant. This substitution of a single nucleotide is known as a missense mutation.")</f>
        <v>People with this variant have two copies of the [G158A](https://www.ncbi.nlm.nih.gov/pubmed/21059181) variant and one copy of the [C62T](https://www.ncbi.nlm.nih.gov/pubmed/26891941) variant. This substitution of a single nucleotide is known as a missense mutation.</v>
      </c>
      <c r="C293" s="3" t="str">
        <f>CONCATENATE("            case={  variantCall ",CHAR(40),CHAR(34),K294,CHAR(34),CHAR(41))</f>
        <v xml:space="preserve">            case={  variantCall ("NC_000022.10:g.[19951271G&gt;A];[19951271=]")</v>
      </c>
      <c r="J293" s="3" t="str">
        <f t="shared" si="118"/>
        <v>Wildtype</v>
      </c>
      <c r="K293" s="3" t="str">
        <f t="shared" si="118"/>
        <v>[19951271=]</v>
      </c>
      <c r="L293" s="3" t="str">
        <f t="shared" si="118"/>
        <v>[19950235=]</v>
      </c>
      <c r="M293" s="3" t="str">
        <f t="shared" si="118"/>
        <v>[19931407=]</v>
      </c>
      <c r="P293" s="26" t="s">
        <v>74</v>
      </c>
      <c r="Q293" s="15" t="str">
        <f>CONCATENATE("People with this variant have two copies of the ",Q22," variant and one copy of the ",Q31," variant. This substitution of a single nucleotide is known as a missense mutation.")</f>
        <v>People with this variant have two copies of the [T19960814C](https://www.ncbi.nlm.nih.gov/pubmed/19772600) variant and one copy of the [T19950010G](https://www.ncbi.nlm.nih.gov/pubmed/19540336) variant. This substitution of a single nucleotide is known as a missense mutation.</v>
      </c>
      <c r="R293" s="3" t="str">
        <f>CONCATENATE("            case={  variantCall ",CHAR(40),CHAR(34),Z294,CHAR(34),CHAR(41))</f>
        <v xml:space="preserve">            case={  variantCall ("NC_000022.10:g.[19948337T&gt;C];[19948337=]")</v>
      </c>
      <c r="Y293" s="3" t="str">
        <f t="shared" ref="Y293:AB293" si="120">Y271</f>
        <v>Wildtype</v>
      </c>
      <c r="Z293" s="3" t="str">
        <f t="shared" si="120"/>
        <v>[19948337=]</v>
      </c>
      <c r="AA293" s="3" t="str">
        <f t="shared" si="120"/>
        <v>[19937533=]</v>
      </c>
      <c r="AB293" s="3">
        <f t="shared" si="120"/>
        <v>0</v>
      </c>
    </row>
    <row r="294" spans="1:28">
      <c r="A294" s="26" t="s">
        <v>28</v>
      </c>
      <c r="B294" s="3" t="s">
        <v>115</v>
      </c>
      <c r="C294" s="3" t="s">
        <v>70</v>
      </c>
      <c r="J294" s="3" t="str">
        <f t="shared" si="118"/>
        <v>Het</v>
      </c>
      <c r="K294" s="3" t="str">
        <f t="shared" si="118"/>
        <v>NC_000022.10:g.[19951271G&gt;A];[19951271=]</v>
      </c>
      <c r="L294" s="3" t="str">
        <f t="shared" si="118"/>
        <v>NC_000022.10:g.[19950235C&gt;T];[19950235=]</v>
      </c>
      <c r="M294" s="3" t="str">
        <f t="shared" si="118"/>
        <v>NC_000022.10:g.[19931407T&gt;C];[19931407=]</v>
      </c>
      <c r="P294" s="26" t="s">
        <v>28</v>
      </c>
      <c r="Q294" s="3" t="s">
        <v>115</v>
      </c>
      <c r="R294" s="3" t="s">
        <v>70</v>
      </c>
      <c r="Y294" s="3" t="str">
        <f t="shared" ref="Y294:AB294" si="121">Y272</f>
        <v>Het</v>
      </c>
      <c r="Z294" s="3" t="str">
        <f t="shared" si="121"/>
        <v>NC_000022.10:g.[19948337T&gt;C];[19948337=]</v>
      </c>
      <c r="AA294" s="3" t="str">
        <f t="shared" si="121"/>
        <v>NC_000022.10:g.[19937533T&gt;G];[19937533=]</v>
      </c>
      <c r="AB294" s="3" t="str">
        <f t="shared" si="121"/>
        <v>00;0</v>
      </c>
    </row>
    <row r="295" spans="1:28">
      <c r="A295" s="26" t="s">
        <v>72</v>
      </c>
      <c r="C295" s="3" t="str">
        <f>CONCATENATE("                    variantCall ",CHAR(40),CHAR(34),L294,CHAR(34),CHAR(41))</f>
        <v xml:space="preserve">                    variantCall ("NC_000022.10:g.[19950235C&gt;T];[19950235=]")</v>
      </c>
      <c r="J295" s="3" t="str">
        <f t="shared" si="118"/>
        <v>Homo</v>
      </c>
      <c r="K295" s="3" t="str">
        <f t="shared" si="118"/>
        <v>NC_000022.10:g.[19951271G&gt;A];[19951271G&gt;A]</v>
      </c>
      <c r="L295" s="3" t="str">
        <f t="shared" si="118"/>
        <v>NC_000022.10:g.[19950235C&gt;T];[19950235C&gt;T]</v>
      </c>
      <c r="M295" s="3" t="str">
        <f t="shared" si="118"/>
        <v>NC_000022.10:g.[19931407T&gt;C];[19931407T&gt;C]</v>
      </c>
      <c r="P295" s="26" t="s">
        <v>72</v>
      </c>
      <c r="Q295" s="15"/>
      <c r="R295" s="3" t="str">
        <f>CONCATENATE("                    variantCall ",CHAR(40),CHAR(34),AA294,CHAR(34),CHAR(41))</f>
        <v xml:space="preserve">                    variantCall ("NC_000022.10:g.[19937533T&gt;G];[19937533=]")</v>
      </c>
      <c r="Y295" s="3" t="str">
        <f t="shared" ref="Y295:AB295" si="122">Y273</f>
        <v>Homo</v>
      </c>
      <c r="Z295" s="3" t="str">
        <f t="shared" si="122"/>
        <v>NC_000022.10:g.[19948337T&gt;C];[19948337T&gt;C]</v>
      </c>
      <c r="AA295" s="3" t="str">
        <f t="shared" si="122"/>
        <v>NC_000022.10:g.[19937533T&gt;G];[19937533T&gt;G]</v>
      </c>
      <c r="AB295" s="3" t="str">
        <f t="shared" si="122"/>
        <v>00;0</v>
      </c>
    </row>
    <row r="296" spans="1:28">
      <c r="A296" s="26"/>
      <c r="C296" s="3" t="s">
        <v>70</v>
      </c>
      <c r="J296" s="3" t="str">
        <f t="shared" si="118"/>
        <v>Wildtype</v>
      </c>
      <c r="K296" s="3" t="str">
        <f t="shared" si="118"/>
        <v>NC_000022.10:g.[19951271=];[19951271=]</v>
      </c>
      <c r="L296" s="3" t="str">
        <f t="shared" si="118"/>
        <v>NC_000022.10:g.[19950235=];[19950235=]</v>
      </c>
      <c r="M296" s="3" t="str">
        <f t="shared" si="118"/>
        <v>NC_000022.10:g.[19931407=];[19931407=]</v>
      </c>
      <c r="P296" s="26"/>
      <c r="Q296" s="15"/>
      <c r="R296" s="3" t="s">
        <v>70</v>
      </c>
      <c r="Y296" s="3" t="str">
        <f t="shared" ref="Y296:AB296" si="123">Y274</f>
        <v>Wildtype</v>
      </c>
      <c r="Z296" s="3" t="str">
        <f t="shared" si="123"/>
        <v>NC_000022.10:g.[19948337=];[19948337=]</v>
      </c>
      <c r="AA296" s="3" t="str">
        <f t="shared" si="123"/>
        <v>NC_000022.10:g.[19937533=];[19937533=]</v>
      </c>
      <c r="AB296" s="3" t="str">
        <f t="shared" si="123"/>
        <v>00;0</v>
      </c>
    </row>
    <row r="297" spans="1:28">
      <c r="A297" s="26"/>
      <c r="C297" s="3" t="str">
        <f>CONCATENATE("                    variantCall ",CHAR(40),CHAR(34),M294,CHAR(34),CHAR(41))</f>
        <v xml:space="preserve">                    variantCall ("NC_000022.10:g.[19931407T&gt;C];[19931407=]")</v>
      </c>
      <c r="J297" s="3" t="str">
        <f t="shared" si="118"/>
        <v>Het%</v>
      </c>
      <c r="K297" s="3">
        <f t="shared" si="118"/>
        <v>43</v>
      </c>
      <c r="L297" s="3">
        <f t="shared" si="118"/>
        <v>1.8</v>
      </c>
      <c r="M297" s="3">
        <f t="shared" si="118"/>
        <v>15.8</v>
      </c>
      <c r="P297" s="26"/>
      <c r="Q297" s="15"/>
      <c r="R297" s="3" t="str">
        <f>CONCATENATE("                    variantCall ",CHAR(40),CHAR(34),AB294,CHAR(34),CHAR(41))</f>
        <v xml:space="preserve">                    variantCall ("00;0")</v>
      </c>
      <c r="Y297" s="3" t="str">
        <f t="shared" ref="Y297:AB297" si="124">Y275</f>
        <v>Het%</v>
      </c>
      <c r="Z297" s="3">
        <f t="shared" si="124"/>
        <v>43</v>
      </c>
      <c r="AA297" s="3">
        <f t="shared" si="124"/>
        <v>1.8</v>
      </c>
      <c r="AB297" s="3">
        <f t="shared" si="124"/>
        <v>15.8</v>
      </c>
    </row>
    <row r="298" spans="1:28">
      <c r="A298" s="26"/>
      <c r="C298" s="3" t="str">
        <f>CONCATENATE("                  } &gt; ")</f>
        <v xml:space="preserve">                  } &gt; </v>
      </c>
      <c r="J298" s="3" t="str">
        <f t="shared" si="118"/>
        <v>Homo%</v>
      </c>
      <c r="K298" s="3">
        <f t="shared" si="118"/>
        <v>19.899999999999999</v>
      </c>
      <c r="L298" s="3">
        <f t="shared" si="118"/>
        <v>0.5</v>
      </c>
      <c r="M298" s="3">
        <f t="shared" si="118"/>
        <v>4.7</v>
      </c>
      <c r="P298" s="26"/>
      <c r="Q298" s="15"/>
      <c r="R298" s="3" t="str">
        <f>CONCATENATE("                  } &gt; ")</f>
        <v xml:space="preserve">                  } &gt; </v>
      </c>
      <c r="Y298" s="3" t="str">
        <f t="shared" ref="Y298:AB298" si="125">Y276</f>
        <v>Homo%</v>
      </c>
      <c r="Z298" s="3">
        <f t="shared" si="125"/>
        <v>19.899999999999999</v>
      </c>
      <c r="AA298" s="3">
        <f t="shared" si="125"/>
        <v>0.5</v>
      </c>
      <c r="AB298" s="3">
        <f t="shared" si="125"/>
        <v>4.7</v>
      </c>
    </row>
    <row r="299" spans="1:28">
      <c r="A299" s="14"/>
      <c r="J299" s="3" t="str">
        <f t="shared" si="118"/>
        <v>Wildtype%</v>
      </c>
      <c r="K299" s="3">
        <f t="shared" si="118"/>
        <v>37.1</v>
      </c>
      <c r="L299" s="3">
        <f t="shared" si="118"/>
        <v>97.8</v>
      </c>
      <c r="M299" s="3">
        <f t="shared" si="118"/>
        <v>79.5</v>
      </c>
      <c r="P299" s="14"/>
      <c r="Q299" s="15"/>
      <c r="Y299" s="3" t="str">
        <f t="shared" ref="Y299:AB299" si="126">Y277</f>
        <v>Wildtype%</v>
      </c>
      <c r="Z299" s="3">
        <f t="shared" si="126"/>
        <v>37.1</v>
      </c>
      <c r="AA299" s="3">
        <f t="shared" si="126"/>
        <v>97.8</v>
      </c>
      <c r="AB299" s="3">
        <f t="shared" si="126"/>
        <v>79.5</v>
      </c>
    </row>
    <row r="300" spans="1:28">
      <c r="A300" s="14"/>
      <c r="C300" s="3" t="s">
        <v>26</v>
      </c>
      <c r="P300" s="14"/>
      <c r="Q300" s="15"/>
      <c r="R300" s="3" t="s">
        <v>26</v>
      </c>
    </row>
    <row r="301" spans="1:28">
      <c r="A301" s="14"/>
      <c r="P301" s="14"/>
      <c r="Q301" s="15"/>
    </row>
    <row r="302" spans="1:28">
      <c r="A302" s="14"/>
      <c r="C302" s="3" t="str">
        <f>CONCATENATE("    ",B293)</f>
        <v xml:space="preserve">    People with this variant have two copies of the [G158A](https://www.ncbi.nlm.nih.gov/pubmed/21059181) variant and one copy of the [C62T](https://www.ncbi.nlm.nih.gov/pubmed/26891941) variant. This substitution of a single nucleotide is known as a missense mutation.</v>
      </c>
      <c r="P302" s="14"/>
      <c r="Q302" s="15"/>
      <c r="R302" s="3" t="str">
        <f>CONCATENATE("    ",Q293)</f>
        <v xml:space="preserve">    People with this variant have two copies of the [T19960814C](https://www.ncbi.nlm.nih.gov/pubmed/19772600) variant and one copy of the [T19950010G](https://www.ncbi.nlm.nih.gov/pubmed/19540336) variant. This substitution of a single nucleotide is known as a missense mutation.</v>
      </c>
    </row>
    <row r="303" spans="1:28">
      <c r="A303" s="14"/>
      <c r="P303" s="14"/>
      <c r="Q303" s="15"/>
    </row>
    <row r="304" spans="1:28">
      <c r="A304" s="26"/>
      <c r="C304" s="3" t="s">
        <v>29</v>
      </c>
      <c r="P304" s="26"/>
      <c r="Q304" s="15"/>
      <c r="R304" s="3" t="s">
        <v>29</v>
      </c>
    </row>
    <row r="305" spans="1:28">
      <c r="A305" s="26"/>
      <c r="P305" s="26"/>
      <c r="Q305" s="15"/>
    </row>
    <row r="306" spans="1:28">
      <c r="A306" s="26"/>
      <c r="C306" s="3" t="str">
        <f>CONCATENATE(B294)</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06" s="26"/>
      <c r="Q306" s="15"/>
      <c r="R306" s="3" t="str">
        <f>CONCATENATE(Q294)</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307" spans="1:28">
      <c r="A307" s="26"/>
      <c r="P307" s="26"/>
      <c r="Q307" s="15"/>
    </row>
    <row r="308" spans="1:28">
      <c r="A308" s="26"/>
      <c r="C308" s="3" t="s">
        <v>30</v>
      </c>
      <c r="P308" s="26"/>
      <c r="Q308" s="15"/>
      <c r="R308" s="3" t="s">
        <v>30</v>
      </c>
    </row>
    <row r="309" spans="1:28">
      <c r="A309" s="26"/>
      <c r="P309" s="26"/>
      <c r="Q309" s="15"/>
    </row>
    <row r="310" spans="1:28">
      <c r="A310" s="26"/>
      <c r="C310" s="3" t="str">
        <f>CONCATENATE( "    &lt;piechart percentage=",B295," /&gt;")</f>
        <v xml:space="preserve">    &lt;piechart percentage= /&gt;</v>
      </c>
      <c r="P310" s="26"/>
      <c r="Q310" s="15"/>
      <c r="R310" s="3" t="str">
        <f>CONCATENATE( "    &lt;piechart percentage=",Q295," /&gt;")</f>
        <v xml:space="preserve">    &lt;piechart percentage= /&gt;</v>
      </c>
    </row>
    <row r="311" spans="1:28">
      <c r="A311" s="26"/>
      <c r="C311" s="3" t="str">
        <f>"  &lt;/Analysis&gt;"</f>
        <v xml:space="preserve">  &lt;/Analysis&gt;</v>
      </c>
      <c r="K311" s="3" t="str">
        <f t="shared" ref="K311:M313" si="127">K289</f>
        <v>rs6691840</v>
      </c>
      <c r="L311" s="3" t="str">
        <f t="shared" si="127"/>
        <v>rs3913434</v>
      </c>
      <c r="M311" s="3" t="str">
        <f t="shared" si="127"/>
        <v>rs270838</v>
      </c>
      <c r="P311" s="26"/>
      <c r="Q311" s="15"/>
      <c r="R311" s="3" t="str">
        <f>"  &lt;/Analysis&gt;"</f>
        <v xml:space="preserve">  &lt;/Analysis&gt;</v>
      </c>
      <c r="Z311" s="3">
        <f t="shared" ref="Z311:AB311" si="128">Z289</f>
        <v>0</v>
      </c>
      <c r="AA311" s="3">
        <f t="shared" si="128"/>
        <v>0</v>
      </c>
      <c r="AB311" s="3">
        <f t="shared" si="128"/>
        <v>0</v>
      </c>
    </row>
    <row r="312" spans="1:28" s="21" customFormat="1">
      <c r="A312" s="28" t="s">
        <v>69</v>
      </c>
      <c r="B312" s="20" t="str">
        <f>CONCATENATE(B92," and ",B158)</f>
        <v>G158A (A;A) and T19943884C (T;C)</v>
      </c>
      <c r="C312" s="21" t="str">
        <f>CONCATENATE("&lt;# ",B312," #&gt;")</f>
        <v>&lt;# G158A (A;A) and T19943884C (T;C) #&gt;</v>
      </c>
      <c r="K312" s="21" t="str">
        <f t="shared" si="127"/>
        <v>G158A</v>
      </c>
      <c r="L312" s="21" t="str">
        <f t="shared" si="127"/>
        <v>C62T</v>
      </c>
      <c r="M312" s="21" t="str">
        <f t="shared" si="127"/>
        <v>T19943884C</v>
      </c>
      <c r="P312" s="28" t="s">
        <v>69</v>
      </c>
      <c r="Q312" s="20"/>
      <c r="Z312" s="21" t="str">
        <f t="shared" ref="Z312:AB312" si="129">Z290</f>
        <v>T19960814C</v>
      </c>
      <c r="AA312" s="21" t="str">
        <f t="shared" si="129"/>
        <v>T19950010G</v>
      </c>
      <c r="AB312" s="21">
        <f t="shared" si="129"/>
        <v>0</v>
      </c>
    </row>
    <row r="313" spans="1:28">
      <c r="A313" s="14" t="s">
        <v>21</v>
      </c>
      <c r="B313" s="15" t="str">
        <f>K228</f>
        <v>NC_000022.10:g.[19951271G&gt;A];[19951271=]</v>
      </c>
      <c r="K313" s="3" t="str">
        <f t="shared" si="127"/>
        <v>NC_000022.10:g.</v>
      </c>
      <c r="L313" s="3" t="str">
        <f t="shared" si="127"/>
        <v>NC_000022.10:g.</v>
      </c>
      <c r="M313" s="3" t="str">
        <f t="shared" si="127"/>
        <v>NC_000022.10:g.</v>
      </c>
      <c r="P313" s="14" t="s">
        <v>21</v>
      </c>
      <c r="Q313" s="15"/>
      <c r="Z313" s="3" t="str">
        <f t="shared" ref="Z313:AB313" si="130">Z291</f>
        <v>NC_000022.10:g.</v>
      </c>
      <c r="AA313" s="3" t="str">
        <f t="shared" si="130"/>
        <v>NC_000022.10:g.</v>
      </c>
      <c r="AB313" s="3">
        <f t="shared" si="130"/>
        <v>0</v>
      </c>
    </row>
    <row r="314" spans="1:28">
      <c r="A314" s="14" t="s">
        <v>71</v>
      </c>
      <c r="C314" s="3" t="str">
        <f>CONCATENATE("  &lt;Analysis name=",CHAR(34),B312,CHAR(34))</f>
        <v xml:space="preserve">  &lt;Analysis name="G158A (A;A) and T19943884C (T;C)"</v>
      </c>
      <c r="J314" s="3" t="str">
        <f t="shared" ref="J314:M321" si="131">J292</f>
        <v>Variant</v>
      </c>
      <c r="K314" s="3" t="str">
        <f t="shared" si="131"/>
        <v>[19951271G&gt;A]</v>
      </c>
      <c r="L314" s="3" t="str">
        <f t="shared" si="131"/>
        <v>[19950235C&gt;T]</v>
      </c>
      <c r="M314" s="3" t="str">
        <f t="shared" si="131"/>
        <v>[19931407T&gt;C]</v>
      </c>
      <c r="P314" s="14" t="s">
        <v>71</v>
      </c>
      <c r="Q314" s="15"/>
      <c r="Y314" s="3" t="str">
        <f t="shared" ref="Y314:AB314" si="132">Y292</f>
        <v>Variant</v>
      </c>
      <c r="Z314" s="3" t="str">
        <f t="shared" si="132"/>
        <v>[19948337T&gt;C]</v>
      </c>
      <c r="AA314" s="3" t="str">
        <f t="shared" si="132"/>
        <v>[19937533T&gt;G]</v>
      </c>
      <c r="AB314" s="3">
        <f t="shared" si="132"/>
        <v>0</v>
      </c>
    </row>
    <row r="315" spans="1:28">
      <c r="A315" s="26" t="s">
        <v>74</v>
      </c>
      <c r="B315" s="15" t="str">
        <f>CONCATENATE("People with this variant have two copies of the ",B22," variant and one copy of the ",B40," variant. This substitution of a single nucleotide is known as a missense mutation.")</f>
        <v>People with this variant have two copies of the [G158A](https://www.ncbi.nlm.nih.gov/pubmed/21059181) variant and one copy of the [T19943884C](https://www.ncbi.nlm.nih.gov/pubmed/19540336) variant. This substitution of a single nucleotide is known as a missense mutation.</v>
      </c>
      <c r="C315" s="3" t="str">
        <f>CONCATENATE("            case={  variantCall ",CHAR(40),CHAR(34),K316,CHAR(34),CHAR(41))</f>
        <v xml:space="preserve">            case={  variantCall ("NC_000022.10:g.[19951271G&gt;A];[19951271=]")</v>
      </c>
      <c r="J315" s="3" t="str">
        <f t="shared" si="131"/>
        <v>Wildtype</v>
      </c>
      <c r="K315" s="3" t="str">
        <f t="shared" si="131"/>
        <v>[19951271=]</v>
      </c>
      <c r="L315" s="3" t="str">
        <f t="shared" si="131"/>
        <v>[19950235=]</v>
      </c>
      <c r="M315" s="3" t="str">
        <f t="shared" si="131"/>
        <v>[19931407=]</v>
      </c>
      <c r="P315" s="26" t="s">
        <v>74</v>
      </c>
      <c r="Q315" s="15"/>
      <c r="Y315" s="3" t="str">
        <f t="shared" ref="Y315:AB315" si="133">Y293</f>
        <v>Wildtype</v>
      </c>
      <c r="Z315" s="3" t="str">
        <f t="shared" si="133"/>
        <v>[19948337=]</v>
      </c>
      <c r="AA315" s="3" t="str">
        <f t="shared" si="133"/>
        <v>[19937533=]</v>
      </c>
      <c r="AB315" s="3">
        <f t="shared" si="133"/>
        <v>0</v>
      </c>
    </row>
    <row r="316" spans="1:28">
      <c r="A316" s="26" t="s">
        <v>28</v>
      </c>
      <c r="B316" s="15" t="s">
        <v>116</v>
      </c>
      <c r="C316" s="3" t="s">
        <v>70</v>
      </c>
      <c r="J316" s="3" t="str">
        <f t="shared" si="131"/>
        <v>Het</v>
      </c>
      <c r="K316" s="3" t="str">
        <f t="shared" si="131"/>
        <v>NC_000022.10:g.[19951271G&gt;A];[19951271=]</v>
      </c>
      <c r="L316" s="3" t="str">
        <f t="shared" si="131"/>
        <v>NC_000022.10:g.[19950235C&gt;T];[19950235=]</v>
      </c>
      <c r="M316" s="3" t="str">
        <f t="shared" si="131"/>
        <v>NC_000022.10:g.[19931407T&gt;C];[19931407=]</v>
      </c>
      <c r="P316" s="26" t="s">
        <v>28</v>
      </c>
      <c r="Q316" s="15"/>
      <c r="Y316" s="3" t="str">
        <f t="shared" ref="Y316:AB316" si="134">Y294</f>
        <v>Het</v>
      </c>
      <c r="Z316" s="3" t="str">
        <f t="shared" si="134"/>
        <v>NC_000022.10:g.[19948337T&gt;C];[19948337=]</v>
      </c>
      <c r="AA316" s="3" t="str">
        <f t="shared" si="134"/>
        <v>NC_000022.10:g.[19937533T&gt;G];[19937533=]</v>
      </c>
      <c r="AB316" s="3" t="str">
        <f t="shared" si="134"/>
        <v>00;0</v>
      </c>
    </row>
    <row r="317" spans="1:28">
      <c r="A317" s="26" t="s">
        <v>72</v>
      </c>
      <c r="C317" s="3" t="str">
        <f>CONCATENATE("                    variantCall ",CHAR(40),CHAR(34),L316,CHAR(34),CHAR(41))</f>
        <v xml:space="preserve">                    variantCall ("NC_000022.10:g.[19950235C&gt;T];[19950235=]")</v>
      </c>
      <c r="J317" s="3" t="str">
        <f t="shared" si="131"/>
        <v>Homo</v>
      </c>
      <c r="K317" s="3" t="str">
        <f t="shared" si="131"/>
        <v>NC_000022.10:g.[19951271G&gt;A];[19951271G&gt;A]</v>
      </c>
      <c r="L317" s="3" t="str">
        <f t="shared" si="131"/>
        <v>NC_000022.10:g.[19950235C&gt;T];[19950235C&gt;T]</v>
      </c>
      <c r="M317" s="3" t="str">
        <f t="shared" si="131"/>
        <v>NC_000022.10:g.[19931407T&gt;C];[19931407T&gt;C]</v>
      </c>
      <c r="P317" s="26" t="s">
        <v>72</v>
      </c>
      <c r="Q317" s="15"/>
      <c r="Y317" s="3" t="str">
        <f t="shared" ref="Y317:AB317" si="135">Y295</f>
        <v>Homo</v>
      </c>
      <c r="Z317" s="3" t="str">
        <f t="shared" si="135"/>
        <v>NC_000022.10:g.[19948337T&gt;C];[19948337T&gt;C]</v>
      </c>
      <c r="AA317" s="3" t="str">
        <f t="shared" si="135"/>
        <v>NC_000022.10:g.[19937533T&gt;G];[19937533T&gt;G]</v>
      </c>
      <c r="AB317" s="3" t="str">
        <f t="shared" si="135"/>
        <v>00;0</v>
      </c>
    </row>
    <row r="318" spans="1:28">
      <c r="A318" s="26"/>
      <c r="C318" s="3" t="s">
        <v>70</v>
      </c>
      <c r="J318" s="3" t="str">
        <f t="shared" si="131"/>
        <v>Wildtype</v>
      </c>
      <c r="K318" s="3" t="str">
        <f t="shared" si="131"/>
        <v>NC_000022.10:g.[19951271=];[19951271=]</v>
      </c>
      <c r="L318" s="3" t="str">
        <f t="shared" si="131"/>
        <v>NC_000022.10:g.[19950235=];[19950235=]</v>
      </c>
      <c r="M318" s="3" t="str">
        <f t="shared" si="131"/>
        <v>NC_000022.10:g.[19931407=];[19931407=]</v>
      </c>
      <c r="P318" s="26"/>
      <c r="Q318" s="15"/>
      <c r="Y318" s="3" t="str">
        <f t="shared" ref="Y318:AB318" si="136">Y296</f>
        <v>Wildtype</v>
      </c>
      <c r="Z318" s="3" t="str">
        <f t="shared" si="136"/>
        <v>NC_000022.10:g.[19948337=];[19948337=]</v>
      </c>
      <c r="AA318" s="3" t="str">
        <f t="shared" si="136"/>
        <v>NC_000022.10:g.[19937533=];[19937533=]</v>
      </c>
      <c r="AB318" s="3" t="str">
        <f t="shared" si="136"/>
        <v>00;0</v>
      </c>
    </row>
    <row r="319" spans="1:28">
      <c r="A319" s="26"/>
      <c r="C319" s="3" t="str">
        <f>CONCATENATE("                    variantCall ",CHAR(40),CHAR(34),M316,CHAR(34),CHAR(41))</f>
        <v xml:space="preserve">                    variantCall ("NC_000022.10:g.[19931407T&gt;C];[19931407=]")</v>
      </c>
      <c r="J319" s="3" t="str">
        <f t="shared" si="131"/>
        <v>Het%</v>
      </c>
      <c r="K319" s="3">
        <f t="shared" si="131"/>
        <v>43</v>
      </c>
      <c r="L319" s="3">
        <f t="shared" si="131"/>
        <v>1.8</v>
      </c>
      <c r="M319" s="3">
        <f t="shared" si="131"/>
        <v>15.8</v>
      </c>
      <c r="P319" s="26"/>
      <c r="Q319" s="15"/>
      <c r="Y319" s="3" t="str">
        <f t="shared" ref="Y319:AB319" si="137">Y297</f>
        <v>Het%</v>
      </c>
      <c r="Z319" s="3">
        <f t="shared" si="137"/>
        <v>43</v>
      </c>
      <c r="AA319" s="3">
        <f t="shared" si="137"/>
        <v>1.8</v>
      </c>
      <c r="AB319" s="3">
        <f t="shared" si="137"/>
        <v>15.8</v>
      </c>
    </row>
    <row r="320" spans="1:28">
      <c r="A320" s="26"/>
      <c r="C320" s="3" t="str">
        <f>CONCATENATE("                  } &gt; ")</f>
        <v xml:space="preserve">                  } &gt; </v>
      </c>
      <c r="J320" s="3" t="str">
        <f t="shared" si="131"/>
        <v>Homo%</v>
      </c>
      <c r="K320" s="3">
        <f t="shared" si="131"/>
        <v>19.899999999999999</v>
      </c>
      <c r="L320" s="3">
        <f t="shared" si="131"/>
        <v>0.5</v>
      </c>
      <c r="M320" s="3">
        <f t="shared" si="131"/>
        <v>4.7</v>
      </c>
      <c r="P320" s="26"/>
      <c r="Q320" s="15"/>
      <c r="Y320" s="3" t="str">
        <f t="shared" ref="Y320:AB320" si="138">Y298</f>
        <v>Homo%</v>
      </c>
      <c r="Z320" s="3">
        <f t="shared" si="138"/>
        <v>19.899999999999999</v>
      </c>
      <c r="AA320" s="3">
        <f t="shared" si="138"/>
        <v>0.5</v>
      </c>
      <c r="AB320" s="3">
        <f t="shared" si="138"/>
        <v>4.7</v>
      </c>
    </row>
    <row r="321" spans="1:28">
      <c r="A321" s="14"/>
      <c r="J321" s="3" t="str">
        <f t="shared" si="131"/>
        <v>Wildtype%</v>
      </c>
      <c r="K321" s="3">
        <f t="shared" si="131"/>
        <v>37.1</v>
      </c>
      <c r="L321" s="3">
        <f t="shared" si="131"/>
        <v>97.8</v>
      </c>
      <c r="M321" s="3">
        <f t="shared" si="131"/>
        <v>79.5</v>
      </c>
      <c r="P321" s="14"/>
      <c r="Q321" s="15"/>
      <c r="Y321" s="3" t="str">
        <f t="shared" ref="Y321:AB321" si="139">Y299</f>
        <v>Wildtype%</v>
      </c>
      <c r="Z321" s="3">
        <f t="shared" si="139"/>
        <v>37.1</v>
      </c>
      <c r="AA321" s="3">
        <f t="shared" si="139"/>
        <v>97.8</v>
      </c>
      <c r="AB321" s="3">
        <f t="shared" si="139"/>
        <v>79.5</v>
      </c>
    </row>
    <row r="322" spans="1:28">
      <c r="A322" s="14"/>
      <c r="C322" s="3" t="s">
        <v>26</v>
      </c>
      <c r="P322" s="14"/>
      <c r="Q322" s="15"/>
    </row>
    <row r="323" spans="1:28">
      <c r="A323" s="14"/>
      <c r="P323" s="14"/>
      <c r="Q323" s="15"/>
    </row>
    <row r="324" spans="1:28">
      <c r="A324" s="14"/>
      <c r="C324" s="3" t="str">
        <f>CONCATENATE("    ",B315)</f>
        <v xml:space="preserve">    People with this variant have two copies of the [G158A](https://www.ncbi.nlm.nih.gov/pubmed/21059181) variant and one copy of the [T19943884C](https://www.ncbi.nlm.nih.gov/pubmed/19540336) variant. This substitution of a single nucleotide is known as a missense mutation.</v>
      </c>
      <c r="P324" s="14"/>
      <c r="Q324" s="15"/>
    </row>
    <row r="325" spans="1:28">
      <c r="A325" s="14"/>
      <c r="P325" s="14"/>
      <c r="Q325" s="15"/>
    </row>
    <row r="326" spans="1:28">
      <c r="A326" s="26"/>
      <c r="C326" s="3" t="s">
        <v>29</v>
      </c>
      <c r="P326" s="26"/>
      <c r="Q326" s="15"/>
    </row>
    <row r="327" spans="1:28">
      <c r="A327" s="26"/>
      <c r="P327" s="26"/>
      <c r="Q327" s="15"/>
    </row>
    <row r="328" spans="1:28">
      <c r="A328" s="26"/>
      <c r="C328" s="3" t="str">
        <f>CONCATENATE(B316)</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28" s="26"/>
      <c r="Q328" s="15"/>
    </row>
    <row r="329" spans="1:28">
      <c r="A329" s="26"/>
      <c r="P329" s="26"/>
      <c r="Q329" s="15"/>
    </row>
    <row r="330" spans="1:28">
      <c r="A330" s="26"/>
      <c r="C330" s="3" t="s">
        <v>30</v>
      </c>
      <c r="P330" s="26"/>
      <c r="Q330" s="15"/>
    </row>
    <row r="331" spans="1:28">
      <c r="A331" s="26"/>
      <c r="P331" s="26"/>
      <c r="Q331" s="15"/>
    </row>
    <row r="332" spans="1:28">
      <c r="A332" s="26"/>
      <c r="C332" s="3" t="str">
        <f>CONCATENATE( "    &lt;piechart percentage=",B317," /&gt;")</f>
        <v xml:space="preserve">    &lt;piechart percentage= /&gt;</v>
      </c>
      <c r="P332" s="26"/>
      <c r="Q332" s="15"/>
    </row>
    <row r="333" spans="1:28">
      <c r="A333" s="26"/>
      <c r="C333" s="3" t="str">
        <f>"  &lt;/Analysis&gt;"</f>
        <v xml:space="preserve">  &lt;/Analysis&gt;</v>
      </c>
      <c r="K333" s="3" t="str">
        <f t="shared" ref="K333:M335" si="140">K311</f>
        <v>rs6691840</v>
      </c>
      <c r="L333" s="3" t="str">
        <f t="shared" si="140"/>
        <v>rs3913434</v>
      </c>
      <c r="M333" s="3" t="str">
        <f t="shared" si="140"/>
        <v>rs270838</v>
      </c>
      <c r="P333" s="26"/>
      <c r="Q333" s="15"/>
      <c r="Z333" s="3">
        <f t="shared" ref="Z333:AB333" si="141">Z311</f>
        <v>0</v>
      </c>
      <c r="AA333" s="3">
        <f t="shared" si="141"/>
        <v>0</v>
      </c>
      <c r="AB333" s="3">
        <f t="shared" si="141"/>
        <v>0</v>
      </c>
    </row>
    <row r="334" spans="1:28" s="21" customFormat="1">
      <c r="A334" s="28" t="s">
        <v>69</v>
      </c>
      <c r="B334" s="20" t="str">
        <f>CONCATENATE(B114," and ",B158)</f>
        <v>C62T (C;T) and T19943884C (T;C)</v>
      </c>
      <c r="C334" s="21" t="str">
        <f>CONCATENATE("&lt;# ",B334," #&gt;")</f>
        <v>&lt;# C62T (C;T) and T19943884C (T;C) #&gt;</v>
      </c>
      <c r="K334" s="21" t="str">
        <f t="shared" si="140"/>
        <v>G158A</v>
      </c>
      <c r="L334" s="21" t="str">
        <f t="shared" si="140"/>
        <v>C62T</v>
      </c>
      <c r="M334" s="21" t="str">
        <f t="shared" si="140"/>
        <v>T19943884C</v>
      </c>
      <c r="P334" s="28" t="s">
        <v>69</v>
      </c>
      <c r="Q334" s="20"/>
      <c r="Z334" s="21" t="str">
        <f t="shared" ref="Z334:AB334" si="142">Z312</f>
        <v>T19960814C</v>
      </c>
      <c r="AA334" s="21" t="str">
        <f t="shared" si="142"/>
        <v>T19950010G</v>
      </c>
      <c r="AB334" s="21">
        <f t="shared" si="142"/>
        <v>0</v>
      </c>
    </row>
    <row r="335" spans="1:28">
      <c r="A335" s="14" t="s">
        <v>21</v>
      </c>
      <c r="B335" s="15" t="str">
        <f>K250</f>
        <v>NC_000022.10:g.[19951271G&gt;A];[19951271=]</v>
      </c>
      <c r="K335" s="3" t="str">
        <f t="shared" si="140"/>
        <v>NC_000022.10:g.</v>
      </c>
      <c r="L335" s="3" t="str">
        <f t="shared" si="140"/>
        <v>NC_000022.10:g.</v>
      </c>
      <c r="M335" s="3" t="str">
        <f t="shared" si="140"/>
        <v>NC_000022.10:g.</v>
      </c>
      <c r="P335" s="14" t="s">
        <v>21</v>
      </c>
      <c r="Q335" s="15"/>
      <c r="Z335" s="3" t="str">
        <f t="shared" ref="Z335:AB335" si="143">Z313</f>
        <v>NC_000022.10:g.</v>
      </c>
      <c r="AA335" s="3" t="str">
        <f t="shared" si="143"/>
        <v>NC_000022.10:g.</v>
      </c>
      <c r="AB335" s="3">
        <f t="shared" si="143"/>
        <v>0</v>
      </c>
    </row>
    <row r="336" spans="1:28">
      <c r="A336" s="14" t="s">
        <v>71</v>
      </c>
      <c r="C336" s="3" t="str">
        <f>CONCATENATE("  &lt;Analysis name=",CHAR(34),B334,CHAR(34))</f>
        <v xml:space="preserve">  &lt;Analysis name="C62T (C;T) and T19943884C (T;C)"</v>
      </c>
      <c r="J336" s="3" t="str">
        <f t="shared" ref="J336:M343" si="144">J314</f>
        <v>Variant</v>
      </c>
      <c r="K336" s="3" t="str">
        <f t="shared" si="144"/>
        <v>[19951271G&gt;A]</v>
      </c>
      <c r="L336" s="3" t="str">
        <f t="shared" si="144"/>
        <v>[19950235C&gt;T]</v>
      </c>
      <c r="M336" s="3" t="str">
        <f t="shared" si="144"/>
        <v>[19931407T&gt;C]</v>
      </c>
      <c r="P336" s="14" t="s">
        <v>71</v>
      </c>
      <c r="Q336" s="15"/>
      <c r="Y336" s="3" t="str">
        <f t="shared" ref="Y336:AB336" si="145">Y314</f>
        <v>Variant</v>
      </c>
      <c r="Z336" s="3" t="str">
        <f t="shared" si="145"/>
        <v>[19948337T&gt;C]</v>
      </c>
      <c r="AA336" s="3" t="str">
        <f t="shared" si="145"/>
        <v>[19937533T&gt;G]</v>
      </c>
      <c r="AB336" s="3">
        <f t="shared" si="145"/>
        <v>0</v>
      </c>
    </row>
    <row r="337" spans="1:28">
      <c r="A337" s="26" t="s">
        <v>74</v>
      </c>
      <c r="B337" s="15" t="str">
        <f>CONCATENATE("People with this variant have one copy of the ",B31," and ",B40," variants. This substitution of a single nucleotide is known as a missense mutation.")</f>
        <v>People with this variant have one copy of the [C62T](https://www.ncbi.nlm.nih.gov/pubmed/26891941) and [T19943884C](https://www.ncbi.nlm.nih.gov/pubmed/19540336) variants. This substitution of a single nucleotide is known as a missense mutation.</v>
      </c>
      <c r="C337" s="3" t="str">
        <f>CONCATENATE("            case={  variantCall ",CHAR(40),CHAR(34),L338,CHAR(34),CHAR(41))</f>
        <v xml:space="preserve">            case={  variantCall ("NC_000022.10:g.[19950235C&gt;T];[19950235=]")</v>
      </c>
      <c r="J337" s="3" t="str">
        <f t="shared" si="144"/>
        <v>Wildtype</v>
      </c>
      <c r="K337" s="3" t="str">
        <f t="shared" si="144"/>
        <v>[19951271=]</v>
      </c>
      <c r="L337" s="3" t="str">
        <f t="shared" si="144"/>
        <v>[19950235=]</v>
      </c>
      <c r="M337" s="3" t="str">
        <f t="shared" si="144"/>
        <v>[19931407=]</v>
      </c>
      <c r="P337" s="26" t="s">
        <v>74</v>
      </c>
      <c r="Q337" s="15"/>
      <c r="Y337" s="3" t="str">
        <f t="shared" ref="Y337:AB337" si="146">Y315</f>
        <v>Wildtype</v>
      </c>
      <c r="Z337" s="3" t="str">
        <f t="shared" si="146"/>
        <v>[19948337=]</v>
      </c>
      <c r="AA337" s="3" t="str">
        <f t="shared" si="146"/>
        <v>[19937533=]</v>
      </c>
      <c r="AB337" s="3">
        <f t="shared" si="146"/>
        <v>0</v>
      </c>
    </row>
    <row r="338" spans="1:28" ht="409.5">
      <c r="A338" s="26" t="s">
        <v>28</v>
      </c>
      <c r="B338" s="36" t="s">
        <v>117</v>
      </c>
      <c r="C338" s="3" t="s">
        <v>70</v>
      </c>
      <c r="J338" s="3" t="str">
        <f t="shared" si="144"/>
        <v>Het</v>
      </c>
      <c r="K338" s="3" t="str">
        <f t="shared" si="144"/>
        <v>NC_000022.10:g.[19951271G&gt;A];[19951271=]</v>
      </c>
      <c r="L338" s="3" t="str">
        <f t="shared" si="144"/>
        <v>NC_000022.10:g.[19950235C&gt;T];[19950235=]</v>
      </c>
      <c r="M338" s="3" t="str">
        <f t="shared" si="144"/>
        <v>NC_000022.10:g.[19931407T&gt;C];[19931407=]</v>
      </c>
      <c r="P338" s="26" t="s">
        <v>28</v>
      </c>
      <c r="Q338" s="15"/>
      <c r="Y338" s="3" t="str">
        <f t="shared" ref="Y338:AB338" si="147">Y316</f>
        <v>Het</v>
      </c>
      <c r="Z338" s="3" t="str">
        <f t="shared" si="147"/>
        <v>NC_000022.10:g.[19948337T&gt;C];[19948337=]</v>
      </c>
      <c r="AA338" s="3" t="str">
        <f t="shared" si="147"/>
        <v>NC_000022.10:g.[19937533T&gt;G];[19937533=]</v>
      </c>
      <c r="AB338" s="3" t="str">
        <f t="shared" si="147"/>
        <v>00;0</v>
      </c>
    </row>
    <row r="339" spans="1:28">
      <c r="A339" s="26" t="s">
        <v>72</v>
      </c>
      <c r="C339" s="3" t="str">
        <f>CONCATENATE("                    variantCall ",CHAR(40),CHAR(34),M338,CHAR(34),CHAR(41))</f>
        <v xml:space="preserve">                    variantCall ("NC_000022.10:g.[19931407T&gt;C];[19931407=]")</v>
      </c>
      <c r="J339" s="3" t="str">
        <f t="shared" si="144"/>
        <v>Homo</v>
      </c>
      <c r="K339" s="3" t="str">
        <f t="shared" si="144"/>
        <v>NC_000022.10:g.[19951271G&gt;A];[19951271G&gt;A]</v>
      </c>
      <c r="L339" s="3" t="str">
        <f t="shared" si="144"/>
        <v>NC_000022.10:g.[19950235C&gt;T];[19950235C&gt;T]</v>
      </c>
      <c r="M339" s="3" t="str">
        <f t="shared" si="144"/>
        <v>NC_000022.10:g.[19931407T&gt;C];[19931407T&gt;C]</v>
      </c>
      <c r="P339" s="26" t="s">
        <v>72</v>
      </c>
      <c r="Q339" s="15"/>
      <c r="Y339" s="3" t="str">
        <f t="shared" ref="Y339:AB339" si="148">Y317</f>
        <v>Homo</v>
      </c>
      <c r="Z339" s="3" t="str">
        <f t="shared" si="148"/>
        <v>NC_000022.10:g.[19948337T&gt;C];[19948337T&gt;C]</v>
      </c>
      <c r="AA339" s="3" t="str">
        <f t="shared" si="148"/>
        <v>NC_000022.10:g.[19937533T&gt;G];[19937533T&gt;G]</v>
      </c>
      <c r="AB339" s="3" t="str">
        <f t="shared" si="148"/>
        <v>00;0</v>
      </c>
    </row>
    <row r="340" spans="1:28">
      <c r="A340" s="26"/>
      <c r="J340" s="3" t="str">
        <f t="shared" si="144"/>
        <v>Wildtype</v>
      </c>
      <c r="K340" s="3" t="str">
        <f t="shared" si="144"/>
        <v>NC_000022.10:g.[19951271=];[19951271=]</v>
      </c>
      <c r="L340" s="3" t="str">
        <f t="shared" si="144"/>
        <v>NC_000022.10:g.[19950235=];[19950235=]</v>
      </c>
      <c r="M340" s="3" t="str">
        <f t="shared" si="144"/>
        <v>NC_000022.10:g.[19931407=];[19931407=]</v>
      </c>
      <c r="P340" s="26"/>
      <c r="Q340" s="15"/>
      <c r="Y340" s="3" t="str">
        <f t="shared" ref="Y340:AB340" si="149">Y318</f>
        <v>Wildtype</v>
      </c>
      <c r="Z340" s="3" t="str">
        <f t="shared" si="149"/>
        <v>NC_000022.10:g.[19948337=];[19948337=]</v>
      </c>
      <c r="AA340" s="3" t="str">
        <f t="shared" si="149"/>
        <v>NC_000022.10:g.[19937533=];[19937533=]</v>
      </c>
      <c r="AB340" s="3" t="str">
        <f t="shared" si="149"/>
        <v>00;0</v>
      </c>
    </row>
    <row r="341" spans="1:28">
      <c r="A341" s="26"/>
      <c r="J341" s="3" t="str">
        <f t="shared" si="144"/>
        <v>Het%</v>
      </c>
      <c r="K341" s="3">
        <f t="shared" si="144"/>
        <v>43</v>
      </c>
      <c r="L341" s="3">
        <f t="shared" si="144"/>
        <v>1.8</v>
      </c>
      <c r="M341" s="3">
        <f t="shared" si="144"/>
        <v>15.8</v>
      </c>
      <c r="P341" s="26"/>
      <c r="Q341" s="15"/>
      <c r="Y341" s="3" t="str">
        <f t="shared" ref="Y341:AB341" si="150">Y319</f>
        <v>Het%</v>
      </c>
      <c r="Z341" s="3">
        <f t="shared" si="150"/>
        <v>43</v>
      </c>
      <c r="AA341" s="3">
        <f t="shared" si="150"/>
        <v>1.8</v>
      </c>
      <c r="AB341" s="3">
        <f t="shared" si="150"/>
        <v>15.8</v>
      </c>
    </row>
    <row r="342" spans="1:28">
      <c r="A342" s="26"/>
      <c r="C342" s="3" t="str">
        <f>CONCATENATE("                  } &gt; ")</f>
        <v xml:space="preserve">                  } &gt; </v>
      </c>
      <c r="J342" s="3" t="str">
        <f t="shared" si="144"/>
        <v>Homo%</v>
      </c>
      <c r="K342" s="3">
        <f t="shared" si="144"/>
        <v>19.899999999999999</v>
      </c>
      <c r="L342" s="3">
        <f t="shared" si="144"/>
        <v>0.5</v>
      </c>
      <c r="M342" s="3">
        <f t="shared" si="144"/>
        <v>4.7</v>
      </c>
      <c r="P342" s="26"/>
      <c r="Q342" s="15"/>
      <c r="Y342" s="3" t="str">
        <f t="shared" ref="Y342:AB342" si="151">Y320</f>
        <v>Homo%</v>
      </c>
      <c r="Z342" s="3">
        <f t="shared" si="151"/>
        <v>19.899999999999999</v>
      </c>
      <c r="AA342" s="3">
        <f t="shared" si="151"/>
        <v>0.5</v>
      </c>
      <c r="AB342" s="3">
        <f t="shared" si="151"/>
        <v>4.7</v>
      </c>
    </row>
    <row r="343" spans="1:28">
      <c r="A343" s="14"/>
      <c r="J343" s="3" t="str">
        <f t="shared" si="144"/>
        <v>Wildtype%</v>
      </c>
      <c r="K343" s="3">
        <f t="shared" si="144"/>
        <v>37.1</v>
      </c>
      <c r="L343" s="3">
        <f t="shared" si="144"/>
        <v>97.8</v>
      </c>
      <c r="M343" s="3">
        <f t="shared" si="144"/>
        <v>79.5</v>
      </c>
      <c r="P343" s="14"/>
      <c r="Q343" s="15"/>
      <c r="Y343" s="3" t="str">
        <f t="shared" ref="Y343:AB343" si="152">Y321</f>
        <v>Wildtype%</v>
      </c>
      <c r="Z343" s="3">
        <f t="shared" si="152"/>
        <v>37.1</v>
      </c>
      <c r="AA343" s="3">
        <f t="shared" si="152"/>
        <v>97.8</v>
      </c>
      <c r="AB343" s="3">
        <f t="shared" si="152"/>
        <v>79.5</v>
      </c>
    </row>
    <row r="344" spans="1:28">
      <c r="A344" s="14"/>
      <c r="C344" s="3" t="s">
        <v>26</v>
      </c>
      <c r="P344" s="14"/>
      <c r="Q344" s="15"/>
    </row>
    <row r="345" spans="1:28">
      <c r="A345" s="14"/>
      <c r="P345" s="14"/>
      <c r="Q345" s="15"/>
    </row>
    <row r="346" spans="1:28">
      <c r="A346" s="14"/>
      <c r="C346" s="3" t="str">
        <f>CONCATENATE("    ",B337)</f>
        <v xml:space="preserve">    People with this variant have one copy of the [C62T](https://www.ncbi.nlm.nih.gov/pubmed/26891941) and [T19943884C](https://www.ncbi.nlm.nih.gov/pubmed/19540336) variants. This substitution of a single nucleotide is known as a missense mutation.</v>
      </c>
      <c r="P346" s="14"/>
      <c r="Q346" s="15"/>
    </row>
    <row r="347" spans="1:28">
      <c r="A347" s="14"/>
      <c r="P347" s="14"/>
      <c r="Q347" s="15"/>
    </row>
    <row r="348" spans="1:28">
      <c r="A348" s="26"/>
      <c r="C348" s="3" t="s">
        <v>29</v>
      </c>
      <c r="P348" s="26"/>
      <c r="Q348" s="15"/>
    </row>
    <row r="349" spans="1:28">
      <c r="A349" s="26"/>
      <c r="P349" s="26"/>
      <c r="Q349" s="15"/>
    </row>
    <row r="350" spans="1:28">
      <c r="A350" s="26"/>
      <c r="C350" s="3" t="str">
        <f>CONCATENATE(B338)</f>
        <v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50" s="26"/>
      <c r="Q350" s="15"/>
    </row>
    <row r="351" spans="1:28">
      <c r="A351" s="26"/>
      <c r="P351" s="26"/>
      <c r="Q351" s="15"/>
    </row>
    <row r="352" spans="1:28">
      <c r="A352" s="26"/>
      <c r="C352" s="3" t="s">
        <v>30</v>
      </c>
      <c r="P352" s="26"/>
      <c r="Q352" s="15"/>
    </row>
    <row r="353" spans="1:28">
      <c r="A353" s="26"/>
      <c r="P353" s="26"/>
      <c r="Q353" s="15"/>
    </row>
    <row r="354" spans="1:28">
      <c r="A354" s="26"/>
      <c r="C354" s="3" t="str">
        <f>CONCATENATE( "    &lt;piechart percentage=",B339," /&gt;")</f>
        <v xml:space="preserve">    &lt;piechart percentage= /&gt;</v>
      </c>
      <c r="P354" s="26"/>
      <c r="Q354" s="15"/>
    </row>
    <row r="355" spans="1:28">
      <c r="A355" s="26"/>
      <c r="C355" s="3" t="str">
        <f>"  &lt;/Analysis&gt;"</f>
        <v xml:space="preserve">  &lt;/Analysis&gt;</v>
      </c>
      <c r="K355" s="3" t="str">
        <f>K179</f>
        <v>rs6691840</v>
      </c>
      <c r="L355" s="3" t="str">
        <f>L179</f>
        <v>rs3913434</v>
      </c>
      <c r="M355" s="3" t="str">
        <f>M179</f>
        <v>rs270838</v>
      </c>
      <c r="P355" s="26"/>
      <c r="Q355" s="15"/>
      <c r="Z355" s="3">
        <f t="shared" ref="Z355:AB355" si="153">Z179</f>
        <v>0</v>
      </c>
      <c r="AA355" s="3">
        <f t="shared" si="153"/>
        <v>0</v>
      </c>
      <c r="AB355" s="3">
        <f t="shared" si="153"/>
        <v>0</v>
      </c>
    </row>
    <row r="356" spans="1:28" s="21" customFormat="1">
      <c r="A356" s="28" t="s">
        <v>69</v>
      </c>
      <c r="B356" s="20" t="s">
        <v>83</v>
      </c>
      <c r="C356" s="21" t="str">
        <f>CONCATENATE("&lt;# ",B356," #&gt;")</f>
        <v>&lt;# Wild type #&gt;</v>
      </c>
      <c r="K356" s="21" t="str">
        <f t="shared" ref="K356:M357" si="154">K202</f>
        <v>G158A</v>
      </c>
      <c r="L356" s="21" t="str">
        <f t="shared" si="154"/>
        <v>C62T</v>
      </c>
      <c r="M356" s="21" t="str">
        <f t="shared" si="154"/>
        <v>T19943884C</v>
      </c>
      <c r="P356" s="28" t="s">
        <v>69</v>
      </c>
      <c r="Q356" s="20" t="s">
        <v>83</v>
      </c>
      <c r="R356" s="21" t="str">
        <f>CONCATENATE("&lt;# ",Q356," #&gt;")</f>
        <v>&lt;# Wild type #&gt;</v>
      </c>
      <c r="Z356" s="21" t="str">
        <f t="shared" ref="Z356:AB356" si="155">Z202</f>
        <v>T19960814C</v>
      </c>
      <c r="AA356" s="21" t="str">
        <f t="shared" si="155"/>
        <v>T19950010G</v>
      </c>
      <c r="AB356" s="21">
        <f t="shared" si="155"/>
        <v>0</v>
      </c>
    </row>
    <row r="357" spans="1:28">
      <c r="A357" s="14" t="s">
        <v>21</v>
      </c>
      <c r="B357" s="15" t="str">
        <f>K76</f>
        <v>NC_000022.10:g.[19951271=];[19951271=]</v>
      </c>
      <c r="K357" s="3" t="str">
        <f t="shared" si="154"/>
        <v>NC_000022.10:g.</v>
      </c>
      <c r="L357" s="3" t="str">
        <f t="shared" si="154"/>
        <v>NC_000022.10:g.</v>
      </c>
      <c r="M357" s="3" t="str">
        <f t="shared" si="154"/>
        <v>NC_000022.10:g.</v>
      </c>
      <c r="P357" s="14" t="s">
        <v>21</v>
      </c>
      <c r="Q357" s="15" t="str">
        <f>Z76</f>
        <v>NC_000022.10:g.[19948337=];[19948337=]</v>
      </c>
      <c r="Z357" s="3" t="str">
        <f t="shared" ref="Z357:AB357" si="156">Z203</f>
        <v>NC_000022.10:g.</v>
      </c>
      <c r="AA357" s="3" t="str">
        <f t="shared" si="156"/>
        <v>NC_000022.10:g.</v>
      </c>
      <c r="AB357" s="3">
        <f t="shared" si="156"/>
        <v>0</v>
      </c>
    </row>
    <row r="358" spans="1:28">
      <c r="A358" s="14" t="s">
        <v>71</v>
      </c>
      <c r="B358" s="15" t="str">
        <f>L76</f>
        <v>NC_000022.10:g.[19950235=];[19950235=]</v>
      </c>
      <c r="C358" s="3" t="str">
        <f>CONCATENATE("  &lt;Analysis name=",CHAR(34),B356,CHAR(34))</f>
        <v xml:space="preserve">  &lt;Analysis name="Wild type"</v>
      </c>
      <c r="J358" s="3" t="str">
        <f t="shared" ref="J358:M365" si="157">J204</f>
        <v>Variant</v>
      </c>
      <c r="K358" s="3" t="str">
        <f t="shared" si="157"/>
        <v>[19951271G&gt;A]</v>
      </c>
      <c r="L358" s="3" t="str">
        <f t="shared" si="157"/>
        <v>[19950235C&gt;T]</v>
      </c>
      <c r="M358" s="3" t="str">
        <f t="shared" si="157"/>
        <v>[19931407T&gt;C]</v>
      </c>
      <c r="P358" s="14" t="s">
        <v>71</v>
      </c>
      <c r="Q358" s="15" t="str">
        <f>AA76</f>
        <v>NC_000022.10:g.[19937533=];[19937533=]</v>
      </c>
      <c r="R358" s="3" t="str">
        <f>CONCATENATE("  &lt;Analysis name=",CHAR(34),Q356,CHAR(34))</f>
        <v xml:space="preserve">  &lt;Analysis name="Wild type"</v>
      </c>
      <c r="Y358" s="3" t="str">
        <f t="shared" ref="Y358:AB358" si="158">Y204</f>
        <v>Variant</v>
      </c>
      <c r="Z358" s="3" t="str">
        <f t="shared" si="158"/>
        <v>[19948337T&gt;C]</v>
      </c>
      <c r="AA358" s="3" t="str">
        <f t="shared" si="158"/>
        <v>[19937533T&gt;G]</v>
      </c>
      <c r="AB358" s="3">
        <f t="shared" si="158"/>
        <v>0</v>
      </c>
    </row>
    <row r="359" spans="1:28">
      <c r="A359" s="26" t="s">
        <v>74</v>
      </c>
      <c r="B359" s="15" t="str">
        <f>CONCATENATE("Your ",B12," gene has no variants. A normal gene is referred to as a ",CHAR(34),"wild-type",CHAR(34)," gene.")</f>
        <v>Your COMT gene has no variants. A normal gene is referred to as a "wild-type" gene.</v>
      </c>
      <c r="C359" s="3" t="str">
        <f>CONCATENATE("            case={  variantCall ",CHAR(40),CHAR(34),B357,CHAR(34),CHAR(41))</f>
        <v xml:space="preserve">            case={  variantCall ("NC_000022.10:g.[19951271=];[19951271=]")</v>
      </c>
      <c r="J359" s="3" t="str">
        <f t="shared" si="157"/>
        <v>Wildtype</v>
      </c>
      <c r="K359" s="3" t="str">
        <f t="shared" si="157"/>
        <v>[19951271=]</v>
      </c>
      <c r="L359" s="3" t="str">
        <f t="shared" si="157"/>
        <v>[19950235=]</v>
      </c>
      <c r="M359" s="3" t="str">
        <f t="shared" si="157"/>
        <v>[19931407=]</v>
      </c>
      <c r="P359" s="26" t="s">
        <v>74</v>
      </c>
      <c r="Q359" s="15" t="str">
        <f>CONCATENATE("Your ",Q12," gene has no variants. A normal gene is referred to as a ",CHAR(34),"wild-type",CHAR(34)," gene.")</f>
        <v>Your  gene has no variants. A normal gene is referred to as a "wild-type" gene.</v>
      </c>
      <c r="R359" s="3" t="str">
        <f>CONCATENATE("            case={  variantCall ",CHAR(40),CHAR(34),Q357,CHAR(34),CHAR(41))</f>
        <v xml:space="preserve">            case={  variantCall ("NC_000022.10:g.[19948337=];[19948337=]")</v>
      </c>
      <c r="Y359" s="3" t="str">
        <f t="shared" ref="Y359:AB359" si="159">Y205</f>
        <v>Wildtype</v>
      </c>
      <c r="Z359" s="3" t="str">
        <f t="shared" si="159"/>
        <v>[19948337=]</v>
      </c>
      <c r="AA359" s="3" t="str">
        <f t="shared" si="159"/>
        <v>[19937533=]</v>
      </c>
      <c r="AB359" s="3">
        <f t="shared" si="159"/>
        <v>0</v>
      </c>
    </row>
    <row r="360" spans="1:28">
      <c r="A360" s="26" t="s">
        <v>28</v>
      </c>
      <c r="C360" s="3" t="s">
        <v>70</v>
      </c>
      <c r="J360" s="3" t="str">
        <f t="shared" si="157"/>
        <v>Het</v>
      </c>
      <c r="K360" s="3" t="str">
        <f t="shared" si="157"/>
        <v>NC_000022.10:g.[19951271G&gt;A];[19951271=]</v>
      </c>
      <c r="L360" s="3" t="str">
        <f t="shared" si="157"/>
        <v>NC_000022.10:g.[19950235C&gt;T];[19950235=]</v>
      </c>
      <c r="M360" s="3" t="str">
        <f t="shared" si="157"/>
        <v>NC_000022.10:g.[19931407T&gt;C];[19931407=]</v>
      </c>
      <c r="P360" s="26" t="s">
        <v>28</v>
      </c>
      <c r="Q360" s="15"/>
      <c r="R360" s="3" t="s">
        <v>70</v>
      </c>
      <c r="Y360" s="3" t="str">
        <f t="shared" ref="Y360:AB360" si="160">Y206</f>
        <v>Het</v>
      </c>
      <c r="Z360" s="3" t="str">
        <f t="shared" si="160"/>
        <v>NC_000022.10:g.[19948337T&gt;C];[19948337=]</v>
      </c>
      <c r="AA360" s="3" t="str">
        <f t="shared" si="160"/>
        <v>NC_000022.10:g.[19937533T&gt;G];[19937533=]</v>
      </c>
      <c r="AB360" s="3" t="str">
        <f t="shared" si="160"/>
        <v>00;0</v>
      </c>
    </row>
    <row r="361" spans="1:28">
      <c r="A361" s="26" t="s">
        <v>72</v>
      </c>
      <c r="C361" s="3" t="str">
        <f>CONCATENATE("                    ",CHAR(40),"variantCall ",CHAR(40),CHAR(34),L361,CHAR(34),CHAR(41)," or variantCall ",CHAR(40),CHAR(34),L362,CHAR(34),CHAR(41),CHAR(41))</f>
        <v xml:space="preserve">                    (variantCall ("NC_000022.10:g.[19950235C&gt;T];[19950235C&gt;T]") or variantCall ("NC_000022.10:g.[19950235=];[19950235=]"))</v>
      </c>
      <c r="J361" s="3" t="str">
        <f t="shared" si="157"/>
        <v>Homo</v>
      </c>
      <c r="K361" s="3" t="str">
        <f t="shared" si="157"/>
        <v>NC_000022.10:g.[19951271G&gt;A];[19951271G&gt;A]</v>
      </c>
      <c r="L361" s="3" t="str">
        <f t="shared" si="157"/>
        <v>NC_000022.10:g.[19950235C&gt;T];[19950235C&gt;T]</v>
      </c>
      <c r="M361" s="3" t="str">
        <f t="shared" si="157"/>
        <v>NC_000022.10:g.[19931407T&gt;C];[19931407T&gt;C]</v>
      </c>
      <c r="P361" s="26" t="s">
        <v>72</v>
      </c>
      <c r="Q361" s="15"/>
      <c r="R361" s="3" t="str">
        <f>CONCATENATE("                    ",CHAR(40),"variantCall ",CHAR(40),CHAR(34),AA361,CHAR(34),CHAR(41)," or variantCall ",CHAR(40),CHAR(34),AA362,CHAR(34),CHAR(41),CHAR(41))</f>
        <v xml:space="preserve">                    (variantCall ("NC_000022.10:g.[19937533T&gt;G];[19937533T&gt;G]") or variantCall ("NC_000022.10:g.[19937533=];[19937533=]"))</v>
      </c>
      <c r="Y361" s="3" t="str">
        <f t="shared" ref="Y361:AB361" si="161">Y207</f>
        <v>Homo</v>
      </c>
      <c r="Z361" s="3" t="str">
        <f t="shared" si="161"/>
        <v>NC_000022.10:g.[19948337T&gt;C];[19948337T&gt;C]</v>
      </c>
      <c r="AA361" s="3" t="str">
        <f t="shared" si="161"/>
        <v>NC_000022.10:g.[19937533T&gt;G];[19937533T&gt;G]</v>
      </c>
      <c r="AB361" s="3" t="str">
        <f t="shared" si="161"/>
        <v>00;0</v>
      </c>
    </row>
    <row r="362" spans="1:28">
      <c r="A362" s="26"/>
      <c r="C362" s="3" t="s">
        <v>70</v>
      </c>
      <c r="J362" s="3" t="str">
        <f t="shared" si="157"/>
        <v>Wildtype</v>
      </c>
      <c r="K362" s="3" t="str">
        <f t="shared" si="157"/>
        <v>NC_000022.10:g.[19951271=];[19951271=]</v>
      </c>
      <c r="L362" s="3" t="str">
        <f t="shared" si="157"/>
        <v>NC_000022.10:g.[19950235=];[19950235=]</v>
      </c>
      <c r="M362" s="3" t="str">
        <f t="shared" si="157"/>
        <v>NC_000022.10:g.[19931407=];[19931407=]</v>
      </c>
      <c r="P362" s="26"/>
      <c r="Q362" s="15"/>
      <c r="R362" s="3" t="s">
        <v>70</v>
      </c>
      <c r="Y362" s="3" t="str">
        <f t="shared" ref="Y362:AB362" si="162">Y208</f>
        <v>Wildtype</v>
      </c>
      <c r="Z362" s="3" t="str">
        <f t="shared" si="162"/>
        <v>NC_000022.10:g.[19948337=];[19948337=]</v>
      </c>
      <c r="AA362" s="3" t="str">
        <f t="shared" si="162"/>
        <v>NC_000022.10:g.[19937533=];[19937533=]</v>
      </c>
      <c r="AB362" s="3" t="str">
        <f t="shared" si="162"/>
        <v>00;0</v>
      </c>
    </row>
    <row r="363" spans="1:28">
      <c r="A363" s="26"/>
      <c r="C363" s="3" t="str">
        <f>CONCATENATE("                    ",CHAR(40),"variantCall ",CHAR(40),CHAR(34),M361,CHAR(34),CHAR(41)," or variantCall ",CHAR(40),CHAR(34),M362,CHAR(34),CHAR(41),CHAR(41))</f>
        <v xml:space="preserve">                    (variantCall ("NC_000022.10:g.[19931407T&gt;C];[19931407T&gt;C]") or variantCall ("NC_000022.10:g.[19931407=];[19931407=]"))</v>
      </c>
      <c r="J363" s="3" t="str">
        <f t="shared" si="157"/>
        <v>Het%</v>
      </c>
      <c r="K363" s="3">
        <f t="shared" si="157"/>
        <v>43</v>
      </c>
      <c r="L363" s="3">
        <f t="shared" si="157"/>
        <v>1.8</v>
      </c>
      <c r="M363" s="3">
        <f t="shared" si="157"/>
        <v>15.8</v>
      </c>
      <c r="P363" s="26"/>
      <c r="Q363" s="15"/>
      <c r="R363" s="3" t="str">
        <f>CONCATENATE("                    ",CHAR(40),"variantCall ",CHAR(40),CHAR(34),AB361,CHAR(34),CHAR(41)," or variantCall ",CHAR(40),CHAR(34),AB362,CHAR(34),CHAR(41),CHAR(41))</f>
        <v xml:space="preserve">                    (variantCall ("00;0") or variantCall ("00;0"))</v>
      </c>
      <c r="Y363" s="3" t="str">
        <f t="shared" ref="Y363:AB363" si="163">Y209</f>
        <v>Het%</v>
      </c>
      <c r="Z363" s="3">
        <f t="shared" si="163"/>
        <v>43</v>
      </c>
      <c r="AA363" s="3">
        <f t="shared" si="163"/>
        <v>1.8</v>
      </c>
      <c r="AB363" s="3">
        <f t="shared" si="163"/>
        <v>15.8</v>
      </c>
    </row>
    <row r="364" spans="1:28">
      <c r="A364" s="26"/>
      <c r="C364" s="3" t="str">
        <f>CONCATENATE("                  } &gt; ")</f>
        <v xml:space="preserve">                  } &gt; </v>
      </c>
      <c r="J364" s="3" t="str">
        <f t="shared" si="157"/>
        <v>Homo%</v>
      </c>
      <c r="K364" s="3">
        <f t="shared" si="157"/>
        <v>19.899999999999999</v>
      </c>
      <c r="L364" s="3">
        <f t="shared" si="157"/>
        <v>0.5</v>
      </c>
      <c r="M364" s="3">
        <f t="shared" si="157"/>
        <v>4.7</v>
      </c>
      <c r="P364" s="26"/>
      <c r="Q364" s="15"/>
      <c r="R364" s="3" t="str">
        <f>CONCATENATE("                  } &gt; ")</f>
        <v xml:space="preserve">                  } &gt; </v>
      </c>
      <c r="Y364" s="3" t="str">
        <f t="shared" ref="Y364:AB364" si="164">Y210</f>
        <v>Homo%</v>
      </c>
      <c r="Z364" s="3">
        <f t="shared" si="164"/>
        <v>19.899999999999999</v>
      </c>
      <c r="AA364" s="3">
        <f t="shared" si="164"/>
        <v>0.5</v>
      </c>
      <c r="AB364" s="3">
        <f t="shared" si="164"/>
        <v>4.7</v>
      </c>
    </row>
    <row r="365" spans="1:28">
      <c r="A365" s="14"/>
      <c r="J365" s="3" t="str">
        <f t="shared" si="157"/>
        <v>Wildtype%</v>
      </c>
      <c r="K365" s="3">
        <f t="shared" si="157"/>
        <v>37.1</v>
      </c>
      <c r="L365" s="3">
        <f t="shared" si="157"/>
        <v>97.8</v>
      </c>
      <c r="M365" s="3">
        <f t="shared" si="157"/>
        <v>79.5</v>
      </c>
      <c r="P365" s="14"/>
      <c r="Q365" s="15"/>
      <c r="Y365" s="3" t="str">
        <f t="shared" ref="Y365:AB365" si="165">Y211</f>
        <v>Wildtype%</v>
      </c>
      <c r="Z365" s="3">
        <f t="shared" si="165"/>
        <v>37.1</v>
      </c>
      <c r="AA365" s="3">
        <f t="shared" si="165"/>
        <v>97.8</v>
      </c>
      <c r="AB365" s="3">
        <f t="shared" si="165"/>
        <v>79.5</v>
      </c>
    </row>
    <row r="366" spans="1:28">
      <c r="A366" s="14"/>
      <c r="C366" s="3" t="s">
        <v>26</v>
      </c>
      <c r="P366" s="14"/>
      <c r="Q366" s="15"/>
      <c r="R366" s="3" t="s">
        <v>26</v>
      </c>
    </row>
    <row r="367" spans="1:28">
      <c r="A367" s="14"/>
      <c r="P367" s="14"/>
      <c r="Q367" s="15"/>
    </row>
    <row r="368" spans="1:28">
      <c r="A368" s="26"/>
      <c r="C368" s="3" t="str">
        <f>CONCATENATE("    ",B359)</f>
        <v xml:space="preserve">    Your COMT gene has no variants. A normal gene is referred to as a "wild-type" gene.</v>
      </c>
      <c r="P368" s="26"/>
      <c r="Q368" s="15"/>
      <c r="R368" s="3" t="str">
        <f>CONCATENATE("    ",Q359)</f>
        <v xml:space="preserve">    Your  gene has no variants. A normal gene is referred to as a "wild-type" gene.</v>
      </c>
    </row>
    <row r="369" spans="1:18">
      <c r="A369" s="26"/>
      <c r="P369" s="26"/>
      <c r="Q369" s="15"/>
    </row>
    <row r="370" spans="1:18">
      <c r="A370" s="26"/>
      <c r="C370" s="3" t="s">
        <v>30</v>
      </c>
      <c r="P370" s="26"/>
      <c r="Q370" s="15"/>
      <c r="R370" s="3" t="s">
        <v>30</v>
      </c>
    </row>
    <row r="371" spans="1:18">
      <c r="A371" s="26"/>
      <c r="P371" s="26"/>
      <c r="Q371" s="15"/>
    </row>
    <row r="372" spans="1:18">
      <c r="A372" s="26"/>
      <c r="C372" s="3" t="str">
        <f>CONCATENATE( "    &lt;piechart percentage=",B361," /&gt;")</f>
        <v xml:space="preserve">    &lt;piechart percentage= /&gt;</v>
      </c>
      <c r="P372" s="26"/>
      <c r="Q372" s="15"/>
      <c r="R372" s="3" t="str">
        <f>CONCATENATE( "    &lt;piechart percentage=",Q361," /&gt;")</f>
        <v xml:space="preserve">    &lt;piechart percentage= /&gt;</v>
      </c>
    </row>
    <row r="373" spans="1:18">
      <c r="A373" s="26"/>
      <c r="C373" s="3" t="str">
        <f>"  &lt;/Analysis&gt;"</f>
        <v xml:space="preserve">  &lt;/Analysis&gt;</v>
      </c>
      <c r="P373" s="26"/>
      <c r="Q373" s="15"/>
      <c r="R373" s="3" t="str">
        <f>"  &lt;/Analysis&gt;"</f>
        <v xml:space="preserve">  &lt;/Analysis&gt;</v>
      </c>
    </row>
    <row r="374" spans="1:18" s="21" customFormat="1">
      <c r="A374" s="28" t="s">
        <v>69</v>
      </c>
      <c r="B374" s="20" t="s">
        <v>84</v>
      </c>
      <c r="C374" s="21" t="str">
        <f>CONCATENATE("&lt;# ",B374," #&gt;")</f>
        <v>&lt;# Unknown #&gt;</v>
      </c>
      <c r="P374" s="28" t="s">
        <v>69</v>
      </c>
      <c r="Q374" s="20" t="s">
        <v>84</v>
      </c>
      <c r="R374" s="21" t="str">
        <f>CONCATENATE("&lt;# ",Q374," #&gt;")</f>
        <v>&lt;# Unknown #&gt;</v>
      </c>
    </row>
    <row r="375" spans="1:18">
      <c r="A375" s="14" t="s">
        <v>21</v>
      </c>
      <c r="B375" s="15" t="str">
        <f>K94</f>
        <v>[19951271G&gt;A]</v>
      </c>
      <c r="P375" s="14" t="s">
        <v>21</v>
      </c>
      <c r="Q375" s="15" t="str">
        <f>Z94</f>
        <v>[19948337T&gt;C]</v>
      </c>
    </row>
    <row r="376" spans="1:18">
      <c r="A376" s="14" t="s">
        <v>71</v>
      </c>
      <c r="C376" s="3" t="str">
        <f>CONCATENATE("  &lt;Analysis name=",CHAR(34),B374,CHAR(34), " case=true&gt;")</f>
        <v xml:space="preserve">  &lt;Analysis name="Unknown" case=true&gt;</v>
      </c>
      <c r="P376" s="14" t="s">
        <v>71</v>
      </c>
      <c r="Q376" s="15"/>
      <c r="R376" s="3" t="str">
        <f>CONCATENATE("  &lt;Analysis name=",CHAR(34),Q374,CHAR(34), " case=true&gt;")</f>
        <v xml:space="preserve">  &lt;Analysis name="Unknown" case=true&gt;</v>
      </c>
    </row>
    <row r="377" spans="1:18">
      <c r="A377" s="26" t="s">
        <v>74</v>
      </c>
      <c r="B377" s="15" t="s">
        <v>31</v>
      </c>
      <c r="P377" s="26" t="s">
        <v>74</v>
      </c>
      <c r="Q377" s="15" t="s">
        <v>31</v>
      </c>
    </row>
    <row r="378" spans="1:18">
      <c r="A378" s="26" t="s">
        <v>72</v>
      </c>
      <c r="C378" s="3" t="s">
        <v>26</v>
      </c>
      <c r="P378" s="26" t="s">
        <v>72</v>
      </c>
      <c r="Q378" s="15">
        <v>0</v>
      </c>
      <c r="R378" s="3" t="s">
        <v>26</v>
      </c>
    </row>
    <row r="379" spans="1:18">
      <c r="A379" s="26"/>
      <c r="P379" s="26"/>
      <c r="Q379" s="15"/>
    </row>
    <row r="380" spans="1:18">
      <c r="A380" s="14"/>
      <c r="C380" s="3" t="str">
        <f>CONCATENATE("    ",B377)</f>
        <v xml:space="preserve">    The effect is unknown.</v>
      </c>
      <c r="P380" s="14"/>
      <c r="Q380" s="15"/>
      <c r="R380" s="3" t="str">
        <f>CONCATENATE("    ",Q377)</f>
        <v xml:space="preserve">    The effect is unknown.</v>
      </c>
    </row>
    <row r="381" spans="1:18">
      <c r="A381" s="14"/>
      <c r="P381" s="14"/>
      <c r="Q381" s="15"/>
    </row>
    <row r="382" spans="1:18">
      <c r="A382" s="14"/>
      <c r="C382" s="3" t="s">
        <v>30</v>
      </c>
      <c r="P382" s="14"/>
      <c r="Q382" s="15"/>
      <c r="R382" s="3" t="s">
        <v>30</v>
      </c>
    </row>
    <row r="383" spans="1:18">
      <c r="A383" s="26"/>
      <c r="P383" s="26"/>
      <c r="Q383" s="15"/>
    </row>
    <row r="384" spans="1:18">
      <c r="A384" s="26"/>
      <c r="C384" s="3" t="str">
        <f>CONCATENATE( "    &lt;piechart percentage=",B378," /&gt;")</f>
        <v xml:space="preserve">    &lt;piechart percentage= /&gt;</v>
      </c>
      <c r="P384" s="26"/>
      <c r="Q384" s="15"/>
      <c r="R384" s="3" t="str">
        <f>CONCATENATE( "    &lt;piechart percentage=",Q378," /&gt;")</f>
        <v xml:space="preserve">    &lt;piechart percentage=0 /&gt;</v>
      </c>
    </row>
    <row r="385" spans="1:18">
      <c r="A385" s="26"/>
      <c r="C385" s="3" t="str">
        <f>"  &lt;/Analysis&gt;"</f>
        <v xml:space="preserve">  &lt;/Analysis&gt;</v>
      </c>
      <c r="P385" s="26"/>
      <c r="Q385" s="15"/>
      <c r="R385" s="3" t="str">
        <f>"  &lt;/Analysis&gt;"</f>
        <v xml:space="preserve">  &lt;/Analysis&gt;</v>
      </c>
    </row>
    <row r="386" spans="1:18">
      <c r="A386" s="14"/>
      <c r="C386" s="31" t="s">
        <v>369</v>
      </c>
      <c r="P386" s="14"/>
      <c r="Q386" s="15"/>
      <c r="R386" s="31" t="s">
        <v>369</v>
      </c>
    </row>
    <row r="387" spans="1:18" s="21" customFormat="1">
      <c r="A387" s="19"/>
      <c r="B387" s="20"/>
      <c r="C387" s="35"/>
      <c r="P387" s="19"/>
      <c r="Q387" s="20"/>
      <c r="R387" s="35"/>
    </row>
    <row r="388" spans="1:18">
      <c r="A388" s="14" t="s">
        <v>77</v>
      </c>
      <c r="B388" s="15" t="s">
        <v>123</v>
      </c>
      <c r="C388" s="10" t="str">
        <f>CONCATENATE("&lt;# ",A388," ",B388," #&gt;")</f>
        <v>&lt;# Tissues brain D001921 #&gt;</v>
      </c>
      <c r="P388" s="14" t="s">
        <v>77</v>
      </c>
      <c r="Q388" s="15" t="s">
        <v>123</v>
      </c>
      <c r="R388" s="10" t="str">
        <f>CONCATENATE("&lt;# ",P388," ",Q388," #&gt;")</f>
        <v>&lt;# Tissues brain D001921 #&gt;</v>
      </c>
    </row>
    <row r="389" spans="1:18">
      <c r="A389" s="14"/>
      <c r="P389" s="14"/>
      <c r="Q389" s="15"/>
    </row>
    <row r="390" spans="1:18">
      <c r="A390" s="14"/>
      <c r="B390" s="15" t="s">
        <v>124</v>
      </c>
      <c r="C390" s="31" t="str">
        <f>CONCATENATE("&lt;TopicBar ",B390," /&gt;")</f>
        <v>&lt;TopicBar brain /&gt;</v>
      </c>
      <c r="P390" s="14"/>
      <c r="Q390" s="15" t="s">
        <v>124</v>
      </c>
      <c r="R390" s="31" t="str">
        <f>CONCATENATE("&lt;TopicBar ",Q390," /&gt;")</f>
        <v>&lt;TopicBar brain /&gt;</v>
      </c>
    </row>
    <row r="391" spans="1:18">
      <c r="A391" s="14"/>
      <c r="P391" s="14"/>
      <c r="Q391" s="15"/>
    </row>
    <row r="392" spans="1:18">
      <c r="A392" s="14" t="s">
        <v>32</v>
      </c>
      <c r="B392" s="15" t="s">
        <v>119</v>
      </c>
      <c r="C392" s="10" t="str">
        <f>CONCATENATE("&lt;# ",A392," ",B392," #&gt;")</f>
        <v>&lt;# Symptoms depression, stress, problems with thinking or memory, brain fog, pain #&gt;</v>
      </c>
      <c r="P392" s="14" t="s">
        <v>32</v>
      </c>
      <c r="Q392" s="15" t="s">
        <v>119</v>
      </c>
      <c r="R392" s="10" t="str">
        <f>CONCATENATE("&lt;# ",P392," ",Q392," #&gt;")</f>
        <v>&lt;# Symptoms depression, stress, problems with thinking or memory, brain fog, pain #&gt;</v>
      </c>
    </row>
    <row r="393" spans="1:18">
      <c r="A393" s="14"/>
      <c r="P393" s="14"/>
      <c r="Q393" s="15"/>
    </row>
    <row r="394" spans="1:18">
      <c r="A394" s="14"/>
      <c r="B394" s="15" t="s">
        <v>120</v>
      </c>
      <c r="C394" s="31" t="str">
        <f>CONCATENATE("&lt;TopicBar ",B394," /&gt;")</f>
        <v>&lt;TopicBar mesh_D003863 mesh_D040701 mesh_D008569 mesh_D010146 /&gt;</v>
      </c>
      <c r="P394" s="14"/>
      <c r="Q394" s="15" t="s">
        <v>120</v>
      </c>
      <c r="R394" s="31" t="str">
        <f>CONCATENATE("&lt;TopicBar ",Q394," /&gt;")</f>
        <v>&lt;TopicBar mesh_D003863 mesh_D040701 mesh_D008569 mesh_D010146 /&gt;</v>
      </c>
    </row>
    <row r="395" spans="1:18">
      <c r="A395" s="14"/>
      <c r="C395" s="31"/>
      <c r="P395" s="14"/>
      <c r="Q395" s="15"/>
      <c r="R395" s="31"/>
    </row>
    <row r="396" spans="1:18">
      <c r="A396" s="14" t="s">
        <v>48</v>
      </c>
      <c r="B396" s="15" t="s">
        <v>121</v>
      </c>
      <c r="C396" s="10" t="str">
        <f>CONCATENATE("&lt;# ",A396," ",B396," #&gt;")</f>
        <v>&lt;# Diseases schizophrenia D012559; major depressive disorder D003866; ME/CFS D015673;  #&gt;</v>
      </c>
      <c r="P396" s="14" t="s">
        <v>48</v>
      </c>
      <c r="Q396" s="15" t="s">
        <v>121</v>
      </c>
      <c r="R396" s="10" t="str">
        <f>CONCATENATE("&lt;# ",P396," ",Q396," #&gt;")</f>
        <v>&lt;# Diseases schizophrenia D012559; major depressive disorder D003866; ME/CFS D015673;  #&gt;</v>
      </c>
    </row>
    <row r="397" spans="1:18">
      <c r="A397" s="14"/>
      <c r="P397" s="14"/>
      <c r="Q397" s="15"/>
    </row>
    <row r="398" spans="1:18">
      <c r="A398" s="14"/>
      <c r="B398" s="15" t="s">
        <v>122</v>
      </c>
      <c r="C398" s="31" t="str">
        <f>CONCATENATE("&lt;TopicBar ",B398," /&gt;")</f>
        <v>&lt;TopicBar mesh_D012559 mesh_D003866 mesh_D015673 /&gt;</v>
      </c>
      <c r="P398" s="14"/>
      <c r="Q398" s="15" t="s">
        <v>122</v>
      </c>
      <c r="R398" s="31" t="str">
        <f>CONCATENATE("&lt;TopicBar ",Q398," /&gt;")</f>
        <v>&lt;TopicBar mesh_D012559 mesh_D003866 mesh_D015673 /&gt;</v>
      </c>
    </row>
    <row r="399" spans="1:18">
      <c r="A399" s="14"/>
      <c r="P399" s="14"/>
      <c r="Q399" s="15"/>
    </row>
    <row r="400" spans="1:18" s="21" customFormat="1">
      <c r="A400" s="28"/>
      <c r="B400" s="20"/>
      <c r="P400" s="28"/>
      <c r="Q400" s="20"/>
    </row>
    <row r="401" spans="2:2">
      <c r="B401" s="30"/>
    </row>
    <row r="403" spans="2:2">
      <c r="B403" s="30"/>
    </row>
    <row r="405" spans="2:2">
      <c r="B405" s="30"/>
    </row>
    <row r="407" spans="2:2">
      <c r="B407" s="30"/>
    </row>
    <row r="409" spans="2:2">
      <c r="B409" s="3"/>
    </row>
    <row r="411" spans="2:2">
      <c r="B411" s="3"/>
    </row>
    <row r="1083" spans="3:3">
      <c r="C1083" s="3" t="str">
        <f>CONCATENATE("    This variant is a change at a specific point in the ",B1074," gene from ",B1083," to ",B1084," resulting in incorrect ",B1077,"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89" spans="3:3">
      <c r="C1089" s="3" t="str">
        <f>CONCATENATE("    This variant is a change at a specific point in the ",B1074," gene from ",B1089," to ",B1090," resulting in incorrect ",B1077,"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19" spans="3:3">
      <c r="C1219" s="3" t="str">
        <f>CONCATENATE("    This variant is a change at a specific point in the ",B1210," gene from ",B1219," to ",B1220," resulting in incorrect ",B1213,"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25" spans="3:3">
      <c r="C1225" s="3" t="str">
        <f>CONCATENATE("    This variant is a change at a specific point in the ",B1210," gene from ",B1225," to ",B1226," resulting in incorrect ",B1213,"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7" spans="3:3">
      <c r="C1627" s="3" t="str">
        <f>CONCATENATE("    This variant is a change at a specific point in the ",B1618," gene from ",B1627," to ",B1628," resulting in incorrect ",B1621,"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3" spans="3:3">
      <c r="C1633" s="3" t="str">
        <f>CONCATENATE("    This variant is a change at a specific point in the ",B1618," gene from ",B1633," to ",B1634," resulting in incorrect ",B1621,"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3" spans="3:3">
      <c r="C1763" s="3" t="str">
        <f>CONCATENATE("    This variant is a change at a specific point in the ",B1754," gene from ",B1763," to ",B1764," resulting in incorrect ",B1757,"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9" spans="3:3">
      <c r="C1769" s="3" t="str">
        <f>CONCATENATE("    This variant is a change at a specific point in the ",B1754," gene from ",B1769," to ",B1770," resulting in incorrect ",B1757,"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99" spans="3:3">
      <c r="C1899" s="3" t="str">
        <f>CONCATENATE("    This variant is a change at a specific point in the ",B1890," gene from ",B1899," to ",B1900," resulting in incorrect ",B1893,"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5" spans="3:3">
      <c r="C1905" s="3" t="str">
        <f>CONCATENATE("    This variant is a change at a specific point in the ",B1890," gene from ",B1905," to ",B1906," resulting in incorrect ",B1893,"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35" spans="3:3">
      <c r="C2035" s="3" t="str">
        <f>CONCATENATE("    This variant is a change at a specific point in the ",B2026," gene from ",B2035," to ",B2036," resulting in incorrect ",B2029,"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1" spans="3:3">
      <c r="C2041" s="3" t="str">
        <f>CONCATENATE("    This variant is a change at a specific point in the ",B2026," gene from ",B2041," to ",B2042," resulting in incorrect ",B2029,"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1" spans="3:3">
      <c r="C2171" s="3" t="str">
        <f>CONCATENATE("    This variant is a change at a specific point in the ",B2162," gene from ",B2171," to ",B2172," resulting in incorrect ",B2165,"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7" spans="3:3">
      <c r="C2177" s="3" t="str">
        <f>CONCATENATE("    This variant is a change at a specific point in the ",B2162," gene from ",B2177," to ",B2178," resulting in incorrect ",B2165,"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7" spans="3:3">
      <c r="C2307" s="3" t="str">
        <f>CONCATENATE("    This variant is a change at a specific point in the ",B2298," gene from ",B2307," to ",B2308," resulting in incorrect ",B2301,"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3" spans="3:3">
      <c r="C2313" s="3" t="str">
        <f>CONCATENATE("    This variant is a change at a specific point in the ",B2298," gene from ",B2313," to ",B2314," resulting in incorrect ",B2301,"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3" spans="3:3">
      <c r="C2443" s="3" t="str">
        <f>CONCATENATE("    This variant is a change at a specific point in the ",B2434," gene from ",B2443," to ",B2444," resulting in incorrect ",B2437,"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9" spans="3:3">
      <c r="C2449" s="3" t="str">
        <f>CONCATENATE("    This variant is a change at a specific point in the ",B2434," gene from ",B2449," to ",B2450," resulting in incorrect ",B2437,"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9" spans="3:3">
      <c r="C2579" s="3" t="str">
        <f>CONCATENATE("    This variant is a change at a specific point in the ",B2570," gene from ",B2579," to ",B2580," resulting in incorrect ",B2573,"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85" spans="3:3">
      <c r="C2585" s="3" t="str">
        <f>CONCATENATE("    This variant is a change at a specific point in the ",B2570," gene from ",B2585," to ",B2586," resulting in incorrect ",B2573,"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6B1F6-5A31-4EB4-BB9B-C1A7C721851A}">
  <dimension ref="A1:BI2622"/>
  <sheetViews>
    <sheetView tabSelected="1" topLeftCell="A73" zoomScale="92" workbookViewId="0">
      <selection activeCell="C73" sqref="C73"/>
    </sheetView>
  </sheetViews>
  <sheetFormatPr defaultRowHeight="15.75"/>
  <cols>
    <col min="1" max="1" width="16.28515625" style="3" customWidth="1"/>
    <col min="2" max="2" width="29.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3" style="3" customWidth="1"/>
    <col min="12" max="12" width="15.28515625" style="3" customWidth="1"/>
    <col min="13" max="14" width="17.140625" style="3" customWidth="1"/>
    <col min="15" max="15" width="17.85546875" style="3" customWidth="1"/>
    <col min="16" max="16" width="9.140625" style="3"/>
    <col min="17" max="17" width="22.28515625" style="3" customWidth="1"/>
    <col min="18" max="18" width="15.5703125" style="3" customWidth="1"/>
    <col min="19" max="21" width="15.42578125" style="3" bestFit="1" customWidth="1"/>
    <col min="22" max="22" width="4.7109375" style="3" customWidth="1"/>
    <col min="23" max="23" width="15" style="3" customWidth="1"/>
    <col min="24" max="24" width="14.85546875" style="3" hidden="1"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P1" s="8"/>
      <c r="Q1" s="9"/>
      <c r="R1" s="8"/>
      <c r="W1" s="10"/>
      <c r="X1" s="11"/>
      <c r="Y1" s="10"/>
      <c r="Z1" s="10"/>
      <c r="AA1" s="10"/>
      <c r="AF1" s="13"/>
      <c r="AG1" s="13"/>
      <c r="AJ1" s="13"/>
    </row>
    <row r="2" spans="1:36">
      <c r="A2" s="14" t="s">
        <v>35</v>
      </c>
      <c r="B2" s="15" t="s">
        <v>332</v>
      </c>
      <c r="C2" s="3" t="str">
        <f>CONCATENATE("&lt;",A2," ",B2," /&gt;")</f>
        <v>&lt;Gene_Name CHRNA2 /&gt;</v>
      </c>
      <c r="D2" s="15"/>
      <c r="H2" s="10"/>
      <c r="I2" s="11"/>
      <c r="J2" s="10"/>
      <c r="K2" s="10"/>
      <c r="L2" s="10"/>
      <c r="P2" s="14"/>
      <c r="Q2"/>
      <c r="S2" s="15"/>
      <c r="W2" s="10"/>
      <c r="X2" s="11"/>
      <c r="Y2" s="10"/>
      <c r="Z2" s="10"/>
      <c r="AA2" s="10"/>
      <c r="AF2" s="13"/>
      <c r="AG2" s="13"/>
      <c r="AJ2" s="13"/>
    </row>
    <row r="3" spans="1:36">
      <c r="A3" s="8"/>
      <c r="B3" s="9"/>
      <c r="C3" s="8"/>
      <c r="D3" s="15"/>
      <c r="H3" s="10"/>
      <c r="I3" s="11"/>
      <c r="J3" s="10"/>
      <c r="K3" s="10"/>
      <c r="L3" s="10"/>
      <c r="P3" s="8"/>
      <c r="Q3" s="9"/>
      <c r="R3" s="8"/>
      <c r="S3" s="15"/>
      <c r="W3" s="10"/>
      <c r="X3" s="11"/>
      <c r="Y3" s="10"/>
      <c r="Z3" s="10"/>
      <c r="AA3" s="10"/>
      <c r="AF3" s="13"/>
      <c r="AG3" s="13"/>
      <c r="AJ3" s="13"/>
    </row>
    <row r="4" spans="1:36">
      <c r="A4" s="14" t="s">
        <v>37</v>
      </c>
      <c r="B4" s="15" t="s">
        <v>333</v>
      </c>
      <c r="C4" s="3" t="str">
        <f>CONCATENATE("&lt;",A4," ",B4," /&gt;")</f>
        <v>&lt;GeneName_full Cholinergic Receptor Nicotinic Alpha 2 Subunit /&gt;</v>
      </c>
      <c r="D4" s="15"/>
      <c r="H4" s="10"/>
      <c r="I4" s="11"/>
      <c r="J4" s="10"/>
      <c r="K4" s="10"/>
      <c r="L4" s="10"/>
      <c r="P4" s="14"/>
      <c r="Q4" s="15"/>
      <c r="S4" s="15"/>
      <c r="W4" s="10"/>
      <c r="X4" s="11"/>
      <c r="Y4" s="10"/>
      <c r="Z4" s="10"/>
      <c r="AA4" s="10"/>
      <c r="AF4" s="13"/>
      <c r="AG4" s="13"/>
      <c r="AJ4" s="13"/>
    </row>
    <row r="5" spans="1:36">
      <c r="A5" s="14"/>
      <c r="B5" s="9"/>
      <c r="C5" s="8"/>
      <c r="D5" s="15"/>
      <c r="H5" s="10"/>
      <c r="I5" s="11"/>
      <c r="J5" s="10"/>
      <c r="K5" s="10"/>
      <c r="L5" s="10"/>
      <c r="P5" s="14"/>
      <c r="Q5" s="9"/>
      <c r="R5" s="8"/>
      <c r="S5" s="15"/>
      <c r="W5" s="10"/>
      <c r="X5" s="11"/>
      <c r="Y5" s="10"/>
      <c r="Z5" s="10"/>
      <c r="AA5" s="10"/>
      <c r="AF5" s="13"/>
      <c r="AG5" s="13"/>
      <c r="AJ5" s="13"/>
    </row>
    <row r="6" spans="1:36">
      <c r="A6" s="14"/>
      <c r="B6" s="3"/>
      <c r="C6" s="3" t="str">
        <f>CONCATENATE("# What does the ",B2," gene do?")</f>
        <v># What does the CHRNA2 gene do?</v>
      </c>
      <c r="H6" s="10"/>
      <c r="I6" s="11"/>
      <c r="J6" s="10"/>
      <c r="K6" s="10"/>
      <c r="L6" s="10"/>
      <c r="P6" s="14"/>
      <c r="W6" s="10"/>
      <c r="X6" s="11"/>
      <c r="Y6" s="10"/>
      <c r="Z6" s="10"/>
      <c r="AA6" s="10"/>
      <c r="AF6" s="13"/>
      <c r="AJ6" s="13"/>
    </row>
    <row r="7" spans="1:36">
      <c r="A7" s="14"/>
      <c r="I7" s="17"/>
      <c r="P7" s="14"/>
      <c r="Q7" s="15"/>
      <c r="X7" s="17"/>
      <c r="AF7" s="13"/>
      <c r="AJ7" s="13"/>
    </row>
    <row r="8" spans="1:36">
      <c r="A8" s="14" t="s">
        <v>5</v>
      </c>
      <c r="B8" s="37" t="s">
        <v>334</v>
      </c>
      <c r="C8" s="3" t="str">
        <f>CONCATENATE(B8," This gene is located on chromosome ",B9,".")</f>
        <v>[CHRNA2](http://www.uniprot.org/uniprot/Q15822) creates a protein that is part of a nicotine receptor in the brain. This receptor binds to [acetylcholine](https://www.britannica.com/science/acetylcholine), the chief neurotransmitter controlling muscle contraction, blood vessel dilation, and heart rate. After it binds to acetylcholine, channels in cells are opened to transport [electrically charged particles (ions) essential for cellular function.](https://www.uniprot.org/uniprot/Q15822) Variants in CHRNA2 are linked to [epilepsy](http://www.uniprot.org/diseases/DI-00821), [seizures](https://www.omim.org/entry/601764), [nicotine dependence](https://www.ncbi.nlm.nih.gov/pubmed/24467848), and [ME](https://www.ncbi.nlm.nih.gov/pubmed/27099524)[/CFS](https://www.ncbi.nlm.nih.gov/pubmed/24253422). This gene is located on chromosome 8.</v>
      </c>
      <c r="I8" s="17"/>
      <c r="P8" s="14"/>
      <c r="Q8" s="37"/>
      <c r="X8" s="17"/>
    </row>
    <row r="9" spans="1:36">
      <c r="A9" s="14" t="s">
        <v>6</v>
      </c>
      <c r="B9" s="15">
        <v>8</v>
      </c>
      <c r="I9" s="17"/>
      <c r="P9" s="14"/>
      <c r="Q9" s="2"/>
      <c r="X9" s="17"/>
    </row>
    <row r="10" spans="1:36">
      <c r="A10" s="14" t="s">
        <v>7</v>
      </c>
      <c r="B10" s="15" t="s">
        <v>40</v>
      </c>
      <c r="P10" s="14"/>
      <c r="Q10" s="2"/>
    </row>
    <row r="11" spans="1:36" s="21" customFormat="1" ht="16.5" thickBot="1">
      <c r="A11" s="19"/>
      <c r="B11" s="20"/>
      <c r="P11" s="19"/>
      <c r="Q11" s="20"/>
    </row>
    <row r="12" spans="1:36" ht="16.5" thickBot="1">
      <c r="A12" s="14" t="s">
        <v>3</v>
      </c>
      <c r="B12" s="15" t="s">
        <v>332</v>
      </c>
      <c r="C12" s="3" t="str">
        <f>CONCATENATE("&lt;# GeneMap name= ",CHAR(34),B12,CHAR(34)," interval=",CHAR(34),B13,"=",CHAR(34)," #&gt;")</f>
        <v>&lt;# GeneMap name= "CHRNA2" interval="NC_000008.11:g.27459761_27479296=" #&gt;</v>
      </c>
      <c r="J12" s="23"/>
      <c r="K12" s="23"/>
      <c r="L12" s="23"/>
      <c r="M12" s="23"/>
      <c r="N12" s="23"/>
      <c r="O12" s="24"/>
      <c r="P12" s="14"/>
      <c r="Q12"/>
      <c r="Y12" s="23"/>
      <c r="Z12" s="23"/>
      <c r="AA12" s="23"/>
      <c r="AB12" s="23"/>
      <c r="AC12" s="23"/>
      <c r="AD12" s="24"/>
    </row>
    <row r="13" spans="1:36">
      <c r="A13" s="14" t="s">
        <v>9</v>
      </c>
      <c r="B13" s="15" t="s">
        <v>335</v>
      </c>
      <c r="J13" s="15"/>
      <c r="K13" s="15"/>
      <c r="L13" s="15"/>
      <c r="M13" s="15"/>
      <c r="N13" s="15"/>
      <c r="O13" s="15"/>
      <c r="P13" s="14"/>
      <c r="Q13"/>
      <c r="Y13" s="15"/>
      <c r="Z13" s="15"/>
      <c r="AA13" s="15"/>
      <c r="AB13" s="15"/>
      <c r="AC13" s="15"/>
      <c r="AD13" s="15"/>
    </row>
    <row r="14" spans="1:36">
      <c r="A14" s="14" t="s">
        <v>11</v>
      </c>
      <c r="B14" s="15" t="s">
        <v>261</v>
      </c>
      <c r="C14" s="3" t="str">
        <f>CONCATENATE("# What are some common variants of ",B12,"?")</f>
        <v># What are some common variants of CHRNA2?</v>
      </c>
      <c r="J14" s="15"/>
      <c r="K14" s="15"/>
      <c r="L14" s="15"/>
      <c r="M14" s="15"/>
      <c r="N14" s="15"/>
      <c r="O14" s="15"/>
      <c r="P14" s="14"/>
      <c r="Q14"/>
      <c r="Y14" s="15"/>
      <c r="Z14" s="15"/>
      <c r="AA14" s="15"/>
      <c r="AB14" s="15"/>
      <c r="AC14" s="15"/>
      <c r="AD14" s="15"/>
    </row>
    <row r="15" spans="1:36">
      <c r="A15" s="14"/>
      <c r="B15" s="2"/>
      <c r="C15" s="3" t="s">
        <v>13</v>
      </c>
      <c r="J15" s="15"/>
      <c r="K15" s="15"/>
      <c r="L15" s="15"/>
      <c r="M15" s="15"/>
      <c r="N15" s="15"/>
      <c r="O15" s="15"/>
      <c r="P15" s="14"/>
      <c r="Q15" s="2"/>
      <c r="R15" s="3" t="s">
        <v>13</v>
      </c>
      <c r="Y15" s="15"/>
      <c r="Z15" s="15"/>
      <c r="AA15" s="15"/>
      <c r="AB15" s="15"/>
      <c r="AC15" s="15"/>
      <c r="AD15" s="15"/>
    </row>
    <row r="16" spans="1:36">
      <c r="B16" s="2"/>
      <c r="C16" s="3" t="str">
        <f>CONCATENATE("A variant is a change at a specific point in the gene from the expected nucleotide sequence to another, resulting in incorrect ", B10," function. There are ",B14," common variants in ",B12,": ",B22,", ",B31,", ",B40,", ",Q22,", and ",Q31,".")</f>
        <v>A variant is a change at a specific point in the gene from the expected nucleotide sequence to another, resulting in incorrect protein function. 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J16" s="15"/>
      <c r="K16" s="15"/>
      <c r="L16" s="15"/>
      <c r="M16" s="15"/>
      <c r="N16" s="15"/>
      <c r="O16" s="15"/>
      <c r="Q16" s="2"/>
      <c r="Y16" s="15"/>
      <c r="Z16" s="15"/>
      <c r="AA16" s="15"/>
      <c r="AB16" s="15"/>
      <c r="AC16" s="15"/>
      <c r="AD16" s="15"/>
    </row>
    <row r="17" spans="1:30">
      <c r="B17" s="2"/>
      <c r="J17" s="15"/>
      <c r="K17" s="15"/>
      <c r="L17" s="15"/>
      <c r="M17" s="15"/>
      <c r="N17" s="15"/>
      <c r="O17" s="15"/>
      <c r="Q17" s="2"/>
      <c r="Y17" s="15"/>
      <c r="Z17" s="15"/>
      <c r="AA17" s="15"/>
      <c r="AB17" s="15"/>
      <c r="AC17" s="15"/>
      <c r="AD17" s="15"/>
    </row>
    <row r="18" spans="1:30">
      <c r="A18" s="14" t="s">
        <v>14</v>
      </c>
      <c r="B18" s="6" t="s">
        <v>352</v>
      </c>
      <c r="C18" s="3" t="str">
        <f>CONCATENATE("&lt;# ",B19," #&gt;")</f>
        <v>&lt;# C65T #&gt;</v>
      </c>
      <c r="J18" s="15"/>
      <c r="K18" s="15"/>
      <c r="L18" s="15"/>
      <c r="M18" s="15"/>
      <c r="N18" s="15"/>
      <c r="O18" s="15"/>
      <c r="P18" s="14" t="s">
        <v>14</v>
      </c>
      <c r="Q18" s="6" t="s">
        <v>362</v>
      </c>
      <c r="R18" s="3" t="str">
        <f>CONCATENATE("&lt;# ",Q19," #&gt;")</f>
        <v>&lt;# T836A #&gt;</v>
      </c>
      <c r="Y18" s="15"/>
      <c r="Z18" s="15"/>
      <c r="AA18" s="15"/>
      <c r="AB18" s="15"/>
      <c r="AC18" s="15"/>
      <c r="AD18" s="15"/>
    </row>
    <row r="19" spans="1:30">
      <c r="A19" s="26" t="s">
        <v>15</v>
      </c>
      <c r="B19" s="29" t="s">
        <v>336</v>
      </c>
      <c r="J19" s="6"/>
      <c r="K19" s="15"/>
      <c r="L19" s="15"/>
      <c r="M19" s="15"/>
      <c r="N19" s="15"/>
      <c r="O19" s="15"/>
      <c r="P19" s="26" t="s">
        <v>15</v>
      </c>
      <c r="Q19" s="15" t="s">
        <v>342</v>
      </c>
      <c r="Y19" s="6"/>
      <c r="Z19" s="15"/>
      <c r="AA19" s="15"/>
      <c r="AB19" s="15"/>
      <c r="AC19" s="15"/>
      <c r="AD19" s="15"/>
    </row>
    <row r="20" spans="1:30">
      <c r="A20" s="26" t="s">
        <v>17</v>
      </c>
      <c r="B20" s="15" t="str">
        <f>"cytosine (C)"</f>
        <v>cytosine (C)</v>
      </c>
      <c r="C20" s="3" t="str">
        <f>CONCATENATE("  &lt;Variant hgvs=",CHAR(34),B18,CHAR(34)," name=",CHAR(34),B19,CHAR(34),"&gt; ")</f>
        <v xml:space="preserve">  &lt;Variant hgvs="NC_000008.10:g.27328511G&gt;A" name="C65T"&gt; </v>
      </c>
      <c r="J20" s="2"/>
      <c r="K20" s="15"/>
      <c r="L20" s="15"/>
      <c r="M20" s="15"/>
      <c r="N20" s="15"/>
      <c r="O20" s="15"/>
      <c r="P20" s="26" t="s">
        <v>17</v>
      </c>
      <c r="Q20" s="15" t="s">
        <v>20</v>
      </c>
      <c r="R20" s="3" t="str">
        <f>CONCATENATE("  &lt;Variant hgvs=",CHAR(34),Q18,CHAR(34)," name=",CHAR(34),Q19,CHAR(34),"&gt; ")</f>
        <v xml:space="preserve">  &lt;Variant hgvs="NC_000008.10:g.27321124A&gt;T" name="T836A"&gt; </v>
      </c>
      <c r="Y20" s="2"/>
      <c r="Z20" s="15"/>
      <c r="AA20" s="15"/>
      <c r="AB20" s="15"/>
      <c r="AC20" s="15"/>
      <c r="AD20" s="15"/>
    </row>
    <row r="21" spans="1:30">
      <c r="A21" s="26" t="s">
        <v>19</v>
      </c>
      <c r="B21" s="15" t="s">
        <v>20</v>
      </c>
      <c r="H21" s="15"/>
      <c r="I21" s="15"/>
      <c r="J21" s="2"/>
      <c r="K21" s="15"/>
      <c r="L21" s="15"/>
      <c r="M21" s="15"/>
      <c r="N21" s="15"/>
      <c r="O21" s="15"/>
      <c r="P21" s="26" t="s">
        <v>19</v>
      </c>
      <c r="Q21" s="15" t="s">
        <v>24</v>
      </c>
      <c r="W21" s="15"/>
      <c r="X21" s="15"/>
      <c r="Y21" s="2"/>
      <c r="Z21" s="15"/>
      <c r="AA21" s="15"/>
      <c r="AB21" s="15"/>
      <c r="AC21" s="15"/>
      <c r="AD21" s="15"/>
    </row>
    <row r="22" spans="1:30">
      <c r="A22" s="26" t="s">
        <v>21</v>
      </c>
      <c r="B22" s="15" t="s">
        <v>337</v>
      </c>
      <c r="C22" s="3" t="str">
        <f>CONCATENATE("    Instead of ",B20,", there is an ",B21," nucleotide.")</f>
        <v xml:space="preserve">    Instead of cytosine (C), there is an thymine (T) nucleotide.</v>
      </c>
      <c r="H22" s="15"/>
      <c r="I22" s="15"/>
      <c r="J22" s="7"/>
      <c r="K22" s="15"/>
      <c r="L22" s="15"/>
      <c r="M22" s="15"/>
      <c r="N22" s="15"/>
      <c r="O22" s="15"/>
      <c r="P22" s="26" t="s">
        <v>21</v>
      </c>
      <c r="Q22" s="15" t="s">
        <v>343</v>
      </c>
      <c r="R22" s="3" t="str">
        <f>CONCATENATE("    Instead of ",Q20,", there is a ",Q21," nucleotide.")</f>
        <v xml:space="preserve">    Instead of thymine (T), there is a adenine (A) nucleotide.</v>
      </c>
      <c r="W22" s="15"/>
      <c r="X22" s="15"/>
      <c r="Y22" s="7"/>
      <c r="Z22" s="15"/>
      <c r="AA22" s="15"/>
      <c r="AB22" s="15"/>
      <c r="AC22" s="15"/>
      <c r="AD22" s="15"/>
    </row>
    <row r="23" spans="1:30">
      <c r="A23" s="3" t="s">
        <v>64</v>
      </c>
      <c r="B23" s="3" t="s">
        <v>353</v>
      </c>
      <c r="H23" s="2"/>
      <c r="I23" s="2"/>
      <c r="J23" s="15"/>
      <c r="K23" s="15"/>
      <c r="L23" s="15"/>
      <c r="M23" s="15"/>
      <c r="N23" s="15"/>
      <c r="O23" s="15"/>
      <c r="P23" s="3" t="s">
        <v>64</v>
      </c>
      <c r="Q23" s="3" t="s">
        <v>353</v>
      </c>
      <c r="W23" s="2"/>
      <c r="X23" s="2"/>
      <c r="Y23" s="15"/>
      <c r="Z23" s="15"/>
      <c r="AA23" s="15"/>
      <c r="AB23" s="15"/>
      <c r="AC23" s="15"/>
      <c r="AD23" s="15"/>
    </row>
    <row r="24" spans="1:30">
      <c r="A24" s="3" t="s">
        <v>51</v>
      </c>
      <c r="B24" s="7" t="s">
        <v>354</v>
      </c>
      <c r="C24" s="3" t="str">
        <f>"  &lt;/Variant&gt;"</f>
        <v xml:space="preserve">  &lt;/Variant&gt;</v>
      </c>
      <c r="H24" s="2"/>
      <c r="I24" s="2"/>
      <c r="J24" s="15"/>
      <c r="K24" s="15"/>
      <c r="L24" s="15"/>
      <c r="M24" s="15"/>
      <c r="N24" s="15"/>
      <c r="O24" s="15"/>
      <c r="P24" s="3" t="s">
        <v>51</v>
      </c>
      <c r="Q24" s="7" t="s">
        <v>363</v>
      </c>
      <c r="R24" s="3" t="str">
        <f>"  &lt;/Variant&gt;"</f>
        <v xml:space="preserve">  &lt;/Variant&gt;</v>
      </c>
      <c r="W24" s="2"/>
      <c r="X24" s="2"/>
      <c r="Y24" s="15"/>
      <c r="Z24" s="15"/>
      <c r="AA24" s="15"/>
      <c r="AB24" s="15"/>
      <c r="AC24" s="15"/>
      <c r="AD24" s="15"/>
    </row>
    <row r="25" spans="1:30">
      <c r="A25" s="26" t="s">
        <v>52</v>
      </c>
      <c r="B25" s="7" t="s">
        <v>355</v>
      </c>
      <c r="J25" s="6"/>
      <c r="P25" s="26" t="s">
        <v>52</v>
      </c>
      <c r="Q25" s="7" t="s">
        <v>364</v>
      </c>
      <c r="Y25" s="6"/>
    </row>
    <row r="26" spans="1:30">
      <c r="A26" s="26"/>
      <c r="B26" s="7"/>
      <c r="J26" s="6"/>
      <c r="P26" s="26"/>
      <c r="Q26" s="7"/>
      <c r="Y26" s="6"/>
    </row>
    <row r="27" spans="1:30">
      <c r="A27" s="14" t="s">
        <v>14</v>
      </c>
      <c r="B27" s="6" t="s">
        <v>356</v>
      </c>
      <c r="C27" s="3" t="str">
        <f>CONCATENATE("&lt;# ",B28," #&gt;")</f>
        <v>&lt;# A27468610G #&gt;</v>
      </c>
      <c r="J27" s="6"/>
      <c r="P27" s="14" t="s">
        <v>14</v>
      </c>
      <c r="Q27" s="6" t="s">
        <v>365</v>
      </c>
      <c r="R27" s="3" t="str">
        <f>CONCATENATE("&lt;# ",Q28," #&gt;")</f>
        <v>&lt;# T889A #&gt;</v>
      </c>
      <c r="Y27" s="6"/>
    </row>
    <row r="28" spans="1:30">
      <c r="A28" s="26" t="s">
        <v>15</v>
      </c>
      <c r="B28" s="15" t="s">
        <v>338</v>
      </c>
      <c r="J28" s="2"/>
      <c r="P28" s="26" t="s">
        <v>15</v>
      </c>
      <c r="Q28" s="15" t="s">
        <v>344</v>
      </c>
      <c r="Y28" s="2"/>
    </row>
    <row r="29" spans="1:30">
      <c r="A29" s="26" t="s">
        <v>17</v>
      </c>
      <c r="B29" s="15" t="s">
        <v>20</v>
      </c>
      <c r="C29" s="3" t="str">
        <f>CONCATENATE("  &lt;Variant hgvs=",CHAR(34),B27,CHAR(34)," name=",CHAR(34),B28,CHAR(34),"&gt; ")</f>
        <v xml:space="preserve">  &lt;Variant hgvs="NC_000008.10:g.27326127A&gt;G" name="A27468610G"&gt; </v>
      </c>
      <c r="J29" s="2"/>
      <c r="P29" s="26" t="s">
        <v>17</v>
      </c>
      <c r="Q29" s="15" t="s">
        <v>20</v>
      </c>
      <c r="R29" s="3" t="str">
        <f>CONCATENATE("  &lt;Variant hgvs=",CHAR(34),Q27,CHAR(34)," name=",CHAR(34),Q28,CHAR(34),"&gt; ")</f>
        <v xml:space="preserve">  &lt;Variant hgvs="NC_000006.11:g.12727715A&gt;G" name="T889A"&gt; </v>
      </c>
      <c r="Y29" s="2"/>
    </row>
    <row r="30" spans="1:30">
      <c r="A30" s="26" t="s">
        <v>19</v>
      </c>
      <c r="B30" s="15" t="str">
        <f>"cytosine (C)"</f>
        <v>cytosine (C)</v>
      </c>
      <c r="J30" s="7"/>
      <c r="P30" s="26" t="s">
        <v>19</v>
      </c>
      <c r="Q30" s="15" t="s">
        <v>24</v>
      </c>
      <c r="Y30" s="7"/>
    </row>
    <row r="31" spans="1:30">
      <c r="A31" s="26" t="s">
        <v>21</v>
      </c>
      <c r="B31" s="15" t="s">
        <v>339</v>
      </c>
      <c r="C31" s="3" t="str">
        <f>CONCATENATE("    Instead of ",B29,", there is a ",B30," nucleotide.")</f>
        <v xml:space="preserve">    Instead of thymine (T), there is a cytosine (C) nucleotide.</v>
      </c>
      <c r="P31" s="26" t="s">
        <v>21</v>
      </c>
      <c r="Q31" s="15" t="s">
        <v>345</v>
      </c>
      <c r="R31" s="3" t="str">
        <f>CONCATENATE("    Instead of ",Q29,", there is a ",Q30," nucleotide.")</f>
        <v xml:space="preserve">    Instead of thymine (T), there is a adenine (A) nucleotide.</v>
      </c>
    </row>
    <row r="32" spans="1:30">
      <c r="A32" s="3" t="s">
        <v>64</v>
      </c>
      <c r="B32" s="3" t="s">
        <v>353</v>
      </c>
      <c r="J32" s="7"/>
      <c r="P32" s="3" t="s">
        <v>64</v>
      </c>
      <c r="Q32" s="3" t="s">
        <v>326</v>
      </c>
      <c r="Y32" s="7"/>
    </row>
    <row r="33" spans="1:61">
      <c r="A33" s="3" t="s">
        <v>51</v>
      </c>
      <c r="B33" s="3" t="s">
        <v>357</v>
      </c>
      <c r="C33" s="3" t="str">
        <f>"  &lt;/Variant&gt;"</f>
        <v xml:space="preserve">  &lt;/Variant&gt;</v>
      </c>
      <c r="J33" s="7"/>
      <c r="P33" s="3" t="s">
        <v>51</v>
      </c>
      <c r="Q33" s="3" t="s">
        <v>366</v>
      </c>
      <c r="R33" s="3" t="str">
        <f>"  &lt;/Variant&gt;"</f>
        <v xml:space="preserve">  &lt;/Variant&gt;</v>
      </c>
      <c r="Y33" s="7"/>
    </row>
    <row r="34" spans="1:61">
      <c r="A34" s="26" t="s">
        <v>52</v>
      </c>
      <c r="B34" s="7" t="s">
        <v>358</v>
      </c>
      <c r="P34" s="26" t="s">
        <v>52</v>
      </c>
      <c r="Q34" s="7" t="s">
        <v>367</v>
      </c>
    </row>
    <row r="35" spans="1:61">
      <c r="B35" s="3"/>
    </row>
    <row r="36" spans="1:61">
      <c r="A36" s="14" t="s">
        <v>14</v>
      </c>
      <c r="B36" s="6" t="s">
        <v>359</v>
      </c>
      <c r="C36" s="3" t="str">
        <f>CONCATENATE("&lt;# ",B37," #&gt;")</f>
        <v>&lt;# A373G #&gt;</v>
      </c>
      <c r="J36" s="6"/>
      <c r="P36" s="14"/>
      <c r="Q36" s="6"/>
      <c r="Y36" s="6"/>
    </row>
    <row r="37" spans="1:61">
      <c r="A37" s="26" t="s">
        <v>15</v>
      </c>
      <c r="B37" s="15" t="s">
        <v>340</v>
      </c>
      <c r="J37" s="2"/>
      <c r="P37" s="26"/>
      <c r="Q37"/>
      <c r="Y37" s="2"/>
    </row>
    <row r="38" spans="1:61">
      <c r="A38" s="26" t="s">
        <v>17</v>
      </c>
      <c r="B38" s="15" t="s">
        <v>20</v>
      </c>
      <c r="C38" s="3" t="str">
        <f>CONCATENATE("  &lt;Variant hgvs=",CHAR(34),B36,CHAR(34)," name=",CHAR(34),B37,CHAR(34),"&gt; ")</f>
        <v xml:space="preserve">  &lt;Variant hgvs="NC_000008.10:g.27324822T&gt;C" name="A373G"&gt; </v>
      </c>
      <c r="J38" s="2"/>
      <c r="P38" s="26"/>
      <c r="Q38"/>
      <c r="Y38" s="2"/>
    </row>
    <row r="39" spans="1:61">
      <c r="A39" s="26" t="s">
        <v>19</v>
      </c>
      <c r="B39" s="15" t="str">
        <f>"cytosine (C)"</f>
        <v>cytosine (C)</v>
      </c>
      <c r="J39" s="7"/>
      <c r="P39" s="26"/>
      <c r="Q39"/>
      <c r="Y39" s="7"/>
    </row>
    <row r="40" spans="1:61">
      <c r="A40" s="26" t="s">
        <v>21</v>
      </c>
      <c r="B40" s="15" t="s">
        <v>341</v>
      </c>
      <c r="C40" s="3" t="str">
        <f>CONCATENATE("    Instead of ",B38,", there is a ",B39," nucleotide.")</f>
        <v xml:space="preserve">    Instead of thymine (T), there is a cytosine (C) nucleotide.</v>
      </c>
      <c r="P40" s="26"/>
      <c r="Q40"/>
    </row>
    <row r="41" spans="1:61">
      <c r="A41" s="3" t="s">
        <v>64</v>
      </c>
      <c r="B41" s="3" t="s">
        <v>353</v>
      </c>
      <c r="J41" s="7"/>
      <c r="Y41" s="7"/>
    </row>
    <row r="42" spans="1:61">
      <c r="A42" s="3" t="s">
        <v>51</v>
      </c>
      <c r="B42" s="3" t="s">
        <v>360</v>
      </c>
      <c r="C42" s="3" t="str">
        <f>"  &lt;/Variant&gt;"</f>
        <v xml:space="preserve">  &lt;/Variant&gt;</v>
      </c>
      <c r="J42" s="7"/>
      <c r="Y42" s="7"/>
    </row>
    <row r="43" spans="1:61">
      <c r="A43" s="26" t="s">
        <v>52</v>
      </c>
      <c r="B43" s="7" t="s">
        <v>361</v>
      </c>
      <c r="P43" s="26"/>
      <c r="Q43" s="7"/>
    </row>
    <row r="44" spans="1:61">
      <c r="A44" s="26"/>
      <c r="B44" s="7"/>
      <c r="P44" s="26"/>
      <c r="Q44" s="7"/>
    </row>
    <row r="45" spans="1:61">
      <c r="A45" s="14" t="s">
        <v>14</v>
      </c>
      <c r="B45" s="6" t="s">
        <v>362</v>
      </c>
      <c r="C45" s="3" t="str">
        <f>CONCATENATE("&lt;# ",B46," #&gt;")</f>
        <v>&lt;# T836A #&gt;</v>
      </c>
      <c r="J45" s="15"/>
      <c r="K45" s="15"/>
      <c r="L45" s="15"/>
      <c r="M45" s="15"/>
      <c r="N45" s="15"/>
      <c r="O45" s="15"/>
    </row>
    <row r="46" spans="1:61" s="21" customFormat="1">
      <c r="A46" s="26" t="s">
        <v>15</v>
      </c>
      <c r="B46" s="15" t="s">
        <v>342</v>
      </c>
      <c r="C46" s="3"/>
      <c r="D46" s="3"/>
      <c r="E46" s="3"/>
      <c r="F46" s="3"/>
      <c r="G46" s="3"/>
      <c r="H46" s="3"/>
      <c r="I46" s="3"/>
      <c r="J46" s="6"/>
      <c r="K46" s="15"/>
      <c r="L46" s="15"/>
      <c r="M46" s="15"/>
      <c r="N46" s="15"/>
      <c r="O46" s="15"/>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row>
    <row r="47" spans="1:61" s="10" customFormat="1">
      <c r="A47" s="26" t="s">
        <v>17</v>
      </c>
      <c r="B47" s="15" t="s">
        <v>20</v>
      </c>
      <c r="C47" s="3" t="str">
        <f>CONCATENATE("  &lt;Variant hgvs=",CHAR(34),B45,CHAR(34)," name=",CHAR(34),B46,CHAR(34),"&gt; ")</f>
        <v xml:space="preserve">  &lt;Variant hgvs="NC_000008.10:g.27321124A&gt;T" name="T836A"&gt; </v>
      </c>
      <c r="D47" s="3"/>
      <c r="E47" s="3"/>
      <c r="F47" s="3"/>
      <c r="G47" s="3"/>
      <c r="H47" s="3"/>
      <c r="I47" s="3"/>
      <c r="J47" s="2"/>
      <c r="K47" s="15"/>
      <c r="L47" s="15"/>
      <c r="M47" s="15"/>
      <c r="N47" s="15"/>
      <c r="O47" s="15"/>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row>
    <row r="48" spans="1:61" s="10" customFormat="1">
      <c r="A48" s="26" t="s">
        <v>19</v>
      </c>
      <c r="B48" s="15" t="s">
        <v>24</v>
      </c>
      <c r="C48" s="3"/>
      <c r="D48" s="3"/>
      <c r="E48" s="3"/>
      <c r="F48" s="3"/>
      <c r="G48" s="3"/>
      <c r="H48" s="15"/>
      <c r="I48" s="15"/>
      <c r="J48" s="2"/>
      <c r="K48" s="15"/>
      <c r="L48" s="15"/>
      <c r="M48" s="15"/>
      <c r="N48" s="15"/>
      <c r="O48" s="15"/>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row>
    <row r="49" spans="1:61" s="21" customFormat="1">
      <c r="A49" s="26" t="s">
        <v>21</v>
      </c>
      <c r="B49" s="15" t="s">
        <v>343</v>
      </c>
      <c r="C49" s="3" t="str">
        <f>CONCATENATE("    Instead of ",B47,", there is an ",B48," nucleotide.")</f>
        <v xml:space="preserve">    Instead of thymine (T), there is an adenine (A) nucleotide.</v>
      </c>
      <c r="D49" s="3"/>
      <c r="E49" s="3"/>
      <c r="F49" s="3"/>
      <c r="G49" s="3"/>
      <c r="H49" s="15"/>
      <c r="I49" s="15"/>
      <c r="J49" s="7"/>
      <c r="K49" s="15"/>
      <c r="L49" s="15"/>
      <c r="M49" s="15"/>
      <c r="N49" s="15"/>
      <c r="O49" s="15"/>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row>
    <row r="50" spans="1:61" s="10" customFormat="1">
      <c r="A50" s="3" t="s">
        <v>64</v>
      </c>
      <c r="B50" s="3" t="s">
        <v>353</v>
      </c>
      <c r="C50" s="3"/>
      <c r="D50" s="3"/>
      <c r="E50" s="3"/>
      <c r="F50" s="3"/>
      <c r="G50" s="3"/>
      <c r="H50" s="2"/>
      <c r="I50" s="2"/>
      <c r="J50" s="15"/>
      <c r="K50" s="15"/>
      <c r="L50" s="15"/>
      <c r="M50" s="15"/>
      <c r="N50" s="15"/>
      <c r="O50" s="15"/>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row>
    <row r="51" spans="1:61">
      <c r="A51" s="3" t="s">
        <v>51</v>
      </c>
      <c r="B51" s="7" t="s">
        <v>363</v>
      </c>
      <c r="C51" s="3" t="str">
        <f>"  &lt;/Variant&gt;"</f>
        <v xml:space="preserve">  &lt;/Variant&gt;</v>
      </c>
      <c r="H51" s="2"/>
      <c r="I51" s="2"/>
      <c r="J51" s="15"/>
      <c r="K51" s="15"/>
      <c r="L51" s="15"/>
      <c r="M51" s="15"/>
      <c r="N51" s="15"/>
      <c r="O51" s="15"/>
    </row>
    <row r="52" spans="1:61">
      <c r="A52" s="26" t="s">
        <v>52</v>
      </c>
      <c r="B52" s="7" t="s">
        <v>364</v>
      </c>
      <c r="J52" s="6"/>
    </row>
    <row r="53" spans="1:61">
      <c r="A53" s="26"/>
      <c r="B53" s="7"/>
      <c r="J53" s="6"/>
    </row>
    <row r="54" spans="1:61">
      <c r="A54" s="14" t="s">
        <v>14</v>
      </c>
      <c r="B54" s="6" t="s">
        <v>365</v>
      </c>
      <c r="C54" s="3" t="str">
        <f>CONCATENATE("&lt;# ",B55," #&gt;")</f>
        <v>&lt;# T889A #&gt;</v>
      </c>
      <c r="J54" s="6"/>
    </row>
    <row r="55" spans="1:61">
      <c r="A55" s="26" t="s">
        <v>15</v>
      </c>
      <c r="B55" s="15" t="s">
        <v>344</v>
      </c>
      <c r="J55" s="2"/>
    </row>
    <row r="56" spans="1:61">
      <c r="A56" s="26" t="s">
        <v>17</v>
      </c>
      <c r="B56" s="15" t="s">
        <v>20</v>
      </c>
      <c r="C56" s="3" t="str">
        <f>CONCATENATE("  &lt;Variant hgvs=",CHAR(34),B54,CHAR(34)," name=",CHAR(34),B55,CHAR(34),"&gt; ")</f>
        <v xml:space="preserve">  &lt;Variant hgvs="NC_000006.11:g.12727715A&gt;G" name="T889A"&gt; </v>
      </c>
      <c r="J56" s="2"/>
    </row>
    <row r="57" spans="1:61">
      <c r="A57" s="26" t="s">
        <v>19</v>
      </c>
      <c r="B57" s="15" t="s">
        <v>24</v>
      </c>
      <c r="J57" s="7"/>
    </row>
    <row r="58" spans="1:61">
      <c r="A58" s="26" t="s">
        <v>21</v>
      </c>
      <c r="B58" s="15" t="s">
        <v>345</v>
      </c>
      <c r="C58" s="3" t="str">
        <f>CONCATENATE("    Instead of ",B56,", there is an ",B57," nucleotide.")</f>
        <v xml:space="preserve">    Instead of thymine (T), there is an adenine (A) nucleotide.</v>
      </c>
    </row>
    <row r="59" spans="1:61">
      <c r="A59" s="3" t="s">
        <v>64</v>
      </c>
      <c r="B59" s="3" t="s">
        <v>326</v>
      </c>
      <c r="J59" s="7"/>
    </row>
    <row r="60" spans="1:61">
      <c r="A60" s="3" t="s">
        <v>51</v>
      </c>
      <c r="B60" s="3" t="s">
        <v>366</v>
      </c>
      <c r="C60" s="3" t="str">
        <f>"  &lt;/Variant&gt;"</f>
        <v xml:space="preserve">  &lt;/Variant&gt;</v>
      </c>
      <c r="J60" s="7"/>
    </row>
    <row r="61" spans="1:61">
      <c r="A61" s="26" t="s">
        <v>52</v>
      </c>
      <c r="B61" s="7" t="s">
        <v>367</v>
      </c>
    </row>
    <row r="62" spans="1:61">
      <c r="B62" s="3"/>
    </row>
    <row r="63" spans="1:61">
      <c r="A63" s="28"/>
      <c r="B63" s="20"/>
      <c r="C63" s="21"/>
      <c r="D63" s="21"/>
      <c r="E63" s="21"/>
      <c r="F63" s="21"/>
      <c r="G63" s="21"/>
      <c r="H63" s="21"/>
      <c r="I63" s="21"/>
      <c r="J63" s="21"/>
      <c r="K63" s="21"/>
      <c r="L63" s="21"/>
      <c r="M63" s="21"/>
      <c r="N63" s="21"/>
      <c r="O63" s="21"/>
      <c r="P63" s="28"/>
      <c r="Q63" s="20"/>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row>
    <row r="64" spans="1:61">
      <c r="A64" s="32"/>
      <c r="C64" s="34" t="s">
        <v>368</v>
      </c>
      <c r="D64" s="10"/>
      <c r="E64" s="10"/>
      <c r="F64" s="10"/>
      <c r="G64" s="10"/>
      <c r="H64" s="10"/>
      <c r="I64" s="10"/>
      <c r="J64" s="10"/>
      <c r="K64" s="10"/>
      <c r="L64" s="38"/>
      <c r="M64" s="10"/>
      <c r="N64" s="10"/>
      <c r="O64" s="10"/>
      <c r="P64" s="32"/>
      <c r="Q64" s="33"/>
      <c r="R64" s="34" t="s">
        <v>368</v>
      </c>
      <c r="S64" s="10"/>
      <c r="T64" s="10"/>
      <c r="U64" s="10"/>
      <c r="V64" s="10"/>
      <c r="W64" s="10"/>
      <c r="X64" s="10"/>
      <c r="Y64" s="10"/>
      <c r="Z64" s="10"/>
      <c r="AA64" s="38"/>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row>
    <row r="65" spans="1:61">
      <c r="A65" s="32"/>
      <c r="C65" s="10"/>
      <c r="D65" s="10"/>
      <c r="E65" s="10"/>
      <c r="F65" s="10"/>
      <c r="G65" s="10"/>
      <c r="H65" s="10"/>
      <c r="I65" s="10"/>
      <c r="J65" s="10"/>
      <c r="K65" s="10" t="s">
        <v>372</v>
      </c>
      <c r="L65" s="38" t="s">
        <v>370</v>
      </c>
      <c r="M65" s="11" t="s">
        <v>373</v>
      </c>
      <c r="N65" s="10" t="s">
        <v>371</v>
      </c>
      <c r="O65" s="10" t="s">
        <v>371</v>
      </c>
      <c r="P65" s="32"/>
      <c r="Q65" s="33"/>
      <c r="R65" s="10"/>
      <c r="S65" s="10"/>
      <c r="T65" s="10"/>
      <c r="U65" s="10"/>
      <c r="V65" s="10"/>
      <c r="W65" s="10"/>
      <c r="X65" s="10"/>
      <c r="Y65" s="10"/>
      <c r="Z65" s="10"/>
      <c r="AA65" s="38"/>
      <c r="AB65" s="11"/>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row>
    <row r="66" spans="1:61">
      <c r="A66" s="28" t="s">
        <v>69</v>
      </c>
      <c r="B66" s="20" t="str">
        <f>CONCATENATE(B19," (T;T)")</f>
        <v>C65T (T;T)</v>
      </c>
      <c r="C66" s="21" t="str">
        <f>CONCATENATE("&lt;# ",B66," #&gt;")</f>
        <v>&lt;# C65T (T;T) #&gt;</v>
      </c>
      <c r="D66" s="21"/>
      <c r="E66" s="21"/>
      <c r="F66" s="21"/>
      <c r="G66" s="21"/>
      <c r="H66" s="21"/>
      <c r="I66" s="21"/>
      <c r="J66" s="21"/>
      <c r="K66" s="21" t="str">
        <f>B19</f>
        <v>C65T</v>
      </c>
      <c r="L66" s="21" t="str">
        <f>B28</f>
        <v>A27468610G</v>
      </c>
      <c r="M66" s="21" t="str">
        <f>B37</f>
        <v>A373G</v>
      </c>
      <c r="N66" s="21" t="str">
        <f>Z66</f>
        <v>T836A</v>
      </c>
      <c r="O66" s="21" t="str">
        <f>AA66</f>
        <v>T889A</v>
      </c>
      <c r="P66" s="28" t="s">
        <v>69</v>
      </c>
      <c r="Q66" s="20" t="str">
        <f>CONCATENATE(Q19," (T;C)")</f>
        <v>T836A (T;C)</v>
      </c>
      <c r="R66" s="21" t="str">
        <f>CONCATENATE("&lt;# ",Q66," #&gt;")</f>
        <v>&lt;# T836A (T;C) #&gt;</v>
      </c>
      <c r="S66" s="21"/>
      <c r="T66" s="21"/>
      <c r="U66" s="21"/>
      <c r="V66" s="21"/>
      <c r="W66" s="21"/>
      <c r="X66" s="21"/>
      <c r="Y66" s="21"/>
      <c r="Z66" s="21" t="str">
        <f>Q19</f>
        <v>T836A</v>
      </c>
      <c r="AA66" s="21" t="str">
        <f>Q28</f>
        <v>T889A</v>
      </c>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row>
    <row r="67" spans="1:61">
      <c r="A67" s="3" t="s">
        <v>21</v>
      </c>
      <c r="B67" s="29" t="str">
        <f>K70</f>
        <v>NC_000008.10:g.[27328511G&gt;A];[27328511=]</v>
      </c>
      <c r="C67" s="10"/>
      <c r="D67" s="10"/>
      <c r="E67" s="10"/>
      <c r="F67" s="10"/>
      <c r="G67" s="10"/>
      <c r="H67" s="10"/>
      <c r="I67" s="10"/>
      <c r="K67" s="22" t="str">
        <f>B23</f>
        <v>NC_000008.10:g.</v>
      </c>
      <c r="L67" s="22" t="str">
        <f>B32</f>
        <v>NC_000008.10:g.</v>
      </c>
      <c r="M67" s="10" t="str">
        <f>B41</f>
        <v>NC_000008.10:g.</v>
      </c>
      <c r="N67" s="21" t="str">
        <f t="shared" ref="N67:N75" si="0">Z67</f>
        <v>NC_000008.10:g.</v>
      </c>
      <c r="O67" s="21" t="str">
        <f t="shared" ref="O67:O75" si="1">AA67</f>
        <v>NC_000006.11:g.</v>
      </c>
      <c r="P67" s="3" t="s">
        <v>21</v>
      </c>
      <c r="Q67" s="29" t="str">
        <f>Z70</f>
        <v>NC_000008.10:g.[27321124A&gt;T];[27321124=]</v>
      </c>
      <c r="R67" s="10"/>
      <c r="S67" s="10"/>
      <c r="T67" s="10"/>
      <c r="U67" s="10"/>
      <c r="V67" s="10"/>
      <c r="W67" s="10"/>
      <c r="X67" s="10"/>
      <c r="Z67" s="22" t="str">
        <f>Q23</f>
        <v>NC_000008.10:g.</v>
      </c>
      <c r="AA67" s="22" t="str">
        <f>Q32</f>
        <v>NC_000006.11:g.</v>
      </c>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row>
    <row r="68" spans="1:61">
      <c r="B68" s="29"/>
      <c r="C68" s="3" t="str">
        <f>CONCATENATE("  &lt;Analysis name=",CHAR(34),B66,CHAR(34))</f>
        <v xml:space="preserve">  &lt;Analysis name="C65T (T;T)"</v>
      </c>
      <c r="J68" s="3" t="s">
        <v>21</v>
      </c>
      <c r="K68" s="15" t="str">
        <f>B24</f>
        <v>[27328511G&gt;A]</v>
      </c>
      <c r="L68" s="22" t="str">
        <f>B33</f>
        <v>[27326127A&gt;G]</v>
      </c>
      <c r="M68" s="10" t="str">
        <f>B42</f>
        <v>[27324822T&gt;C]</v>
      </c>
      <c r="N68" s="21" t="str">
        <f t="shared" si="0"/>
        <v>[27321124A&gt;T]</v>
      </c>
      <c r="O68" s="21" t="str">
        <f t="shared" si="1"/>
        <v>[12727715A&gt;G]</v>
      </c>
      <c r="Q68" s="29"/>
      <c r="R68" s="3" t="str">
        <f>CONCATENATE("  &lt;Analysis name=",CHAR(34),Q66,CHAR(34))</f>
        <v xml:space="preserve">  &lt;Analysis name="T836A (T;C)"</v>
      </c>
      <c r="Y68" s="3" t="s">
        <v>21</v>
      </c>
      <c r="Z68" s="15" t="str">
        <f>Q24</f>
        <v>[27321124A&gt;T]</v>
      </c>
      <c r="AA68" s="22" t="str">
        <f>Q33</f>
        <v>[12727715A&gt;G]</v>
      </c>
      <c r="AB68" s="10"/>
    </row>
    <row r="69" spans="1:61">
      <c r="A69" s="5" t="s">
        <v>27</v>
      </c>
      <c r="B69" s="15"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C69" s="3" t="str">
        <f>CONCATENATE("            case={  variantCall ",CHAR(40),CHAR(34),K71,CHAR(34),CHAR(41))</f>
        <v xml:space="preserve">            case={  variantCall ("NC_000008.10:g.[27328511G&gt;A];[27328511G&gt;A]")</v>
      </c>
      <c r="J69" s="3" t="s">
        <v>52</v>
      </c>
      <c r="K69" s="15" t="str">
        <f>B25</f>
        <v>[27328511=]</v>
      </c>
      <c r="L69" s="22" t="str">
        <f>B34</f>
        <v>[27326127=]</v>
      </c>
      <c r="M69" s="10" t="str">
        <f>B43</f>
        <v>[27324822=]</v>
      </c>
      <c r="N69" s="21" t="str">
        <f t="shared" si="0"/>
        <v>[27321124=]</v>
      </c>
      <c r="O69" s="21" t="str">
        <f t="shared" si="1"/>
        <v>[12727715=]</v>
      </c>
      <c r="P69" s="5" t="s">
        <v>27</v>
      </c>
      <c r="Q69" s="2" t="str">
        <f>CONCATENATE("People with this variant have one copy of the ",Q22," variant. This substitution of a single nucleotide is known as a missense mutation.")</f>
        <v>People with this variant have one copy of the [T836A (p.Ile279Asn)](https://www.ncbi.nlm.nih.gov/clinvar/variation/17504/) variant. This substitution of a single nucleotide is known as a missense mutation.</v>
      </c>
      <c r="R69" s="3" t="str">
        <f>CONCATENATE("            case={  variantCall ",CHAR(40),CHAR(34),Z70,CHAR(34),CHAR(41))</f>
        <v xml:space="preserve">            case={  variantCall ("NC_000008.10:g.[27321124A&gt;T];[27321124=]")</v>
      </c>
      <c r="Y69" s="3" t="s">
        <v>52</v>
      </c>
      <c r="Z69" s="15" t="str">
        <f>Q25</f>
        <v>[27321124=]</v>
      </c>
      <c r="AA69" s="22" t="str">
        <f>Q34</f>
        <v>[12727715=]</v>
      </c>
      <c r="AB69" s="10"/>
    </row>
    <row r="70" spans="1:61">
      <c r="A70" s="1" t="s">
        <v>28</v>
      </c>
      <c r="B70" s="15" t="s">
        <v>374</v>
      </c>
      <c r="C70" s="3" t="s">
        <v>70</v>
      </c>
      <c r="J70" s="3" t="s">
        <v>62</v>
      </c>
      <c r="K70" s="15" t="str">
        <f>CONCATENATE(K67,K68,";",K69)</f>
        <v>NC_000008.10:g.[27328511G&gt;A];[27328511=]</v>
      </c>
      <c r="L70" s="15" t="str">
        <f>CONCATENATE(L67,L68,";",L69)</f>
        <v>NC_000008.10:g.[27326127A&gt;G];[27326127=]</v>
      </c>
      <c r="M70" s="15" t="str">
        <f>CONCATENATE(M67,M68,";",M69)</f>
        <v>NC_000008.10:g.[27324822T&gt;C];[27324822=]</v>
      </c>
      <c r="N70" s="21" t="str">
        <f t="shared" si="0"/>
        <v>NC_000008.10:g.[27321124A&gt;T];[27321124=]</v>
      </c>
      <c r="O70" s="21" t="str">
        <f t="shared" si="1"/>
        <v>NC_000006.11:g.[12727715A&gt;G];[12727715=]</v>
      </c>
      <c r="P70" s="1" t="s">
        <v>28</v>
      </c>
      <c r="Q70" s="2" t="s">
        <v>293</v>
      </c>
      <c r="R70" s="3" t="s">
        <v>70</v>
      </c>
      <c r="Y70" s="3" t="s">
        <v>62</v>
      </c>
      <c r="Z70" s="15" t="str">
        <f>CONCATENATE(Z67,Z68,";",Z69)</f>
        <v>NC_000008.10:g.[27321124A&gt;T];[27321124=]</v>
      </c>
      <c r="AA70" s="15" t="str">
        <f>CONCATENATE(AA67,AA68,";",AA69)</f>
        <v>NC_000006.11:g.[12727715A&gt;G];[12727715=]</v>
      </c>
      <c r="AB70" s="15"/>
    </row>
    <row r="71" spans="1:61">
      <c r="A71" s="3" t="s">
        <v>72</v>
      </c>
      <c r="B71" s="29">
        <f>K74</f>
        <v>15.2</v>
      </c>
      <c r="C71" s="3" t="str">
        <f>CONCATENATE("                    ",CHAR(40),"variantCall ",CHAR(40),CHAR(34),L70,CHAR(34),CHAR(41)," or variantCall ",CHAR(40),CHAR(34),L72,CHAR(34),CHAR(41),CHAR(41))</f>
        <v xml:space="preserve">                    (variantCall ("NC_000008.10:g.[27326127A&gt;G];[27326127=]") or variantCall ("NC_000008.10:g.[27326127=];[27326127=]"))</v>
      </c>
      <c r="J71" s="3" t="s">
        <v>63</v>
      </c>
      <c r="K71" s="15" t="str">
        <f>CONCATENATE(K67,K68,";",K68)</f>
        <v>NC_000008.10:g.[27328511G&gt;A];[27328511G&gt;A]</v>
      </c>
      <c r="L71" s="15" t="str">
        <f>CONCATENATE(L67,L68,";",L68)</f>
        <v>NC_000008.10:g.[27326127A&gt;G];[27326127A&gt;G]</v>
      </c>
      <c r="M71" s="15" t="str">
        <f>CONCATENATE(M67,M68,";",M68)</f>
        <v>NC_000008.10:g.[27324822T&gt;C];[27324822T&gt;C]</v>
      </c>
      <c r="N71" s="21" t="str">
        <f t="shared" si="0"/>
        <v>NC_000008.10:g.[27321124A&gt;T];[27321124A&gt;T]</v>
      </c>
      <c r="O71" s="21" t="str">
        <f t="shared" si="1"/>
        <v>NC_000006.11:g.[12727715A&gt;G];[12727715A&gt;G]</v>
      </c>
      <c r="P71" s="3" t="s">
        <v>72</v>
      </c>
      <c r="Q71" s="29" t="e">
        <f>#REF!</f>
        <v>#REF!</v>
      </c>
      <c r="R71" s="3" t="str">
        <f>CONCATENATE("                    ",CHAR(40),"variantCall ",CHAR(40),CHAR(34),AA71,CHAR(34),CHAR(41)," or variantCall ",CHAR(40),CHAR(34),AA72,CHAR(34),CHAR(41),CHAR(41))</f>
        <v xml:space="preserve">                    (variantCall ("NC_000006.11:g.[12727715A&gt;G];[12727715A&gt;G]") or variantCall ("NC_000006.11:g.[12727715=];[12727715=]"))</v>
      </c>
      <c r="Y71" s="3" t="s">
        <v>63</v>
      </c>
      <c r="Z71" s="15" t="str">
        <f>CONCATENATE(Z67,Z68,";",Z68)</f>
        <v>NC_000008.10:g.[27321124A&gt;T];[27321124A&gt;T]</v>
      </c>
      <c r="AA71" s="15" t="str">
        <f>CONCATENATE(AA67,AA68,";",AA68)</f>
        <v>NC_000006.11:g.[12727715A&gt;G];[12727715A&gt;G]</v>
      </c>
      <c r="AB71" s="15"/>
    </row>
    <row r="72" spans="1:61">
      <c r="C72" s="3" t="s">
        <v>70</v>
      </c>
      <c r="J72" s="3" t="s">
        <v>52</v>
      </c>
      <c r="K72" s="2" t="str">
        <f>CONCATENATE(K67,K69,";",K69)</f>
        <v>NC_000008.10:g.[27328511=];[27328511=]</v>
      </c>
      <c r="L72" s="2" t="str">
        <f>CONCATENATE(L67,L69,";",L69)</f>
        <v>NC_000008.10:g.[27326127=];[27326127=]</v>
      </c>
      <c r="M72" s="2" t="str">
        <f>CONCATENATE(M67,M69,";",M69)</f>
        <v>NC_000008.10:g.[27324822=];[27324822=]</v>
      </c>
      <c r="N72" s="21" t="str">
        <f t="shared" si="0"/>
        <v>NC_000008.10:g.[27321124=];[27321124=]</v>
      </c>
      <c r="O72" s="21" t="str">
        <f t="shared" si="1"/>
        <v>NC_000006.11:g.[12727715=];[12727715=]</v>
      </c>
      <c r="Q72" s="15"/>
      <c r="R72" s="3" t="s">
        <v>70</v>
      </c>
      <c r="Y72" s="3" t="s">
        <v>52</v>
      </c>
      <c r="Z72" s="2" t="str">
        <f>CONCATENATE(Z67,Z69,";",Z69)</f>
        <v>NC_000008.10:g.[27321124=];[27321124=]</v>
      </c>
      <c r="AA72" s="2" t="str">
        <f>CONCATENATE(AA67,AA69,";",AA69)</f>
        <v>NC_000006.11:g.[12727715=];[12727715=]</v>
      </c>
      <c r="AB72" s="2"/>
    </row>
    <row r="73" spans="1:61" s="21" customFormat="1">
      <c r="A73" s="3"/>
      <c r="B73" s="15"/>
      <c r="C73" s="3" t="str">
        <f>CONCATENATE("                    ",CHAR(40),"variantCall ",CHAR(40),CHAR(34),M70,CHAR(34),CHAR(41)," or variantCall ",CHAR(40),CHAR(34),M72,CHAR(34),CHAR(41),CHAR(41))</f>
        <v xml:space="preserve">                    (variantCall ("NC_000008.10:g.[27324822T&gt;C];[27324822=]") or variantCall ("NC_000008.10:g.[27324822=];[27324822=]"))</v>
      </c>
      <c r="D73" s="3"/>
      <c r="E73" s="3"/>
      <c r="F73" s="3"/>
      <c r="G73" s="3"/>
      <c r="H73" s="3"/>
      <c r="I73" s="3"/>
      <c r="J73" s="3" t="s">
        <v>66</v>
      </c>
      <c r="K73" s="15">
        <v>27.5</v>
      </c>
      <c r="L73" s="15">
        <v>48</v>
      </c>
      <c r="M73" s="15">
        <v>49.8</v>
      </c>
      <c r="N73" s="21">
        <f t="shared" si="0"/>
        <v>35.4</v>
      </c>
      <c r="O73" s="21">
        <f t="shared" si="1"/>
        <v>35.6</v>
      </c>
      <c r="P73" s="3"/>
      <c r="Q73" s="15"/>
      <c r="R73" s="3" t="str">
        <f>CONCATENATE("                    ",CHAR(40),"variantCall ",CHAR(40),CHAR(34),AB71,CHAR(34),CHAR(41)," or variantCall ",CHAR(40),CHAR(34),AB72,CHAR(34),CHAR(41),CHAR(41))</f>
        <v xml:space="preserve">                    (variantCall ("") or variantCall (""))</v>
      </c>
      <c r="S73" s="3"/>
      <c r="T73" s="3"/>
      <c r="U73" s="3"/>
      <c r="V73" s="3"/>
      <c r="W73" s="3"/>
      <c r="X73" s="3"/>
      <c r="Y73" s="3" t="s">
        <v>66</v>
      </c>
      <c r="Z73" s="15">
        <v>35.4</v>
      </c>
      <c r="AA73" s="15">
        <v>35.6</v>
      </c>
      <c r="AB73" s="2"/>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row>
    <row r="74" spans="1:61" s="10" customFormat="1">
      <c r="A74" s="14"/>
      <c r="B74" s="15"/>
      <c r="C74" s="3" t="s">
        <v>70</v>
      </c>
      <c r="D74" s="3"/>
      <c r="E74" s="3"/>
      <c r="F74" s="3"/>
      <c r="G74" s="3"/>
      <c r="H74" s="3"/>
      <c r="I74" s="3"/>
      <c r="J74" s="3" t="s">
        <v>67</v>
      </c>
      <c r="K74" s="15">
        <v>15.2</v>
      </c>
      <c r="L74" s="15">
        <v>48.1</v>
      </c>
      <c r="M74" s="15">
        <v>48.6</v>
      </c>
      <c r="N74" s="21">
        <f t="shared" si="0"/>
        <v>14.1</v>
      </c>
      <c r="O74" s="21">
        <f t="shared" si="1"/>
        <v>14.3</v>
      </c>
      <c r="P74" s="3"/>
      <c r="Q74" s="15"/>
      <c r="R74" s="3" t="str">
        <f>CONCATENATE("                  } &gt; ")</f>
        <v xml:space="preserve">                  } &gt; </v>
      </c>
      <c r="S74" s="3"/>
      <c r="T74" s="3"/>
      <c r="U74" s="3"/>
      <c r="V74" s="3"/>
      <c r="W74" s="3"/>
      <c r="X74" s="3"/>
      <c r="Y74" s="3" t="s">
        <v>67</v>
      </c>
      <c r="Z74" s="15">
        <v>14.1</v>
      </c>
      <c r="AA74" s="15">
        <v>14.3</v>
      </c>
      <c r="AB74" s="2"/>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row>
    <row r="75" spans="1:61">
      <c r="A75" s="26"/>
      <c r="C75" s="3" t="str">
        <f>CONCATENATE("                    ",CHAR(40),"variantCall ",CHAR(40),CHAR(34),N70,CHAR(34),CHAR(41)," or variantCall ",CHAR(40),CHAR(34),N72,CHAR(34),CHAR(41),CHAR(41))</f>
        <v xml:space="preserve">                    (variantCall ("NC_000008.10:g.[27321124A&gt;T];[27321124=]") or variantCall ("NC_000008.10:g.[27321124=];[27321124=]"))</v>
      </c>
      <c r="J75" s="3" t="s">
        <v>68</v>
      </c>
      <c r="K75" s="15">
        <v>57.3</v>
      </c>
      <c r="L75" s="15">
        <v>3.9</v>
      </c>
      <c r="M75" s="15">
        <v>1.6</v>
      </c>
      <c r="N75" s="21">
        <f t="shared" si="0"/>
        <v>50.5</v>
      </c>
      <c r="O75" s="21">
        <f t="shared" si="1"/>
        <v>50.1</v>
      </c>
      <c r="Q75" s="15"/>
      <c r="Y75" s="3" t="s">
        <v>68</v>
      </c>
      <c r="Z75" s="15">
        <v>50.5</v>
      </c>
      <c r="AA75" s="15">
        <v>50.1</v>
      </c>
      <c r="AB75" s="2"/>
    </row>
    <row r="76" spans="1:61">
      <c r="A76" s="26"/>
      <c r="C76" s="3" t="s">
        <v>70</v>
      </c>
      <c r="K76" s="15"/>
      <c r="L76" s="15"/>
      <c r="M76" s="15"/>
      <c r="N76" s="21"/>
      <c r="O76" s="21"/>
      <c r="Q76" s="15"/>
      <c r="Z76" s="15"/>
      <c r="AA76" s="15"/>
      <c r="AB76" s="2"/>
    </row>
    <row r="77" spans="1:61">
      <c r="A77" s="26"/>
      <c r="C77" s="3" t="str">
        <f>CONCATENATE("                    ",CHAR(40),"variantCall ",CHAR(40),CHAR(34),O70,CHAR(34),CHAR(41)," or variantCall ",CHAR(40),CHAR(34),O72,CHAR(34),CHAR(41),CHAR(41))</f>
        <v xml:space="preserve">                    (variantCall ("NC_000006.11:g.[12727715A&gt;G];[12727715=]") or variantCall ("NC_000006.11:g.[12727715=];[12727715=]"))</v>
      </c>
      <c r="K77" s="15"/>
      <c r="L77" s="15"/>
      <c r="M77" s="15"/>
      <c r="N77" s="21"/>
      <c r="O77" s="21"/>
      <c r="Q77" s="15"/>
      <c r="Z77" s="15"/>
      <c r="AA77" s="15"/>
      <c r="AB77" s="2"/>
    </row>
    <row r="78" spans="1:61">
      <c r="A78" s="26"/>
      <c r="C78" s="3" t="str">
        <f>CONCATENATE("                  } &gt; ")</f>
        <v xml:space="preserve">                  } &gt; </v>
      </c>
      <c r="K78" s="15"/>
      <c r="L78" s="15"/>
      <c r="M78" s="15"/>
      <c r="N78" s="21"/>
      <c r="O78" s="21"/>
      <c r="Q78" s="15"/>
      <c r="Z78" s="15"/>
      <c r="AA78" s="15"/>
      <c r="AB78" s="2"/>
    </row>
    <row r="79" spans="1:61">
      <c r="A79" s="14"/>
      <c r="C79" s="3" t="s">
        <v>26</v>
      </c>
      <c r="K79"/>
      <c r="L79" s="2"/>
      <c r="M79" s="2"/>
      <c r="P79" s="14"/>
      <c r="Q79" s="15"/>
      <c r="R79" s="3" t="s">
        <v>26</v>
      </c>
      <c r="Z79"/>
      <c r="AA79" s="2"/>
      <c r="AB79" s="2"/>
    </row>
    <row r="80" spans="1:61">
      <c r="A80" s="14"/>
      <c r="K80" s="15"/>
      <c r="L80" s="15"/>
      <c r="M80" s="15"/>
      <c r="P80" s="14"/>
      <c r="Q80" s="15"/>
      <c r="Z80" s="15"/>
      <c r="AA80" s="15"/>
      <c r="AB80" s="15"/>
    </row>
    <row r="81" spans="1:61">
      <c r="A81" s="26"/>
      <c r="C81" s="3" t="str">
        <f>CONCATENATE("    ",B69)</f>
        <v xml:space="preserve">    People with this variant have two copies of the [C65T (p.Thr22Ile)](https://www.ncbi.nlm.nih.gov/clinvar/variation/128740/) variant. This substitution of a single nucleotide is known as a missense mutation.</v>
      </c>
      <c r="K81" s="15"/>
      <c r="L81" s="15"/>
      <c r="M81" s="15"/>
      <c r="P81" s="26"/>
      <c r="Q81" s="15"/>
      <c r="R81" s="3" t="str">
        <f>CONCATENATE("    ",Q69)</f>
        <v xml:space="preserve">    People with this variant have one copy of the [T836A (p.Ile279Asn)](https://www.ncbi.nlm.nih.gov/clinvar/variation/17504/) variant. This substitution of a single nucleotide is known as a missense mutation.</v>
      </c>
      <c r="Z81" s="15"/>
      <c r="AA81" s="15"/>
      <c r="AB81" s="15"/>
    </row>
    <row r="82" spans="1:61">
      <c r="A82" s="14"/>
      <c r="K82" s="2"/>
      <c r="L82" s="2"/>
      <c r="M82" s="2"/>
      <c r="P82" s="14"/>
      <c r="Q82" s="15"/>
      <c r="Z82" s="2"/>
      <c r="AA82" s="2"/>
      <c r="AB82" s="2"/>
    </row>
    <row r="83" spans="1:61">
      <c r="A83" s="14"/>
      <c r="C83" s="3" t="s">
        <v>29</v>
      </c>
      <c r="P83" s="14"/>
      <c r="Q83" s="15"/>
      <c r="R83" s="3" t="s">
        <v>29</v>
      </c>
    </row>
    <row r="84" spans="1:61">
      <c r="A84" s="14"/>
      <c r="P84" s="14"/>
      <c r="Q84" s="15"/>
    </row>
    <row r="85" spans="1:61">
      <c r="A85" s="14"/>
      <c r="C85" s="3" t="str">
        <f>CONCATENATE(B70)</f>
        <v>Your variant is associated with nicotine dependency, especially in East Asians. Your nicotine receptors are malformed and less sensitive to nicotine, which may lead to addiction. For ME/CFS patients, [previous and current smoking](https://www.ncbi.nlm.nih.gov/pubmed/25811400) are associated with a [3X higher risk of severe cognitive and sleep symptoms](https://www.ncbi.nlm.nih.gov/pubmed/28633629), including trouble concentrating and unrefreshing sleep. Additionally, ME/CFS patients also may have [higher levels of nicotine](https://www.ncbi.nlm.nih.gov/pubmed/26983655) in the brain as compared to the general population. High nicotine levels are associated with symptoms, including [abdominal pain, stress, fainting, depression, muscle weakness, muscle twitching, headache, and dizziness](https://medlineplus.gov/ency/article/002510.htm), which may be worsened by smoking.
    # What should I do about this?
    People should not smoke. If you do smoke, be aware of your risk for dependency or increased difficulty of quitting smoking.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v>
      </c>
      <c r="P85" s="14"/>
      <c r="Q85" s="15"/>
      <c r="R85" s="3" t="str">
        <f>CONCATENATE(Q70)</f>
        <v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v>
      </c>
    </row>
    <row r="86" spans="1:61">
      <c r="A86" s="26"/>
      <c r="P86" s="26"/>
      <c r="Q86" s="15"/>
    </row>
    <row r="87" spans="1:61">
      <c r="A87" s="26"/>
      <c r="C87" s="3" t="s">
        <v>30</v>
      </c>
      <c r="P87" s="26"/>
      <c r="Q87" s="15"/>
      <c r="R87" s="3" t="s">
        <v>30</v>
      </c>
    </row>
    <row r="88" spans="1:61">
      <c r="A88" s="26"/>
      <c r="P88" s="26"/>
      <c r="Q88" s="15"/>
    </row>
    <row r="89" spans="1:61">
      <c r="A89" s="26"/>
      <c r="C89" s="3" t="str">
        <f>CONCATENATE( "    &lt;# piechart percentage=",B71," / #&gt;")</f>
        <v xml:space="preserve">    &lt;# piechart percentage=15.2 / #&gt;</v>
      </c>
      <c r="P89" s="26"/>
      <c r="Q89" s="15"/>
      <c r="R89" s="3" t="e">
        <f>CONCATENATE( "    &lt;piechart percentage=",Q71," /&gt;")</f>
        <v>#REF!</v>
      </c>
    </row>
    <row r="90" spans="1:61">
      <c r="A90" s="26"/>
      <c r="C90" s="3" t="str">
        <f>"  &lt;/Analysis&gt;"</f>
        <v xml:space="preserve">  &lt;/Analysis&gt;</v>
      </c>
      <c r="J90" s="3">
        <f t="shared" ref="J90:M90" si="2">J116</f>
        <v>0</v>
      </c>
      <c r="K90" s="3" t="str">
        <f t="shared" si="2"/>
        <v>rs6691840 TT</v>
      </c>
      <c r="L90" s="3" t="str">
        <f t="shared" si="2"/>
        <v>rs3913434 CC</v>
      </c>
      <c r="M90" s="3" t="str">
        <f t="shared" si="2"/>
        <v>rs270838 CC</v>
      </c>
      <c r="P90" s="26"/>
      <c r="Q90" s="15"/>
      <c r="R90" s="3" t="str">
        <f>"  &lt;/Analysis&gt;"</f>
        <v xml:space="preserve">  &lt;/Analysis&gt;</v>
      </c>
      <c r="Z90" s="3">
        <f>Z25</f>
        <v>0</v>
      </c>
      <c r="AA90" s="3">
        <f>AA25</f>
        <v>0</v>
      </c>
      <c r="AB90" s="3">
        <f>AB25</f>
        <v>0</v>
      </c>
    </row>
    <row r="91" spans="1:61">
      <c r="A91" s="28" t="s">
        <v>69</v>
      </c>
      <c r="B91" s="20" t="str">
        <f>CONCATENATE(B28," (C;C)")</f>
        <v>A27468610G (C;C)</v>
      </c>
      <c r="C91" s="21" t="str">
        <f>CONCATENATE("&lt;# ",B91," #&gt;")</f>
        <v>&lt;# A27468610G (C;C) #&gt;</v>
      </c>
      <c r="D91" s="21"/>
      <c r="E91" s="21"/>
      <c r="F91" s="21"/>
      <c r="G91" s="21"/>
      <c r="H91" s="21"/>
      <c r="I91" s="21"/>
      <c r="J91" s="21"/>
      <c r="K91" s="21" t="str">
        <f>K66</f>
        <v>C65T</v>
      </c>
      <c r="L91" s="21" t="str">
        <f t="shared" ref="L91:O91" si="3">L66</f>
        <v>A27468610G</v>
      </c>
      <c r="M91" s="21" t="str">
        <f t="shared" si="3"/>
        <v>A373G</v>
      </c>
      <c r="N91" s="21" t="str">
        <f t="shared" si="3"/>
        <v>T836A</v>
      </c>
      <c r="O91" s="21" t="str">
        <f t="shared" si="3"/>
        <v>T889A</v>
      </c>
      <c r="P91" s="28" t="s">
        <v>69</v>
      </c>
      <c r="Q91" s="20" t="str">
        <f>CONCATENATE(Q19," (C;C)")</f>
        <v>T836A (C;C)</v>
      </c>
      <c r="R91" s="21" t="str">
        <f>CONCATENATE("&lt;# ",Q91," #&gt;")</f>
        <v>&lt;# T836A (C;C) #&gt;</v>
      </c>
      <c r="S91" s="21"/>
      <c r="T91" s="21"/>
      <c r="U91" s="21"/>
      <c r="V91" s="21"/>
      <c r="W91" s="21"/>
      <c r="X91" s="21"/>
      <c r="Y91" s="21"/>
      <c r="Z91" s="21" t="str">
        <f>Q19</f>
        <v>T836A</v>
      </c>
      <c r="AA91" s="21" t="str">
        <f>Q28</f>
        <v>T889A</v>
      </c>
      <c r="AB91" s="21">
        <f>Q37</f>
        <v>0</v>
      </c>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row>
    <row r="92" spans="1:61">
      <c r="A92" s="3" t="s">
        <v>21</v>
      </c>
      <c r="B92" s="29" t="str">
        <f>K95</f>
        <v>NC_000008.10:g.[27328511G&gt;A];[27328511=]</v>
      </c>
      <c r="C92" s="10"/>
      <c r="D92" s="10"/>
      <c r="E92" s="10"/>
      <c r="F92" s="10"/>
      <c r="G92" s="10"/>
      <c r="H92" s="10"/>
      <c r="I92" s="10"/>
      <c r="K92" s="21" t="str">
        <f t="shared" ref="K92:O92" si="4">K67</f>
        <v>NC_000008.10:g.</v>
      </c>
      <c r="L92" s="21" t="str">
        <f t="shared" si="4"/>
        <v>NC_000008.10:g.</v>
      </c>
      <c r="M92" s="21" t="str">
        <f t="shared" si="4"/>
        <v>NC_000008.10:g.</v>
      </c>
      <c r="N92" s="21" t="str">
        <f t="shared" si="4"/>
        <v>NC_000008.10:g.</v>
      </c>
      <c r="O92" s="21" t="str">
        <f t="shared" si="4"/>
        <v>NC_000006.11:g.</v>
      </c>
      <c r="P92" s="3" t="s">
        <v>21</v>
      </c>
      <c r="Q92" s="29" t="str">
        <f>Z71</f>
        <v>NC_000008.10:g.[27321124A&gt;T];[27321124A&gt;T]</v>
      </c>
      <c r="R92" s="10"/>
      <c r="S92" s="10"/>
      <c r="T92" s="10"/>
      <c r="U92" s="10"/>
      <c r="V92" s="10"/>
      <c r="W92" s="10"/>
      <c r="X92" s="10"/>
      <c r="Z92" s="22" t="str">
        <f>Q23</f>
        <v>NC_000008.10:g.</v>
      </c>
      <c r="AA92" s="22" t="str">
        <f>Q32</f>
        <v>NC_000006.11:g.</v>
      </c>
      <c r="AB92" s="10">
        <f>Q41</f>
        <v>0</v>
      </c>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row>
    <row r="93" spans="1:61">
      <c r="B93" s="29"/>
      <c r="C93" s="3" t="str">
        <f>CONCATENATE("  &lt;Analysis name=",CHAR(34),B91,CHAR(34))</f>
        <v xml:space="preserve">  &lt;Analysis name="A27468610G (C;C)"</v>
      </c>
      <c r="J93" s="3" t="s">
        <v>21</v>
      </c>
      <c r="K93" s="21" t="str">
        <f t="shared" ref="K93:O93" si="5">K68</f>
        <v>[27328511G&gt;A]</v>
      </c>
      <c r="L93" s="21" t="str">
        <f t="shared" si="5"/>
        <v>[27326127A&gt;G]</v>
      </c>
      <c r="M93" s="21" t="str">
        <f t="shared" si="5"/>
        <v>[27324822T&gt;C]</v>
      </c>
      <c r="N93" s="21" t="str">
        <f t="shared" si="5"/>
        <v>[27321124A&gt;T]</v>
      </c>
      <c r="O93" s="21" t="str">
        <f t="shared" si="5"/>
        <v>[12727715A&gt;G]</v>
      </c>
      <c r="Q93" s="29"/>
      <c r="R93" s="3" t="str">
        <f>CONCATENATE("  &lt;Analysis name=",CHAR(34),Q91,CHAR(34))</f>
        <v xml:space="preserve">  &lt;Analysis name="T836A (C;C)"</v>
      </c>
      <c r="Y93" s="3" t="s">
        <v>21</v>
      </c>
      <c r="Z93" s="15" t="str">
        <f>Q24</f>
        <v>[27321124A&gt;T]</v>
      </c>
      <c r="AA93" s="22" t="str">
        <f>Q33</f>
        <v>[12727715A&gt;G]</v>
      </c>
      <c r="AB93" s="10">
        <f>Q42</f>
        <v>0</v>
      </c>
    </row>
    <row r="94" spans="1:61">
      <c r="A94" s="5" t="s">
        <v>27</v>
      </c>
      <c r="B94" s="2"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C94" s="3" t="str">
        <f>CONCATENATE("            case={  ",CHAR(40),"variantCall ",CHAR(40),CHAR(34),K95,CHAR(34),CHAR(41)," or variantCall ",CHAR(40),CHAR(34),K97,CHAR(34),CHAR(41),CHAR(41))</f>
        <v xml:space="preserve">            case={  (variantCall ("NC_000008.10:g.[27328511G&gt;A];[27328511=]") or variantCall ("NC_000008.10:g.[27328511=];[27328511=]"))</v>
      </c>
      <c r="J94" s="3" t="s">
        <v>52</v>
      </c>
      <c r="K94" s="21" t="str">
        <f t="shared" ref="K94:O94" si="6">K69</f>
        <v>[27328511=]</v>
      </c>
      <c r="L94" s="21" t="str">
        <f t="shared" si="6"/>
        <v>[27326127=]</v>
      </c>
      <c r="M94" s="21" t="str">
        <f t="shared" si="6"/>
        <v>[27324822=]</v>
      </c>
      <c r="N94" s="21" t="str">
        <f t="shared" si="6"/>
        <v>[27321124=]</v>
      </c>
      <c r="O94" s="21" t="str">
        <f t="shared" si="6"/>
        <v>[12727715=]</v>
      </c>
      <c r="P94" s="5" t="s">
        <v>27</v>
      </c>
      <c r="Q94" s="2" t="str">
        <f>CONCATENATE("People with this variant have two copies of the ",Q22," variant. This substitution of a single nucleotide is known as a missense mutation.")</f>
        <v>People with this variant have two copies of the [T836A (p.Ile279Asn)](https://www.ncbi.nlm.nih.gov/clinvar/variation/17504/) variant. This substitution of a single nucleotide is known as a missense mutation.</v>
      </c>
      <c r="R94" s="3" t="str">
        <f>CONCATENATE("            case={  variantCall ",CHAR(40),CHAR(34),Q92,CHAR(34),CHAR(41))</f>
        <v xml:space="preserve">            case={  variantCall ("NC_000008.10:g.[27321124A&gt;T];[27321124A&gt;T]")</v>
      </c>
      <c r="Y94" s="3" t="s">
        <v>52</v>
      </c>
      <c r="Z94" s="15" t="str">
        <f>Q25</f>
        <v>[27321124=]</v>
      </c>
      <c r="AA94" s="22" t="str">
        <f>Q34</f>
        <v>[12727715=]</v>
      </c>
      <c r="AB94" s="10">
        <f>Q43</f>
        <v>0</v>
      </c>
    </row>
    <row r="95" spans="1:61" s="21" customFormat="1">
      <c r="A95" s="1" t="s">
        <v>28</v>
      </c>
      <c r="B95" s="2" t="s">
        <v>375</v>
      </c>
      <c r="C95" s="3" t="s">
        <v>70</v>
      </c>
      <c r="D95" s="3"/>
      <c r="E95" s="3"/>
      <c r="F95" s="3"/>
      <c r="G95" s="3"/>
      <c r="H95" s="3"/>
      <c r="I95" s="3"/>
      <c r="J95" s="3" t="s">
        <v>62</v>
      </c>
      <c r="K95" s="21" t="str">
        <f t="shared" ref="K95:O95" si="7">K70</f>
        <v>NC_000008.10:g.[27328511G&gt;A];[27328511=]</v>
      </c>
      <c r="L95" s="21" t="str">
        <f t="shared" si="7"/>
        <v>NC_000008.10:g.[27326127A&gt;G];[27326127=]</v>
      </c>
      <c r="M95" s="21" t="str">
        <f t="shared" si="7"/>
        <v>NC_000008.10:g.[27324822T&gt;C];[27324822=]</v>
      </c>
      <c r="N95" s="21" t="str">
        <f t="shared" si="7"/>
        <v>NC_000008.10:g.[27321124A&gt;T];[27321124=]</v>
      </c>
      <c r="O95" s="21" t="str">
        <f t="shared" si="7"/>
        <v>NC_000006.11:g.[12727715A&gt;G];[12727715=]</v>
      </c>
      <c r="P95" s="1" t="s">
        <v>28</v>
      </c>
      <c r="Q95" s="2" t="s">
        <v>293</v>
      </c>
      <c r="R95" s="3" t="s">
        <v>70</v>
      </c>
      <c r="S95" s="3"/>
      <c r="T95" s="3"/>
      <c r="U95" s="3"/>
      <c r="V95" s="3"/>
      <c r="W95" s="3"/>
      <c r="X95" s="3"/>
      <c r="Y95" s="3" t="s">
        <v>62</v>
      </c>
      <c r="Z95" s="15" t="str">
        <f>CONCATENATE(Z92,Z93,";",Z94)</f>
        <v>NC_000008.10:g.[27321124A&gt;T];[27321124=]</v>
      </c>
      <c r="AA95" s="15" t="str">
        <f>CONCATENATE(AA92,AA93,";",AA94)</f>
        <v>NC_000006.11:g.[12727715A&gt;G];[12727715=]</v>
      </c>
      <c r="AB95" s="15" t="str">
        <f>CONCATENATE(AB92,AB93,";",AB94)</f>
        <v>00;0</v>
      </c>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row>
    <row r="96" spans="1:61">
      <c r="A96" s="3" t="s">
        <v>72</v>
      </c>
      <c r="B96" s="29">
        <f>L99</f>
        <v>48.1</v>
      </c>
      <c r="C96" s="3" t="str">
        <f>CONCATENATE("                    ","variantCall",CHAR(40),CHAR(34),L96,CHAR(34),CHAR(41))</f>
        <v xml:space="preserve">                    variantCall("NC_000008.10:g.[27326127A&gt;G];[27326127A&gt;G]")</v>
      </c>
      <c r="J96" s="3" t="s">
        <v>63</v>
      </c>
      <c r="K96" s="21" t="str">
        <f t="shared" ref="K96:O96" si="8">K71</f>
        <v>NC_000008.10:g.[27328511G&gt;A];[27328511G&gt;A]</v>
      </c>
      <c r="L96" s="21" t="str">
        <f t="shared" si="8"/>
        <v>NC_000008.10:g.[27326127A&gt;G];[27326127A&gt;G]</v>
      </c>
      <c r="M96" s="21" t="str">
        <f t="shared" si="8"/>
        <v>NC_000008.10:g.[27324822T&gt;C];[27324822T&gt;C]</v>
      </c>
      <c r="N96" s="21" t="str">
        <f t="shared" si="8"/>
        <v>NC_000008.10:g.[27321124A&gt;T];[27321124A&gt;T]</v>
      </c>
      <c r="O96" s="21" t="str">
        <f t="shared" si="8"/>
        <v>NC_000006.11:g.[12727715A&gt;G];[12727715A&gt;G]</v>
      </c>
      <c r="P96" s="3" t="s">
        <v>72</v>
      </c>
      <c r="Q96" s="29" t="e">
        <f>#REF!</f>
        <v>#REF!</v>
      </c>
      <c r="R96" s="3" t="str">
        <f>CONCATENATE("                    ",CHAR(40),"variantCall ",CHAR(40),CHAR(34),AA96,CHAR(34),CHAR(41)," or variantCall ",CHAR(40),CHAR(34),AA97,CHAR(34),CHAR(41),CHAR(41))</f>
        <v xml:space="preserve">                    (variantCall ("NC_000006.11:g.[12727715A&gt;G];[12727715A&gt;G]") or variantCall ("NC_000006.11:g.[12727715=];[12727715=]"))</v>
      </c>
      <c r="Y96" s="3" t="s">
        <v>63</v>
      </c>
      <c r="Z96" s="15" t="str">
        <f>CONCATENATE(Z92,Z93,";",Z93)</f>
        <v>NC_000008.10:g.[27321124A&gt;T];[27321124A&gt;T]</v>
      </c>
      <c r="AA96" s="15" t="str">
        <f>CONCATENATE(AA92,AA93,";",AA93)</f>
        <v>NC_000006.11:g.[12727715A&gt;G];[12727715A&gt;G]</v>
      </c>
      <c r="AB96" s="15" t="str">
        <f>CONCATENATE(AB92,AB93,";",AB93)</f>
        <v>00;0</v>
      </c>
    </row>
    <row r="97" spans="1:28">
      <c r="C97" s="3" t="s">
        <v>70</v>
      </c>
      <c r="J97" s="3" t="s">
        <v>52</v>
      </c>
      <c r="K97" s="21" t="str">
        <f t="shared" ref="K97:O97" si="9">K72</f>
        <v>NC_000008.10:g.[27328511=];[27328511=]</v>
      </c>
      <c r="L97" s="21" t="str">
        <f t="shared" si="9"/>
        <v>NC_000008.10:g.[27326127=];[27326127=]</v>
      </c>
      <c r="M97" s="21" t="str">
        <f t="shared" si="9"/>
        <v>NC_000008.10:g.[27324822=];[27324822=]</v>
      </c>
      <c r="N97" s="21" t="str">
        <f t="shared" si="9"/>
        <v>NC_000008.10:g.[27321124=];[27321124=]</v>
      </c>
      <c r="O97" s="21" t="str">
        <f t="shared" si="9"/>
        <v>NC_000006.11:g.[12727715=];[12727715=]</v>
      </c>
      <c r="Q97" s="15"/>
      <c r="R97" s="3" t="s">
        <v>70</v>
      </c>
      <c r="Y97" s="3" t="s">
        <v>52</v>
      </c>
      <c r="Z97" s="2" t="str">
        <f>CONCATENATE(Z92,Z94,";",Z94)</f>
        <v>NC_000008.10:g.[27321124=];[27321124=]</v>
      </c>
      <c r="AA97" s="2" t="str">
        <f>CONCATENATE(AA92,AA94,";",AA94)</f>
        <v>NC_000006.11:g.[12727715=];[12727715=]</v>
      </c>
      <c r="AB97" s="2" t="str">
        <f>CONCATENATE(AB92,AB94,";",AB94)</f>
        <v>00;0</v>
      </c>
    </row>
    <row r="98" spans="1:28">
      <c r="C98" s="3" t="str">
        <f>CONCATENATE("                    ",CHAR(40),"variantCall ",CHAR(40),CHAR(34),M95,CHAR(34),CHAR(41)," or variantCall ",CHAR(40),CHAR(34),M97,CHAR(34),CHAR(41),CHAR(41))</f>
        <v xml:space="preserve">                    (variantCall ("NC_000008.10:g.[27324822T&gt;C];[27324822=]") or variantCall ("NC_000008.10:g.[27324822=];[27324822=]"))</v>
      </c>
      <c r="J98" s="3" t="s">
        <v>66</v>
      </c>
      <c r="K98" s="21">
        <f t="shared" ref="K98:O98" si="10">K73</f>
        <v>27.5</v>
      </c>
      <c r="L98" s="21">
        <f t="shared" si="10"/>
        <v>48</v>
      </c>
      <c r="M98" s="21">
        <f t="shared" si="10"/>
        <v>49.8</v>
      </c>
      <c r="N98" s="21">
        <f t="shared" si="10"/>
        <v>35.4</v>
      </c>
      <c r="O98" s="21">
        <f t="shared" si="10"/>
        <v>35.6</v>
      </c>
      <c r="Q98" s="15"/>
      <c r="R98" s="3" t="str">
        <f>CONCATENATE("                    ",CHAR(40),"variantCall ",CHAR(40),CHAR(34),AB96,CHAR(34),CHAR(41)," or variantCall ",CHAR(40),CHAR(34),AB97,CHAR(34),CHAR(41),CHAR(41))</f>
        <v xml:space="preserve">                    (variantCall ("00;0") or variantCall ("00;0"))</v>
      </c>
      <c r="Y98" s="3" t="s">
        <v>66</v>
      </c>
      <c r="Z98">
        <v>43</v>
      </c>
      <c r="AA98" s="2">
        <v>1.8</v>
      </c>
      <c r="AB98" s="2">
        <v>15.8</v>
      </c>
    </row>
    <row r="99" spans="1:28">
      <c r="A99" s="14"/>
      <c r="C99" s="3" t="s">
        <v>70</v>
      </c>
      <c r="J99" s="3" t="s">
        <v>67</v>
      </c>
      <c r="K99" s="21">
        <f t="shared" ref="K99:O99" si="11">K74</f>
        <v>15.2</v>
      </c>
      <c r="L99" s="21">
        <f t="shared" si="11"/>
        <v>48.1</v>
      </c>
      <c r="M99" s="21">
        <f t="shared" si="11"/>
        <v>48.6</v>
      </c>
      <c r="N99" s="21">
        <f t="shared" si="11"/>
        <v>14.1</v>
      </c>
      <c r="O99" s="21">
        <f t="shared" si="11"/>
        <v>14.3</v>
      </c>
      <c r="P99" s="14"/>
      <c r="Q99" s="15"/>
      <c r="R99" s="3" t="str">
        <f>CONCATENATE("                  } &gt; ")</f>
        <v xml:space="preserve">                  } &gt; </v>
      </c>
      <c r="Y99" s="3" t="s">
        <v>67</v>
      </c>
      <c r="Z99">
        <v>19.899999999999999</v>
      </c>
      <c r="AA99" s="2">
        <v>0.5</v>
      </c>
      <c r="AB99" s="2">
        <v>4.7</v>
      </c>
    </row>
    <row r="100" spans="1:28">
      <c r="A100" s="26"/>
      <c r="C100" s="3" t="str">
        <f>CONCATENATE("                    ",CHAR(40),"variantCall ",CHAR(40),CHAR(34),N95,CHAR(34),CHAR(41)," or variantCall ",CHAR(40),CHAR(34),N97,CHAR(34),CHAR(41),CHAR(41))</f>
        <v xml:space="preserve">                    (variantCall ("NC_000008.10:g.[27321124A&gt;T];[27321124=]") or variantCall ("NC_000008.10:g.[27321124=];[27321124=]"))</v>
      </c>
      <c r="J100" s="3" t="s">
        <v>68</v>
      </c>
      <c r="K100" s="21">
        <f t="shared" ref="K100:O100" si="12">K75</f>
        <v>57.3</v>
      </c>
      <c r="L100" s="21">
        <f t="shared" si="12"/>
        <v>3.9</v>
      </c>
      <c r="M100" s="21">
        <f t="shared" si="12"/>
        <v>1.6</v>
      </c>
      <c r="N100" s="21">
        <f t="shared" si="12"/>
        <v>50.5</v>
      </c>
      <c r="O100" s="21">
        <f t="shared" si="12"/>
        <v>50.1</v>
      </c>
      <c r="P100" s="26"/>
      <c r="Q100" s="15"/>
      <c r="Y100" s="3" t="s">
        <v>68</v>
      </c>
      <c r="Z100" s="2">
        <v>37.1</v>
      </c>
      <c r="AA100" s="2">
        <v>97.8</v>
      </c>
      <c r="AB100" s="2">
        <v>79.5</v>
      </c>
    </row>
    <row r="101" spans="1:28">
      <c r="A101" s="26"/>
      <c r="C101" s="3" t="s">
        <v>70</v>
      </c>
      <c r="K101" s="15"/>
      <c r="L101" s="15"/>
      <c r="M101" s="15"/>
      <c r="N101" s="21"/>
      <c r="O101" s="21"/>
      <c r="Q101" s="15"/>
      <c r="Z101" s="15"/>
      <c r="AA101" s="15"/>
      <c r="AB101" s="2"/>
    </row>
    <row r="102" spans="1:28">
      <c r="A102" s="26"/>
      <c r="C102" s="3" t="str">
        <f>CONCATENATE("                    ",CHAR(40),"variantCall ",CHAR(40),CHAR(34),O95,CHAR(34),CHAR(41)," or variantCall ",CHAR(40),CHAR(34),O97,CHAR(34),CHAR(41),CHAR(41))</f>
        <v xml:space="preserve">                    (variantCall ("NC_000006.11:g.[12727715A&gt;G];[12727715=]") or variantCall ("NC_000006.11:g.[12727715=];[12727715=]"))</v>
      </c>
      <c r="K102" s="15"/>
      <c r="L102" s="15"/>
      <c r="M102" s="15"/>
      <c r="N102" s="21"/>
      <c r="O102" s="21"/>
      <c r="Q102" s="15"/>
      <c r="Z102" s="15"/>
      <c r="AA102" s="15"/>
      <c r="AB102" s="2"/>
    </row>
    <row r="103" spans="1:28">
      <c r="A103" s="26"/>
      <c r="C103" s="3" t="str">
        <f>CONCATENATE("                  } &gt; ")</f>
        <v xml:space="preserve">                  } &gt; </v>
      </c>
      <c r="K103" s="15"/>
      <c r="L103" s="15"/>
      <c r="M103" s="15"/>
      <c r="N103" s="21"/>
      <c r="O103" s="21"/>
      <c r="Q103" s="15"/>
      <c r="Z103" s="15"/>
      <c r="AA103" s="15"/>
      <c r="AB103" s="2"/>
    </row>
    <row r="104" spans="1:28">
      <c r="A104" s="26"/>
      <c r="K104" s="15"/>
      <c r="L104" s="15"/>
      <c r="M104" s="15"/>
      <c r="N104" s="21"/>
      <c r="O104" s="21"/>
      <c r="Q104" s="15"/>
      <c r="Z104" s="15"/>
      <c r="AA104" s="15"/>
      <c r="AB104" s="2"/>
    </row>
    <row r="105" spans="1:28">
      <c r="A105" s="14"/>
      <c r="C105" s="3" t="s">
        <v>26</v>
      </c>
      <c r="K105"/>
      <c r="L105" s="2"/>
      <c r="M105" s="2"/>
      <c r="P105" s="14"/>
      <c r="Q105" s="15"/>
      <c r="R105" s="3" t="s">
        <v>26</v>
      </c>
      <c r="Z105"/>
      <c r="AA105" s="2"/>
      <c r="AB105" s="2"/>
    </row>
    <row r="106" spans="1:28">
      <c r="A106" s="14"/>
      <c r="K106" s="15"/>
      <c r="L106" s="15"/>
      <c r="M106" s="15"/>
      <c r="P106" s="14"/>
      <c r="Q106" s="15"/>
      <c r="Z106" s="15"/>
      <c r="AA106" s="15"/>
      <c r="AB106" s="15"/>
    </row>
    <row r="107" spans="1:28">
      <c r="A107" s="26"/>
      <c r="C107" s="3" t="str">
        <f>CONCATENATE("    ",B94)</f>
        <v xml:space="preserve">    People with this variant have two copies of the [A27468610G](https://www.ncbi.nlm.nih.gov/projects/SNP/snp_ref.cgi?rs=2741343) variant. This substitution of a single nucleotide is known as a missense mutation.</v>
      </c>
      <c r="K107" s="15"/>
      <c r="L107" s="15"/>
      <c r="M107" s="15"/>
      <c r="P107" s="26"/>
      <c r="Q107" s="15"/>
      <c r="R107" s="3" t="str">
        <f>CONCATENATE("    ",Q94)</f>
        <v xml:space="preserve">    People with this variant have two copies of the [T836A (p.Ile279Asn)](https://www.ncbi.nlm.nih.gov/clinvar/variation/17504/) variant. This substitution of a single nucleotide is known as a missense mutation.</v>
      </c>
      <c r="Z107" s="15"/>
      <c r="AA107" s="15"/>
      <c r="AB107" s="15"/>
    </row>
    <row r="108" spans="1:28">
      <c r="A108" s="14"/>
      <c r="K108" s="2"/>
      <c r="L108" s="2"/>
      <c r="M108" s="2"/>
      <c r="P108" s="14"/>
      <c r="Q108" s="15"/>
      <c r="Z108" s="2"/>
      <c r="AA108" s="2"/>
      <c r="AB108" s="2"/>
    </row>
    <row r="109" spans="1:28">
      <c r="A109" s="14"/>
      <c r="C109" s="3" t="s">
        <v>29</v>
      </c>
      <c r="P109" s="14"/>
      <c r="Q109" s="15"/>
      <c r="R109" s="3" t="s">
        <v>29</v>
      </c>
    </row>
    <row r="110" spans="1:28">
      <c r="A110" s="14"/>
      <c r="P110" s="14"/>
      <c r="Q110" s="15"/>
    </row>
    <row r="111" spans="1:28">
      <c r="A111" s="14"/>
      <c r="C111" s="3" t="str">
        <f>CONCATENATE(B95)</f>
        <v>Your homozygous variant may affect your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A27468610G (C;C) variant decreases gene expression in both the DNA and RNA, causing significant reduction in NKC activity. This variant was [11X more common in CFS patients at 91.7% compared to 8.3% of the normal population.](https://www.ncbi.nlm.nih.gov/pubmed/27099524)
    # What should I do about this?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v>
      </c>
      <c r="P111" s="14"/>
      <c r="Q111" s="15"/>
      <c r="R111" s="3" t="str">
        <f>CONCATENATE(Q95)</f>
        <v xml:space="preserve">    This variant has a variety of effects:
    - Much more common in [ME/CFS](https://www.ncbi.nlm.nih.gov/pubmed/19772600) patients. 
    - Lower scores in [attention tests, memory tests, and executive function](https://www.ncbi.nlm.nih.gov/pubmed/27091610). 
    - Incorrect metabolism of [Tacrolimus](https://www.ncbi.nlm.nih.gov/pubmed/24465960), a widely used immunosuppressive drug. 
    - Increased [cold pain sensitivity](https://www.ncbi.nlm.nih.gov/pubmed/19559388) in women. 
    - Protective against [type 2 diabetes](https://www.ncbi.nlm.nih.gov/pubmed/25927430). 
    # What should I do about this?
    Be careful if taking [Tacrolimus](https://www.ncbi.nlm.nih.gov/pubmed/24465960). Avoid cold temperatures or temperature shock.</v>
      </c>
    </row>
    <row r="112" spans="1:28">
      <c r="A112" s="26"/>
      <c r="P112" s="26"/>
      <c r="Q112" s="15"/>
    </row>
    <row r="113" spans="1:61">
      <c r="A113" s="26"/>
      <c r="C113" s="3" t="s">
        <v>30</v>
      </c>
      <c r="P113" s="26"/>
      <c r="Q113" s="15"/>
      <c r="R113" s="3" t="s">
        <v>30</v>
      </c>
    </row>
    <row r="114" spans="1:61">
      <c r="A114" s="26"/>
      <c r="P114" s="26"/>
      <c r="Q114" s="15"/>
    </row>
    <row r="115" spans="1:61">
      <c r="A115" s="26"/>
      <c r="C115" s="3" t="str">
        <f>CONCATENATE( "    &lt;# piechart percentage=",B96," / #&gt;")</f>
        <v xml:space="preserve">    &lt;# piechart percentage=48.1 / #&gt;</v>
      </c>
      <c r="P115" s="26"/>
      <c r="Q115" s="15"/>
      <c r="R115" s="3" t="e">
        <f>CONCATENATE( "    &lt;piechart percentage=",Q96," /&gt;")</f>
        <v>#REF!</v>
      </c>
    </row>
    <row r="116" spans="1:61">
      <c r="A116" s="26"/>
      <c r="C116" s="3" t="str">
        <f>"  &lt;/Analysis&gt;"</f>
        <v xml:space="preserve">  &lt;/Analysis&gt;</v>
      </c>
      <c r="K116" s="3" t="str">
        <f>K65</f>
        <v>rs6691840 TT</v>
      </c>
      <c r="L116" s="3" t="str">
        <f>L65</f>
        <v>rs3913434 CC</v>
      </c>
      <c r="M116" s="3" t="str">
        <f>M65</f>
        <v>rs270838 CC</v>
      </c>
      <c r="P116" s="26"/>
      <c r="Q116" s="15"/>
      <c r="R116" s="3" t="str">
        <f>"  &lt;/Analysis&gt;"</f>
        <v xml:space="preserve">  &lt;/Analysis&gt;</v>
      </c>
      <c r="Z116" s="3">
        <f>Z65</f>
        <v>0</v>
      </c>
      <c r="AA116" s="3">
        <f>AA65</f>
        <v>0</v>
      </c>
      <c r="AB116" s="3">
        <f>AB65</f>
        <v>0</v>
      </c>
    </row>
    <row r="117" spans="1:61">
      <c r="A117" s="28" t="s">
        <v>69</v>
      </c>
      <c r="B117" s="20" t="str">
        <f>CONCATENATE(B37," (C;C)")</f>
        <v>A373G (C;C)</v>
      </c>
      <c r="C117" s="21" t="str">
        <f>CONCATENATE("&lt;# ",B117," #&gt;")</f>
        <v>&lt;# A373G (C;C) #&gt;</v>
      </c>
      <c r="D117" s="21"/>
      <c r="E117" s="21"/>
      <c r="F117" s="21"/>
      <c r="G117" s="21"/>
      <c r="H117" s="21"/>
      <c r="I117" s="21"/>
      <c r="J117" s="21"/>
      <c r="K117" s="21" t="str">
        <f>K91</f>
        <v>C65T</v>
      </c>
      <c r="L117" s="21" t="str">
        <f>L91</f>
        <v>A27468610G</v>
      </c>
      <c r="M117" s="21" t="str">
        <f>M91</f>
        <v>A373G</v>
      </c>
      <c r="N117" s="21" t="str">
        <f>N91</f>
        <v>T836A</v>
      </c>
      <c r="O117" s="21" t="str">
        <f>O91</f>
        <v>T889A</v>
      </c>
      <c r="P117" s="28" t="s">
        <v>69</v>
      </c>
      <c r="Q117" s="20" t="str">
        <f>CONCATENATE(Q28," (G;G)")</f>
        <v>T889A (G;G)</v>
      </c>
      <c r="R117" s="21" t="str">
        <f>CONCATENATE("&lt;# ",Q117," #&gt;")</f>
        <v>&lt;# T889A (G;G) #&gt;</v>
      </c>
      <c r="S117" s="21"/>
      <c r="T117" s="21"/>
      <c r="U117" s="21"/>
      <c r="V117" s="21"/>
      <c r="W117" s="21"/>
      <c r="X117" s="21"/>
      <c r="Y117" s="21"/>
      <c r="Z117" s="21" t="str">
        <f>Z91</f>
        <v>T836A</v>
      </c>
      <c r="AA117" s="21" t="str">
        <f>AA91</f>
        <v>T889A</v>
      </c>
      <c r="AB117" s="21">
        <f>AB91</f>
        <v>0</v>
      </c>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row>
    <row r="118" spans="1:61">
      <c r="A118" s="3" t="s">
        <v>21</v>
      </c>
      <c r="B118" s="29" t="str">
        <f>K96</f>
        <v>NC_000008.10:g.[27328511G&gt;A];[27328511G&gt;A]</v>
      </c>
      <c r="C118" s="10"/>
      <c r="K118" s="3" t="str">
        <f>K92</f>
        <v>NC_000008.10:g.</v>
      </c>
      <c r="L118" s="3" t="str">
        <f>L92</f>
        <v>NC_000008.10:g.</v>
      </c>
      <c r="M118" s="3" t="str">
        <f>M92</f>
        <v>NC_000008.10:g.</v>
      </c>
      <c r="N118" s="21" t="str">
        <f t="shared" ref="N118:O118" si="13">N92</f>
        <v>NC_000008.10:g.</v>
      </c>
      <c r="O118" s="21" t="str">
        <f t="shared" si="13"/>
        <v>NC_000006.11:g.</v>
      </c>
      <c r="P118" s="3" t="s">
        <v>21</v>
      </c>
      <c r="Q118" s="29" t="str">
        <f>AA122</f>
        <v>NC_000006.11:g.[12727715A&gt;G];[12727715A&gt;G]</v>
      </c>
      <c r="R118" s="10"/>
      <c r="Z118" s="3" t="str">
        <f>Z92</f>
        <v>NC_000008.10:g.</v>
      </c>
      <c r="AA118" s="3" t="str">
        <f>AA92</f>
        <v>NC_000006.11:g.</v>
      </c>
      <c r="AB118" s="3">
        <f>AB92</f>
        <v>0</v>
      </c>
    </row>
    <row r="119" spans="1:61">
      <c r="B119" s="29"/>
      <c r="C119" s="3" t="str">
        <f>CONCATENATE("  &lt;Analysis name=",CHAR(34),B117,CHAR(34))</f>
        <v xml:space="preserve">  &lt;Analysis name="A373G (C;C)"</v>
      </c>
      <c r="J119" s="3" t="str">
        <f>J93</f>
        <v>Variant</v>
      </c>
      <c r="K119" s="3" t="str">
        <f>K93</f>
        <v>[27328511G&gt;A]</v>
      </c>
      <c r="L119" s="3" t="str">
        <f>L93</f>
        <v>[27326127A&gt;G]</v>
      </c>
      <c r="M119" s="3" t="str">
        <f>M93</f>
        <v>[27324822T&gt;C]</v>
      </c>
      <c r="N119" s="21" t="str">
        <f>N93</f>
        <v>[27321124A&gt;T]</v>
      </c>
      <c r="O119" s="21" t="str">
        <f>O93</f>
        <v>[12727715A&gt;G]</v>
      </c>
      <c r="Q119" s="29"/>
      <c r="R119" s="3" t="str">
        <f>CONCATENATE("  &lt;Analysis name=",CHAR(34),Q117,CHAR(34))</f>
        <v xml:space="preserve">  &lt;Analysis name="T889A (G;G)"</v>
      </c>
      <c r="Y119" s="3" t="str">
        <f>Y93</f>
        <v>Variant</v>
      </c>
      <c r="Z119" s="3" t="str">
        <f>Z93</f>
        <v>[27321124A&gt;T]</v>
      </c>
      <c r="AA119" s="3" t="str">
        <f>AA93</f>
        <v>[12727715A&gt;G]</v>
      </c>
      <c r="AB119" s="3">
        <f>AB93</f>
        <v>0</v>
      </c>
    </row>
    <row r="120" spans="1:61">
      <c r="A120" s="5" t="s">
        <v>74</v>
      </c>
      <c r="B120" s="2" t="str">
        <f>CONCATENATE("People with this variant have two copies of the ",B40," variant. This substitution of a single nucleotide is known as a missense mutation.")</f>
        <v>People with this variant have two copies of the [A373G (p.Thr125Ala)](https://www.ncbi.nlm.nih.gov/clinvar/variation/128739/) variant. This substitution of a single nucleotide is known as a missense mutation.</v>
      </c>
      <c r="C120" s="3" t="str">
        <f>CONCATENATE("            case={  ",CHAR(40),"variantCall ",CHAR(40),CHAR(34),L121,CHAR(34),CHAR(41)," or variantCall ",CHAR(40),CHAR(34),L123,CHAR(34),CHAR(41),CHAR(41))</f>
        <v xml:space="preserve">            case={  (variantCall ("NC_000008.10:g.[27326127A&gt;G];[27326127=]") or variantCall ("NC_000008.10:g.[27326127=];[27326127=]"))</v>
      </c>
      <c r="J120" s="3" t="str">
        <f>J94</f>
        <v>Wildtype</v>
      </c>
      <c r="K120" s="3" t="str">
        <f>K94</f>
        <v>[27328511=]</v>
      </c>
      <c r="L120" s="3" t="str">
        <f>L94</f>
        <v>[27326127=]</v>
      </c>
      <c r="M120" s="3" t="str">
        <f>M94</f>
        <v>[27324822=]</v>
      </c>
      <c r="N120" s="21" t="str">
        <f>N94</f>
        <v>[27321124=]</v>
      </c>
      <c r="O120" s="21" t="str">
        <f>O94</f>
        <v>[12727715=]</v>
      </c>
      <c r="P120" s="5" t="s">
        <v>74</v>
      </c>
      <c r="Q120" s="2" t="str">
        <f>CONCATENATE("People with this variant have two copies of the ",Q31,"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R120" s="3" t="str">
        <f>CONCATENATE("            case={  variantCall ",CHAR(40),CHAR(34),Q118,CHAR(34),CHAR(41))</f>
        <v xml:space="preserve">            case={  variantCall ("NC_000006.11:g.[12727715A&gt;G];[12727715A&gt;G]")</v>
      </c>
      <c r="Y120" s="3" t="str">
        <f>Y94</f>
        <v>Wildtype</v>
      </c>
      <c r="Z120" s="3" t="str">
        <f>Z94</f>
        <v>[27321124=]</v>
      </c>
      <c r="AA120" s="3" t="str">
        <f>AA94</f>
        <v>[12727715=]</v>
      </c>
      <c r="AB120" s="3">
        <f>AB94</f>
        <v>0</v>
      </c>
    </row>
    <row r="121" spans="1:61" s="21" customFormat="1">
      <c r="A121" s="1" t="s">
        <v>28</v>
      </c>
      <c r="B121" s="2" t="s">
        <v>376</v>
      </c>
      <c r="C121" s="3" t="s">
        <v>70</v>
      </c>
      <c r="D121" s="3"/>
      <c r="E121" s="3"/>
      <c r="F121" s="3"/>
      <c r="G121" s="3"/>
      <c r="H121" s="3"/>
      <c r="I121" s="3"/>
      <c r="J121" s="3" t="str">
        <f>J95</f>
        <v>Het</v>
      </c>
      <c r="K121" s="3" t="str">
        <f>K95</f>
        <v>NC_000008.10:g.[27328511G&gt;A];[27328511=]</v>
      </c>
      <c r="L121" s="3" t="str">
        <f>L95</f>
        <v>NC_000008.10:g.[27326127A&gt;G];[27326127=]</v>
      </c>
      <c r="M121" s="3" t="str">
        <f>M95</f>
        <v>NC_000008.10:g.[27324822T&gt;C];[27324822=]</v>
      </c>
      <c r="N121" s="21" t="str">
        <f>N95</f>
        <v>NC_000008.10:g.[27321124A&gt;T];[27321124=]</v>
      </c>
      <c r="O121" s="21" t="str">
        <f>O95</f>
        <v>NC_000006.11:g.[12727715A&gt;G];[12727715=]</v>
      </c>
      <c r="P121" s="1" t="s">
        <v>28</v>
      </c>
      <c r="Q121" s="2" t="s">
        <v>295</v>
      </c>
      <c r="R121" s="3" t="s">
        <v>70</v>
      </c>
      <c r="S121" s="3"/>
      <c r="T121" s="3"/>
      <c r="U121" s="3"/>
      <c r="V121" s="3"/>
      <c r="W121" s="3"/>
      <c r="X121" s="3"/>
      <c r="Y121" s="3" t="str">
        <f>Y95</f>
        <v>Het</v>
      </c>
      <c r="Z121" s="3" t="str">
        <f>Z95</f>
        <v>NC_000008.10:g.[27321124A&gt;T];[27321124=]</v>
      </c>
      <c r="AA121" s="3" t="str">
        <f>AA95</f>
        <v>NC_000006.11:g.[12727715A&gt;G];[12727715=]</v>
      </c>
      <c r="AB121" s="3" t="str">
        <f>AB95</f>
        <v>00;0</v>
      </c>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row>
    <row r="122" spans="1:61" s="10" customFormat="1">
      <c r="A122" s="3" t="s">
        <v>72</v>
      </c>
      <c r="B122" s="29">
        <f>M125</f>
        <v>48.6</v>
      </c>
      <c r="C122" s="3" t="str">
        <f>CONCATENATE("                    ",CHAR(40),"variantCall ",CHAR(40),CHAR(34),L121,CHAR(34),CHAR(41)," or variantCall ",CHAR(40),CHAR(34),L123,CHAR(34),CHAR(41),CHAR(41))</f>
        <v xml:space="preserve">                    (variantCall ("NC_000008.10:g.[27326127A&gt;G];[27326127=]") or variantCall ("NC_000008.10:g.[27326127=];[27326127=]"))</v>
      </c>
      <c r="D122" s="3"/>
      <c r="E122" s="3"/>
      <c r="F122" s="3"/>
      <c r="G122" s="3"/>
      <c r="H122" s="3"/>
      <c r="I122" s="3"/>
      <c r="J122" s="3" t="str">
        <f>J96</f>
        <v>Homo</v>
      </c>
      <c r="K122" s="3" t="str">
        <f>K96</f>
        <v>NC_000008.10:g.[27328511G&gt;A];[27328511G&gt;A]</v>
      </c>
      <c r="L122" s="3" t="str">
        <f>L96</f>
        <v>NC_000008.10:g.[27326127A&gt;G];[27326127A&gt;G]</v>
      </c>
      <c r="M122" s="3" t="str">
        <f>M96</f>
        <v>NC_000008.10:g.[27324822T&gt;C];[27324822T&gt;C]</v>
      </c>
      <c r="N122" s="21" t="str">
        <f>N96</f>
        <v>NC_000008.10:g.[27321124A&gt;T];[27321124A&gt;T]</v>
      </c>
      <c r="O122" s="21" t="str">
        <f>O96</f>
        <v>NC_000006.11:g.[12727715A&gt;G];[12727715A&gt;G]</v>
      </c>
      <c r="P122" s="3" t="s">
        <v>72</v>
      </c>
      <c r="Q122" s="29">
        <f>Z99</f>
        <v>19.899999999999999</v>
      </c>
      <c r="R122" s="3" t="str">
        <f>CONCATENATE("                    ",CHAR(40),"variantCall ",CHAR(40),CHAR(34),AA122,CHAR(34),CHAR(41)," or variantCall ",CHAR(40),CHAR(34),AA123,CHAR(34),CHAR(41),CHAR(41))</f>
        <v xml:space="preserve">                    (variantCall ("NC_000006.11:g.[12727715A&gt;G];[12727715A&gt;G]") or variantCall ("NC_000006.11:g.[12727715=];[12727715=]"))</v>
      </c>
      <c r="S122" s="3"/>
      <c r="T122" s="3"/>
      <c r="U122" s="3"/>
      <c r="V122" s="3"/>
      <c r="W122" s="3"/>
      <c r="X122" s="3"/>
      <c r="Y122" s="3" t="str">
        <f>Y96</f>
        <v>Homo</v>
      </c>
      <c r="Z122" s="3" t="str">
        <f>Z96</f>
        <v>NC_000008.10:g.[27321124A&gt;T];[27321124A&gt;T]</v>
      </c>
      <c r="AA122" s="3" t="str">
        <f>AA96</f>
        <v>NC_000006.11:g.[12727715A&gt;G];[12727715A&gt;G]</v>
      </c>
      <c r="AB122" s="3" t="str">
        <f>AB96</f>
        <v>00;0</v>
      </c>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row>
    <row r="123" spans="1:61">
      <c r="C123" s="3" t="s">
        <v>70</v>
      </c>
      <c r="J123" s="3" t="str">
        <f>J97</f>
        <v>Wildtype</v>
      </c>
      <c r="K123" s="3" t="str">
        <f>K97</f>
        <v>NC_000008.10:g.[27328511=];[27328511=]</v>
      </c>
      <c r="L123" s="3" t="str">
        <f>L97</f>
        <v>NC_000008.10:g.[27326127=];[27326127=]</v>
      </c>
      <c r="M123" s="3" t="str">
        <f>M97</f>
        <v>NC_000008.10:g.[27324822=];[27324822=]</v>
      </c>
      <c r="N123" s="21" t="str">
        <f>N97</f>
        <v>NC_000008.10:g.[27321124=];[27321124=]</v>
      </c>
      <c r="O123" s="21" t="str">
        <f>O97</f>
        <v>NC_000006.11:g.[12727715=];[12727715=]</v>
      </c>
      <c r="Q123" s="15"/>
      <c r="R123" s="3" t="s">
        <v>70</v>
      </c>
      <c r="Y123" s="3" t="str">
        <f>Y97</f>
        <v>Wildtype</v>
      </c>
      <c r="Z123" s="3" t="str">
        <f>Z97</f>
        <v>NC_000008.10:g.[27321124=];[27321124=]</v>
      </c>
      <c r="AA123" s="3" t="str">
        <f>AA97</f>
        <v>NC_000006.11:g.[12727715=];[12727715=]</v>
      </c>
      <c r="AB123" s="3" t="str">
        <f>AB97</f>
        <v>00;0</v>
      </c>
    </row>
    <row r="124" spans="1:61">
      <c r="C124" s="3" t="str">
        <f>CONCATENATE("                    variantCall",CHAR(40),CHAR(34),M122,CHAR(34),CHAR(41))</f>
        <v xml:space="preserve">                    variantCall("NC_000008.10:g.[27324822T&gt;C];[27324822T&gt;C]")</v>
      </c>
      <c r="J124" s="3" t="str">
        <f>J98</f>
        <v>Het%</v>
      </c>
      <c r="K124" s="3">
        <f>K98</f>
        <v>27.5</v>
      </c>
      <c r="L124" s="3">
        <f>L98</f>
        <v>48</v>
      </c>
      <c r="M124" s="3">
        <f>M98</f>
        <v>49.8</v>
      </c>
      <c r="N124" s="21">
        <f>N98</f>
        <v>35.4</v>
      </c>
      <c r="O124" s="21">
        <f>O98</f>
        <v>35.6</v>
      </c>
      <c r="Q124" s="15"/>
      <c r="R124" s="3" t="str">
        <f>CONCATENATE("                    ",CHAR(40),"variantCall ",CHAR(40),CHAR(34),AB122,CHAR(34),CHAR(41)," or variantCall ",CHAR(40),CHAR(34),AB123,CHAR(34),CHAR(41),CHAR(41))</f>
        <v xml:space="preserve">                    (variantCall ("00;0") or variantCall ("00;0"))</v>
      </c>
      <c r="Y124" s="3" t="str">
        <f>Y98</f>
        <v>Het%</v>
      </c>
      <c r="Z124" s="3">
        <f>Z98</f>
        <v>43</v>
      </c>
      <c r="AA124" s="3">
        <f>AA98</f>
        <v>1.8</v>
      </c>
      <c r="AB124" s="3">
        <f>AB98</f>
        <v>15.8</v>
      </c>
    </row>
    <row r="125" spans="1:61">
      <c r="A125" s="14"/>
      <c r="C125" s="3" t="s">
        <v>70</v>
      </c>
      <c r="J125" s="3" t="str">
        <f>J99</f>
        <v>Homo%</v>
      </c>
      <c r="K125" s="3">
        <f>K99</f>
        <v>15.2</v>
      </c>
      <c r="L125" s="3">
        <f>L99</f>
        <v>48.1</v>
      </c>
      <c r="M125" s="3">
        <f>M99</f>
        <v>48.6</v>
      </c>
      <c r="N125" s="21">
        <f>N99</f>
        <v>14.1</v>
      </c>
      <c r="O125" s="21">
        <f>O99</f>
        <v>14.3</v>
      </c>
      <c r="P125" s="14"/>
      <c r="Q125" s="15"/>
      <c r="R125" s="3" t="str">
        <f>CONCATENATE("                  } &gt; ")</f>
        <v xml:space="preserve">                  } &gt; </v>
      </c>
      <c r="Y125" s="3" t="str">
        <f>Y99</f>
        <v>Homo%</v>
      </c>
      <c r="Z125" s="3">
        <f>Z99</f>
        <v>19.899999999999999</v>
      </c>
      <c r="AA125" s="3">
        <f>AA99</f>
        <v>0.5</v>
      </c>
      <c r="AB125" s="3">
        <f>AB99</f>
        <v>4.7</v>
      </c>
    </row>
    <row r="126" spans="1:61">
      <c r="A126" s="26"/>
      <c r="C126" s="3" t="str">
        <f>CONCATENATE("                    ",CHAR(40),"variantCall ",CHAR(40),CHAR(34),N121,CHAR(34),CHAR(41)," or variantCall ",CHAR(40),CHAR(34),N123,CHAR(34),CHAR(41),CHAR(41))</f>
        <v xml:space="preserve">                    (variantCall ("NC_000008.10:g.[27321124A&gt;T];[27321124=]") or variantCall ("NC_000008.10:g.[27321124=];[27321124=]"))</v>
      </c>
      <c r="J126" s="3" t="str">
        <f>J100</f>
        <v>Wildtype%</v>
      </c>
      <c r="K126" s="3">
        <f>K100</f>
        <v>57.3</v>
      </c>
      <c r="L126" s="3">
        <f>L100</f>
        <v>3.9</v>
      </c>
      <c r="M126" s="3">
        <f>M100</f>
        <v>1.6</v>
      </c>
      <c r="N126" s="21">
        <f>N100</f>
        <v>50.5</v>
      </c>
      <c r="O126" s="21">
        <f>O100</f>
        <v>50.1</v>
      </c>
      <c r="P126" s="26"/>
      <c r="Q126" s="15"/>
      <c r="Y126" s="3" t="str">
        <f>Y100</f>
        <v>Wildtype%</v>
      </c>
      <c r="Z126" s="3">
        <f>Z100</f>
        <v>37.1</v>
      </c>
      <c r="AA126" s="3">
        <f>AA100</f>
        <v>97.8</v>
      </c>
      <c r="AB126" s="3">
        <f>AB100</f>
        <v>79.5</v>
      </c>
    </row>
    <row r="127" spans="1:61">
      <c r="A127" s="26"/>
      <c r="C127" s="3" t="s">
        <v>70</v>
      </c>
      <c r="N127" s="21"/>
      <c r="O127" s="21"/>
      <c r="P127" s="26"/>
      <c r="Q127" s="15"/>
    </row>
    <row r="128" spans="1:61">
      <c r="A128" s="26"/>
      <c r="C128" s="3" t="str">
        <f>CONCATENATE("                    ",CHAR(40),"variantCall ",CHAR(40),CHAR(34),O121,CHAR(34),CHAR(41)," or variantCall ",CHAR(40),CHAR(34),O123,CHAR(34),CHAR(41),CHAR(41))</f>
        <v xml:space="preserve">                    (variantCall ("NC_000006.11:g.[12727715A&gt;G];[12727715=]") or variantCall ("NC_000006.11:g.[12727715=];[12727715=]"))</v>
      </c>
      <c r="N128" s="21"/>
      <c r="O128" s="21"/>
      <c r="P128" s="26"/>
      <c r="Q128" s="15"/>
    </row>
    <row r="129" spans="1:61">
      <c r="A129" s="26"/>
      <c r="C129" s="3" t="str">
        <f>CONCATENATE("                  } &gt; ")</f>
        <v xml:space="preserve">                  } &gt; </v>
      </c>
      <c r="N129" s="21"/>
      <c r="O129" s="21"/>
      <c r="P129" s="26"/>
      <c r="Q129" s="15"/>
    </row>
    <row r="130" spans="1:61">
      <c r="A130" s="14"/>
      <c r="C130" s="3" t="s">
        <v>26</v>
      </c>
      <c r="P130" s="14"/>
      <c r="Q130" s="15"/>
      <c r="R130" s="3" t="s">
        <v>26</v>
      </c>
    </row>
    <row r="131" spans="1:61">
      <c r="A131" s="14"/>
      <c r="P131" s="14"/>
      <c r="Q131" s="15"/>
    </row>
    <row r="132" spans="1:61">
      <c r="A132" s="26"/>
      <c r="C132" s="3" t="str">
        <f>CONCATENATE("    ",B120)</f>
        <v xml:space="preserve">    People with this variant have two copies of the [A373G (p.Thr125Ala)](https://www.ncbi.nlm.nih.gov/clinvar/variation/128739/) variant. This substitution of a single nucleotide is known as a missense mutation.</v>
      </c>
      <c r="P132" s="26"/>
      <c r="Q132" s="15"/>
      <c r="R132" s="3" t="str">
        <f>CONCATENATE("    ",Q120)</f>
        <v xml:space="preserve">    People with this variant have two copies of the [889A&gt;T (p.Ile297Phe)](https://www.ncbi.nlm.nih.gov/clinvar/variation/522582/) variant. This substitution of a single nucleotide is known as a missense mutation.</v>
      </c>
    </row>
    <row r="133" spans="1:61">
      <c r="A133" s="14"/>
      <c r="P133" s="14"/>
      <c r="Q133" s="15"/>
    </row>
    <row r="134" spans="1:61">
      <c r="A134" s="14"/>
      <c r="C134" s="3" t="s">
        <v>29</v>
      </c>
      <c r="P134" s="14"/>
      <c r="Q134" s="15"/>
      <c r="R134" s="3" t="s">
        <v>29</v>
      </c>
    </row>
    <row r="135" spans="1:61">
      <c r="A135" s="14"/>
      <c r="P135" s="14"/>
      <c r="Q135" s="15"/>
    </row>
    <row r="136" spans="1:61">
      <c r="A136" s="14"/>
      <c r="C136" s="3" t="str">
        <f>CONCATENATE(B121)</f>
        <v>Your homozygous variant may affect your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A373G (C;C) variant decreases gene expression in both the DNA and RNA, causing significant reduction in NKC activity. This variant was [11X more common in CFS patients at 91.7% compared to 8.3% of the normal population.](https://www.ncbi.nlm.nih.gov/pubmed/27099524)
    # What should I do about this?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v>
      </c>
      <c r="P136" s="14"/>
      <c r="Q136" s="15"/>
      <c r="R136" s="3" t="str">
        <f>CONCATENATE(Q121)</f>
        <v xml:space="preserve">    This variant is associated with an increased risk of [ME/CFS](https://www.ncbi.nlm.nih.gov/pubmed/19540336)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v>
      </c>
    </row>
    <row r="137" spans="1:61">
      <c r="A137" s="26"/>
      <c r="P137" s="26"/>
      <c r="Q137" s="15"/>
    </row>
    <row r="138" spans="1:61">
      <c r="A138" s="26"/>
      <c r="C138" s="3" t="s">
        <v>30</v>
      </c>
      <c r="P138" s="26"/>
      <c r="Q138" s="15"/>
      <c r="R138" s="3" t="s">
        <v>30</v>
      </c>
    </row>
    <row r="139" spans="1:61">
      <c r="A139" s="26"/>
      <c r="P139" s="26"/>
      <c r="Q139" s="15"/>
    </row>
    <row r="140" spans="1:61">
      <c r="A140" s="26"/>
      <c r="C140" s="3" t="str">
        <f>CONCATENATE( "    &lt;# piechart percentage=",B122," / #&gt;")</f>
        <v xml:space="preserve">    &lt;# piechart percentage=48.6 / #&gt;</v>
      </c>
      <c r="P140" s="26"/>
      <c r="Q140" s="15"/>
      <c r="R140" s="3" t="str">
        <f>CONCATENATE( "    &lt;piechart percentage=",Q122," /&gt;")</f>
        <v xml:space="preserve">    &lt;piechart percentage=19.9 /&gt;</v>
      </c>
    </row>
    <row r="141" spans="1:61">
      <c r="A141" s="26"/>
      <c r="C141" s="3" t="str">
        <f>"  &lt;/Analysis&gt;"</f>
        <v xml:space="preserve">  &lt;/Analysis&gt;</v>
      </c>
      <c r="K141" s="3" t="str">
        <f>K116</f>
        <v>rs6691840 TT</v>
      </c>
      <c r="L141" s="3" t="str">
        <f>L116</f>
        <v>rs3913434 CC</v>
      </c>
      <c r="M141" s="3" t="str">
        <f>M116</f>
        <v>rs270838 CC</v>
      </c>
      <c r="P141" s="26"/>
      <c r="Q141" s="15"/>
      <c r="R141" s="3" t="str">
        <f>"  &lt;/Analysis&gt;"</f>
        <v xml:space="preserve">  &lt;/Analysis&gt;</v>
      </c>
      <c r="Z141" s="3">
        <f>Z116</f>
        <v>0</v>
      </c>
      <c r="AA141" s="3">
        <f>AA116</f>
        <v>0</v>
      </c>
      <c r="AB141" s="3">
        <f>AB116</f>
        <v>0</v>
      </c>
    </row>
    <row r="142" spans="1:61">
      <c r="A142" s="28" t="s">
        <v>69</v>
      </c>
      <c r="B142" s="20" t="str">
        <f>CONCATENATE(B46," (A;A)")</f>
        <v>T836A (A;A)</v>
      </c>
      <c r="C142" s="21" t="str">
        <f>CONCATENATE("&lt;# ",B142," #&gt;")</f>
        <v>&lt;# T836A (A;A) #&gt;</v>
      </c>
      <c r="D142" s="21"/>
      <c r="E142" s="21"/>
      <c r="F142" s="21"/>
      <c r="G142" s="21"/>
      <c r="H142" s="21"/>
      <c r="I142" s="21"/>
      <c r="J142" s="21"/>
      <c r="K142" s="21" t="str">
        <f>K117</f>
        <v>C65T</v>
      </c>
      <c r="L142" s="21" t="str">
        <f>L117</f>
        <v>A27468610G</v>
      </c>
      <c r="M142" s="21" t="str">
        <f>M117</f>
        <v>A373G</v>
      </c>
      <c r="N142" s="21" t="str">
        <f>N117</f>
        <v>T836A</v>
      </c>
      <c r="O142" s="21" t="str">
        <f>O117</f>
        <v>T889A</v>
      </c>
      <c r="P142" s="28" t="s">
        <v>69</v>
      </c>
      <c r="Q142" s="20" t="str">
        <f>CONCATENATE(Q28," (T;G)")</f>
        <v>T889A (T;G)</v>
      </c>
      <c r="R142" s="21" t="str">
        <f>CONCATENATE("&lt;# ",Q142," #&gt;")</f>
        <v>&lt;# T889A (T;G) #&gt;</v>
      </c>
      <c r="S142" s="21"/>
      <c r="T142" s="21"/>
      <c r="U142" s="21"/>
      <c r="V142" s="21"/>
      <c r="W142" s="21"/>
      <c r="X142" s="21"/>
      <c r="Y142" s="21"/>
      <c r="Z142" s="21" t="str">
        <f>Z117</f>
        <v>T836A</v>
      </c>
      <c r="AA142" s="21" t="str">
        <f>AA117</f>
        <v>T889A</v>
      </c>
      <c r="AB142" s="21">
        <f>AB117</f>
        <v>0</v>
      </c>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row>
    <row r="143" spans="1:61">
      <c r="A143" s="3" t="s">
        <v>21</v>
      </c>
      <c r="B143" s="29" t="str">
        <f>L146</f>
        <v>NC_000008.10:g.[27326127A&gt;G];[27326127=]</v>
      </c>
      <c r="C143" s="10"/>
      <c r="D143" s="10"/>
      <c r="E143" s="10"/>
      <c r="F143" s="10"/>
      <c r="G143" s="10"/>
      <c r="H143" s="10"/>
      <c r="I143" s="10"/>
      <c r="K143" s="22" t="str">
        <f>K118</f>
        <v>NC_000008.10:g.</v>
      </c>
      <c r="L143" s="22" t="str">
        <f>L118</f>
        <v>NC_000008.10:g.</v>
      </c>
      <c r="M143" s="10" t="str">
        <f>M118</f>
        <v>NC_000008.10:g.</v>
      </c>
      <c r="N143" s="21" t="str">
        <f>N118</f>
        <v>NC_000008.10:g.</v>
      </c>
      <c r="O143" s="21" t="str">
        <f>O118</f>
        <v>NC_000006.11:g.</v>
      </c>
      <c r="P143" s="3" t="s">
        <v>21</v>
      </c>
      <c r="Q143" s="29" t="str">
        <f>AA146</f>
        <v>NC_000006.11:g.[12727715A&gt;G];[12727715=]</v>
      </c>
      <c r="R143" s="10"/>
      <c r="S143" s="10"/>
      <c r="T143" s="10"/>
      <c r="U143" s="10"/>
      <c r="V143" s="10"/>
      <c r="W143" s="10"/>
      <c r="X143" s="10"/>
      <c r="Z143" s="22" t="str">
        <f>Z118</f>
        <v>NC_000008.10:g.</v>
      </c>
      <c r="AA143" s="22" t="str">
        <f>AA118</f>
        <v>NC_000006.11:g.</v>
      </c>
      <c r="AB143" s="10">
        <f>AB118</f>
        <v>0</v>
      </c>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row>
    <row r="144" spans="1:61">
      <c r="A144" s="3" t="s">
        <v>71</v>
      </c>
      <c r="B144" s="29"/>
      <c r="C144" s="3" t="str">
        <f>CONCATENATE("  &lt;Analysis name=",CHAR(34),B142,CHAR(34))</f>
        <v xml:space="preserve">  &lt;Analysis name="T836A (A;A)"</v>
      </c>
      <c r="J144" s="3" t="str">
        <f>J119</f>
        <v>Variant</v>
      </c>
      <c r="K144" s="15" t="str">
        <f>K119</f>
        <v>[27328511G&gt;A]</v>
      </c>
      <c r="L144" s="22" t="str">
        <f>L119</f>
        <v>[27326127A&gt;G]</v>
      </c>
      <c r="M144" s="3" t="str">
        <f>M119</f>
        <v>[27324822T&gt;C]</v>
      </c>
      <c r="N144" s="21" t="str">
        <f>N119</f>
        <v>[27321124A&gt;T]</v>
      </c>
      <c r="O144" s="21" t="str">
        <f>O119</f>
        <v>[12727715A&gt;G]</v>
      </c>
      <c r="P144" s="3" t="s">
        <v>71</v>
      </c>
      <c r="Q144" s="29"/>
      <c r="R144" s="3" t="str">
        <f>CONCATENATE("  &lt;Analysis name=",CHAR(34),Q142,CHAR(34))</f>
        <v xml:space="preserve">  &lt;Analysis name="T889A (T;G)"</v>
      </c>
      <c r="Y144" s="3" t="str">
        <f>Y119</f>
        <v>Variant</v>
      </c>
      <c r="Z144" s="15" t="str">
        <f>Z119</f>
        <v>[27321124A&gt;T]</v>
      </c>
      <c r="AA144" s="22" t="str">
        <f>AA119</f>
        <v>[12727715A&gt;G]</v>
      </c>
      <c r="AB144" s="3">
        <f>AB119</f>
        <v>0</v>
      </c>
    </row>
    <row r="145" spans="1:61">
      <c r="A145" s="5" t="s">
        <v>27</v>
      </c>
      <c r="B145" s="2" t="str">
        <f>CONCATENATE("People with this variant have two copies of the ",B49," variant. This substitution of a single nucleotide is known as a missense mutation.")</f>
        <v>People with this variant have two copies of the [T836A (p.Ile279Asn)](https://www.ncbi.nlm.nih.gov/clinvar/variation/17504/) variant. This substitution of a single nucleotide is known as a missense mutation.</v>
      </c>
      <c r="C145" s="3" t="str">
        <f>CONCATENATE("            case={  ",CHAR(40),"variantCall ",CHAR(40),CHAR(34),L146,CHAR(34),CHAR(41)," or variantCall ",CHAR(40),CHAR(34),L148,CHAR(34),CHAR(41),CHAR(41))</f>
        <v xml:space="preserve">            case={  (variantCall ("NC_000008.10:g.[27326127A&gt;G];[27326127=]") or variantCall ("NC_000008.10:g.[27326127=];[27326127=]"))</v>
      </c>
      <c r="J145" s="3" t="str">
        <f>J120</f>
        <v>Wildtype</v>
      </c>
      <c r="K145" s="15" t="str">
        <f>K120</f>
        <v>[27328511=]</v>
      </c>
      <c r="L145" s="22" t="str">
        <f>L120</f>
        <v>[27326127=]</v>
      </c>
      <c r="M145" s="3" t="str">
        <f>M120</f>
        <v>[27324822=]</v>
      </c>
      <c r="N145" s="21" t="str">
        <f>N120</f>
        <v>[27321124=]</v>
      </c>
      <c r="O145" s="21" t="str">
        <f>O120</f>
        <v>[12727715=]</v>
      </c>
      <c r="P145" s="5" t="s">
        <v>27</v>
      </c>
      <c r="Q145" s="2" t="str">
        <f>CONCATENATE("People with this variant have one copy of the ",Q31," variant. This substitution of a single nucleotide is known as a missense mutation.")</f>
        <v>People with this variant have one copy of the [889A&gt;T (p.Ile297Phe)](https://www.ncbi.nlm.nih.gov/clinvar/variation/522582/) variant. This substitution of a single nucleotide is known as a missense mutation.</v>
      </c>
      <c r="R145" s="3" t="str">
        <f>CONCATENATE("            case={  variantCall ",CHAR(40),CHAR(34),AA146,CHAR(34),CHAR(41))</f>
        <v xml:space="preserve">            case={  variantCall ("NC_000006.11:g.[12727715A&gt;G];[12727715=]")</v>
      </c>
      <c r="Y145" s="3" t="str">
        <f>Y120</f>
        <v>Wildtype</v>
      </c>
      <c r="Z145" s="15" t="str">
        <f>Z120</f>
        <v>[27321124=]</v>
      </c>
      <c r="AA145" s="22" t="str">
        <f>AA120</f>
        <v>[12727715=]</v>
      </c>
      <c r="AB145" s="3">
        <f>AB120</f>
        <v>0</v>
      </c>
    </row>
    <row r="146" spans="1:61" s="21" customFormat="1">
      <c r="A146" s="1" t="s">
        <v>28</v>
      </c>
      <c r="B146" s="2" t="s">
        <v>377</v>
      </c>
      <c r="C146" s="3" t="s">
        <v>70</v>
      </c>
      <c r="D146" s="3"/>
      <c r="E146" s="3"/>
      <c r="F146" s="3"/>
      <c r="G146" s="3"/>
      <c r="H146" s="3"/>
      <c r="I146" s="3"/>
      <c r="J146" s="3" t="str">
        <f>J121</f>
        <v>Het</v>
      </c>
      <c r="K146" s="15" t="str">
        <f>K121</f>
        <v>NC_000008.10:g.[27328511G&gt;A];[27328511=]</v>
      </c>
      <c r="L146" s="15" t="str">
        <f>L121</f>
        <v>NC_000008.10:g.[27326127A&gt;G];[27326127=]</v>
      </c>
      <c r="M146" s="3" t="str">
        <f>M121</f>
        <v>NC_000008.10:g.[27324822T&gt;C];[27324822=]</v>
      </c>
      <c r="N146" s="21" t="str">
        <f>N121</f>
        <v>NC_000008.10:g.[27321124A&gt;T];[27321124=]</v>
      </c>
      <c r="O146" s="21" t="str">
        <f>O121</f>
        <v>NC_000006.11:g.[12727715A&gt;G];[12727715=]</v>
      </c>
      <c r="P146" s="1" t="s">
        <v>28</v>
      </c>
      <c r="Q146" s="2" t="s">
        <v>292</v>
      </c>
      <c r="R146" s="3" t="s">
        <v>70</v>
      </c>
      <c r="S146" s="3"/>
      <c r="T146" s="3"/>
      <c r="U146" s="3"/>
      <c r="V146" s="3"/>
      <c r="W146" s="3"/>
      <c r="X146" s="3"/>
      <c r="Y146" s="3" t="str">
        <f>Y121</f>
        <v>Het</v>
      </c>
      <c r="Z146" s="15" t="str">
        <f>Z121</f>
        <v>NC_000008.10:g.[27321124A&gt;T];[27321124=]</v>
      </c>
      <c r="AA146" s="15" t="str">
        <f>AA121</f>
        <v>NC_000006.11:g.[12727715A&gt;G];[12727715=]</v>
      </c>
      <c r="AB146" s="3" t="str">
        <f>AB121</f>
        <v>00;0</v>
      </c>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row>
    <row r="147" spans="1:61" s="10" customFormat="1">
      <c r="A147" s="3" t="s">
        <v>72</v>
      </c>
      <c r="B147" s="29">
        <f>N150</f>
        <v>14.1</v>
      </c>
      <c r="C147" s="3" t="str">
        <f>CONCATENATE("                    ",CHAR(40),"variantCall ",CHAR(40),CHAR(34),L146,CHAR(34),CHAR(41)," or variantCall ",CHAR(40),CHAR(34),L148,CHAR(34),CHAR(41),CHAR(41))</f>
        <v xml:space="preserve">                    (variantCall ("NC_000008.10:g.[27326127A&gt;G];[27326127=]") or variantCall ("NC_000008.10:g.[27326127=];[27326127=]"))</v>
      </c>
      <c r="D147" s="3"/>
      <c r="E147" s="3"/>
      <c r="F147" s="3"/>
      <c r="G147" s="3"/>
      <c r="H147" s="3"/>
      <c r="I147" s="3"/>
      <c r="J147" s="3" t="str">
        <f>J122</f>
        <v>Homo</v>
      </c>
      <c r="K147" s="15" t="str">
        <f>K122</f>
        <v>NC_000008.10:g.[27328511G&gt;A];[27328511G&gt;A]</v>
      </c>
      <c r="L147" s="15" t="str">
        <f>L122</f>
        <v>NC_000008.10:g.[27326127A&gt;G];[27326127A&gt;G]</v>
      </c>
      <c r="M147" s="3" t="str">
        <f>M122</f>
        <v>NC_000008.10:g.[27324822T&gt;C];[27324822T&gt;C]</v>
      </c>
      <c r="N147" s="21" t="str">
        <f>N122</f>
        <v>NC_000008.10:g.[27321124A&gt;T];[27321124A&gt;T]</v>
      </c>
      <c r="O147" s="21" t="str">
        <f>O122</f>
        <v>NC_000006.11:g.[12727715A&gt;G];[12727715A&gt;G]</v>
      </c>
      <c r="P147" s="3" t="s">
        <v>72</v>
      </c>
      <c r="Q147" s="29">
        <f>AA98</f>
        <v>1.8</v>
      </c>
      <c r="R147" s="3" t="str">
        <f>CONCATENATE("                    ",CHAR(40),"variantCall ",CHAR(40),CHAR(34),AB147,CHAR(34),CHAR(41)," or variantCall ",CHAR(40),CHAR(34),AB148,CHAR(34),CHAR(41),CHAR(41))</f>
        <v xml:space="preserve">                    (variantCall ("00;0") or variantCall ("00;0"))</v>
      </c>
      <c r="S147" s="3"/>
      <c r="T147" s="3"/>
      <c r="U147" s="3"/>
      <c r="V147" s="3"/>
      <c r="W147" s="3"/>
      <c r="X147" s="3"/>
      <c r="Y147" s="3" t="str">
        <f>Y122</f>
        <v>Homo</v>
      </c>
      <c r="Z147" s="15" t="str">
        <f>Z122</f>
        <v>NC_000008.10:g.[27321124A&gt;T];[27321124A&gt;T]</v>
      </c>
      <c r="AA147" s="15" t="str">
        <f>AA122</f>
        <v>NC_000006.11:g.[12727715A&gt;G];[12727715A&gt;G]</v>
      </c>
      <c r="AB147" s="3" t="str">
        <f>AB122</f>
        <v>00;0</v>
      </c>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row>
    <row r="148" spans="1:61">
      <c r="B148" s="29"/>
      <c r="C148" s="3" t="s">
        <v>70</v>
      </c>
      <c r="J148" s="3" t="str">
        <f>J123</f>
        <v>Wildtype</v>
      </c>
      <c r="K148" s="2" t="str">
        <f>K123</f>
        <v>NC_000008.10:g.[27328511=];[27328511=]</v>
      </c>
      <c r="L148" s="2" t="str">
        <f>L123</f>
        <v>NC_000008.10:g.[27326127=];[27326127=]</v>
      </c>
      <c r="M148" s="3" t="str">
        <f>M123</f>
        <v>NC_000008.10:g.[27324822=];[27324822=]</v>
      </c>
      <c r="N148" s="21" t="str">
        <f>N123</f>
        <v>NC_000008.10:g.[27321124=];[27321124=]</v>
      </c>
      <c r="O148" s="21" t="str">
        <f>O123</f>
        <v>NC_000006.11:g.[12727715=];[12727715=]</v>
      </c>
      <c r="Q148" s="29"/>
      <c r="R148" s="3" t="s">
        <v>70</v>
      </c>
      <c r="Y148" s="3" t="str">
        <f>Y123</f>
        <v>Wildtype</v>
      </c>
      <c r="Z148" s="2" t="str">
        <f>Z123</f>
        <v>NC_000008.10:g.[27321124=];[27321124=]</v>
      </c>
      <c r="AA148" s="2" t="str">
        <f>AA123</f>
        <v>NC_000006.11:g.[12727715=];[12727715=]</v>
      </c>
      <c r="AB148" s="3" t="str">
        <f>AB123</f>
        <v>00;0</v>
      </c>
    </row>
    <row r="149" spans="1:61">
      <c r="B149" s="29"/>
      <c r="C149" s="3" t="str">
        <f>CONCATENATE("                    ",CHAR(40),"variantCall ",CHAR(40),CHAR(34),M146,CHAR(34),CHAR(41)," or variantCall ",CHAR(40),CHAR(34),M148,CHAR(34),CHAR(41),CHAR(41))</f>
        <v xml:space="preserve">                    (variantCall ("NC_000008.10:g.[27324822T&gt;C];[27324822=]") or variantCall ("NC_000008.10:g.[27324822=];[27324822=]"))</v>
      </c>
      <c r="J149" s="3" t="str">
        <f>J124</f>
        <v>Het%</v>
      </c>
      <c r="K149" s="15">
        <f>K124</f>
        <v>27.5</v>
      </c>
      <c r="L149" s="15">
        <f>L124</f>
        <v>48</v>
      </c>
      <c r="M149" s="3">
        <f>M124</f>
        <v>49.8</v>
      </c>
      <c r="N149" s="21">
        <f>N124</f>
        <v>35.4</v>
      </c>
      <c r="O149" s="21">
        <f>O124</f>
        <v>35.6</v>
      </c>
      <c r="Q149" s="29"/>
      <c r="R149" s="3" t="str">
        <f>CONCATENATE("                    variantCall ",CHAR(40),CHAR(34),Z148,CHAR(34),CHAR(41))</f>
        <v xml:space="preserve">                    variantCall ("NC_000008.10:g.[27321124=];[27321124=]")</v>
      </c>
      <c r="Y149" s="3" t="str">
        <f>Y124</f>
        <v>Het%</v>
      </c>
      <c r="Z149" s="15">
        <f>Z124</f>
        <v>43</v>
      </c>
      <c r="AA149" s="15">
        <f>AA124</f>
        <v>1.8</v>
      </c>
      <c r="AB149" s="3">
        <f>AB124</f>
        <v>15.8</v>
      </c>
    </row>
    <row r="150" spans="1:61">
      <c r="C150" s="3" t="s">
        <v>70</v>
      </c>
      <c r="J150" s="3" t="str">
        <f>J125</f>
        <v>Homo%</v>
      </c>
      <c r="K150" s="2">
        <f>K125</f>
        <v>15.2</v>
      </c>
      <c r="L150" s="2">
        <f>L125</f>
        <v>48.1</v>
      </c>
      <c r="M150" s="3">
        <f>M125</f>
        <v>48.6</v>
      </c>
      <c r="N150" s="21">
        <f>N125</f>
        <v>14.1</v>
      </c>
      <c r="O150" s="21">
        <f>O125</f>
        <v>14.3</v>
      </c>
      <c r="Q150" s="15"/>
      <c r="R150" s="3" t="str">
        <f>CONCATENATE("                  } &gt; ")</f>
        <v xml:space="preserve">                  } &gt; </v>
      </c>
      <c r="Y150" s="3" t="str">
        <f>Y125</f>
        <v>Homo%</v>
      </c>
      <c r="Z150" s="2">
        <f>Z125</f>
        <v>19.899999999999999</v>
      </c>
      <c r="AA150" s="2">
        <f>AA125</f>
        <v>0.5</v>
      </c>
      <c r="AB150" s="3">
        <f>AB125</f>
        <v>4.7</v>
      </c>
    </row>
    <row r="151" spans="1:61">
      <c r="C151" s="3" t="str">
        <f>CONCATENATE("                    variantCall ",CHAR(40),CHAR(34),N147,CHAR(34),CHAR(41))</f>
        <v xml:space="preserve">                    variantCall ("NC_000008.10:g.[27321124A&gt;T];[27321124A&gt;T]")</v>
      </c>
      <c r="J151" s="3" t="str">
        <f>J126</f>
        <v>Wildtype%</v>
      </c>
      <c r="K151" s="2">
        <f>K126</f>
        <v>57.3</v>
      </c>
      <c r="L151" s="2">
        <f>L126</f>
        <v>3.9</v>
      </c>
      <c r="M151" s="3">
        <f>M126</f>
        <v>1.6</v>
      </c>
      <c r="N151" s="21">
        <f>N126</f>
        <v>50.5</v>
      </c>
      <c r="O151" s="21">
        <f>O126</f>
        <v>50.1</v>
      </c>
      <c r="Q151" s="15"/>
      <c r="Y151" s="3" t="str">
        <f>Y126</f>
        <v>Wildtype%</v>
      </c>
      <c r="Z151" s="2">
        <f>Z126</f>
        <v>37.1</v>
      </c>
      <c r="AA151" s="2">
        <f>AA126</f>
        <v>97.8</v>
      </c>
      <c r="AB151" s="3">
        <f>AB126</f>
        <v>79.5</v>
      </c>
    </row>
    <row r="152" spans="1:61">
      <c r="A152" s="26"/>
      <c r="C152" s="3" t="s">
        <v>70</v>
      </c>
      <c r="N152" s="21"/>
      <c r="O152" s="21"/>
      <c r="P152" s="26"/>
      <c r="Q152" s="15"/>
    </row>
    <row r="153" spans="1:61">
      <c r="A153" s="26"/>
      <c r="C153" s="3" t="str">
        <f>CONCATENATE("                    ",CHAR(40),"variantCall ",CHAR(40),CHAR(34),O146,CHAR(34),CHAR(41)," or variantCall ",CHAR(40),CHAR(34),O148,CHAR(34),CHAR(41),CHAR(41))</f>
        <v xml:space="preserve">                    (variantCall ("NC_000006.11:g.[12727715A&gt;G];[12727715=]") or variantCall ("NC_000006.11:g.[12727715=];[12727715=]"))</v>
      </c>
      <c r="N153" s="21"/>
      <c r="O153" s="21"/>
      <c r="P153" s="26"/>
      <c r="Q153" s="15"/>
    </row>
    <row r="154" spans="1:61">
      <c r="A154" s="26"/>
      <c r="C154" s="3" t="str">
        <f>CONCATENATE("                  } &gt; ")</f>
        <v xml:space="preserve">                  } &gt; </v>
      </c>
      <c r="N154" s="21"/>
      <c r="O154" s="21"/>
      <c r="P154" s="26"/>
      <c r="Q154" s="15"/>
    </row>
    <row r="155" spans="1:61">
      <c r="A155" s="14"/>
      <c r="C155" s="3" t="s">
        <v>26</v>
      </c>
      <c r="P155" s="14"/>
      <c r="Q155" s="15"/>
      <c r="R155" s="3" t="s">
        <v>26</v>
      </c>
    </row>
    <row r="156" spans="1:61">
      <c r="A156" s="26"/>
      <c r="P156" s="26"/>
      <c r="Q156" s="15"/>
    </row>
    <row r="157" spans="1:61">
      <c r="A157" s="14"/>
      <c r="C157" s="3" t="str">
        <f>CONCATENATE("    ",B145)</f>
        <v xml:space="preserve">    People with this variant have two copies of the [T836A (p.Ile279Asn)](https://www.ncbi.nlm.nih.gov/clinvar/variation/17504/) variant. This substitution of a single nucleotide is known as a missense mutation.</v>
      </c>
      <c r="P157" s="14"/>
      <c r="Q157" s="15"/>
      <c r="R157" s="3" t="str">
        <f>CONCATENATE("    ",Q145)</f>
        <v xml:space="preserve">    People with this variant have one copy of the [889A&gt;T (p.Ile297Phe)](https://www.ncbi.nlm.nih.gov/clinvar/variation/522582/) variant. This substitution of a single nucleotide is known as a missense mutation.</v>
      </c>
    </row>
    <row r="158" spans="1:61">
      <c r="A158" s="14"/>
      <c r="P158" s="14"/>
      <c r="Q158" s="15"/>
    </row>
    <row r="159" spans="1:61">
      <c r="A159" s="26"/>
      <c r="C159" s="3" t="s">
        <v>29</v>
      </c>
      <c r="P159" s="26"/>
      <c r="Q159" s="15"/>
      <c r="R159" s="3" t="s">
        <v>29</v>
      </c>
    </row>
    <row r="160" spans="1:61">
      <c r="A160" s="14"/>
      <c r="P160" s="14"/>
      <c r="Q160" s="15"/>
    </row>
    <row r="161" spans="1:61">
      <c r="A161" s="14"/>
      <c r="C161" s="3" t="str">
        <f>CONCATENATE(B146)</f>
        <v>Epilepsy is a brain disorder that causes people to have recurring seizures. The brain sends wrong signals and may cause uncontrollable muscle spasms or fainting. Your homozygous [T836A (p.Ile279Asn) (A;A)](https://www.ncbi.nlm.nih.gov/clinvar/variation/17504/)
variant is associated with nocturnal frontal lobe epilepsy, which means epileptic attacks caused by sleep. These attacks may include feelings of fear, tongue movements, and sleepwalking, which closely resembles nightmares and sleep walking, and may mimic sleep issues associated with ME/CFS.
# What should I do about this?
Doctors use brain scans and other tests to diagnose epilepsy. It is important to start treatment right away. There is no cure for epilepsy, but it can be controlled by medication. Consult your physician on [medications](http://www.uniprot.org/uniprot/Q15822) associated with CHRNA2 including: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and Vecuronium.
Other treatments may include surgery, Vagus Nerve Stimulation, or special diets.  Lifestyle changes include:
* Recognize seizure triggers (such as stress), and lower your risk
* Keep a record of your seizures to help identify patterns
* Get enough sleep
* Maintain a strong social support network
ME/CFS patients should consider a brain scan or sleep study to rule out if nocturnal epilepsy is causing sleep issues.</v>
      </c>
      <c r="P161" s="14"/>
      <c r="Q161" s="15"/>
      <c r="R161" s="3" t="str">
        <f>CONCATENATE(Q146)</f>
        <v xml:space="preserve">    This variant is associated with increased “oxidative stress,” which is caused by [free radicals](https://nccih.nih.gov/health/antioxidants/introduction.htm) triggering cell damage. The increased risk of oxidative stress also leads to [cancer](https://www.ncbi.nlm.nih.gov/pubmed/21716162). ME/CFS patients often show [increased oxidative stress](https://www.ncbi.nlm.nih.gov/pubmed/27580693) that can be measured as increased levels of [thiobarbituric acid reactive substances](https://www.ncbi.nlm.nih.gov/pubmed/19457057) (TBARS), an oxidative stress blood marker, and decreased [reduced ascorbic-acid](https://www.ncbi.nlm.nih.gov/pubmed/19457057) (RAA), an antioxidant defense marker. This is associated with [increased symptom severity](https://www.ncbi.nlm.nih.gov/pubmed/29065167) and muscle weakness.
    # What should I do about this?
    Oxidative stress may be mitigated through environmental changes, [antioxidants](https://nccih.nih.gov/health/antioxidants/introduction.htm), and dietary changes.
    - [Robuvit](https://www.robuvit.com/home/)® (oak wood extract) is effective in reducing [oxidative stress](https://www.ncbi.nlm.nih.gov/pubmed/29164838) and [fatigue](https://www.ncbi.nlm.nih.gov/pubmed/29719945), while improving cognition, sleep, and memory. Consider taking [300mg/day](https://www.minervamedica.it/en/journals/sports-med-physical-fitness/article.php?cod=R40Y2018N05A0678).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v>
      </c>
    </row>
    <row r="162" spans="1:61">
      <c r="A162" s="14"/>
      <c r="P162" s="14"/>
      <c r="Q162" s="15"/>
    </row>
    <row r="163" spans="1:61">
      <c r="A163" s="14"/>
      <c r="C163" s="3" t="s">
        <v>30</v>
      </c>
      <c r="P163" s="14"/>
      <c r="Q163" s="15"/>
      <c r="R163" s="3" t="s">
        <v>30</v>
      </c>
    </row>
    <row r="164" spans="1:61">
      <c r="A164" s="26"/>
      <c r="P164" s="26"/>
      <c r="Q164" s="15"/>
    </row>
    <row r="165" spans="1:61">
      <c r="A165" s="26"/>
      <c r="C165" s="3" t="str">
        <f>CONCATENATE( "    &lt;# piechart percentage=",B147," / #&gt;")</f>
        <v xml:space="preserve">    &lt;# piechart percentage=14.1 / #&gt;</v>
      </c>
      <c r="P165" s="26"/>
      <c r="Q165" s="15"/>
      <c r="R165" s="3" t="str">
        <f>CONCATENATE( "    &lt;piechart percentage=",Q147," /&gt;")</f>
        <v xml:space="preserve">    &lt;piechart percentage=1.8 /&gt;</v>
      </c>
    </row>
    <row r="166" spans="1:61">
      <c r="A166" s="26"/>
      <c r="C166" s="3" t="str">
        <f>"  &lt;/Analysis&gt;"</f>
        <v xml:space="preserve">  &lt;/Analysis&gt;</v>
      </c>
      <c r="K166" s="3" t="str">
        <f>K141</f>
        <v>rs6691840 TT</v>
      </c>
      <c r="L166" s="3" t="str">
        <f>L141</f>
        <v>rs3913434 CC</v>
      </c>
      <c r="M166" s="3" t="str">
        <f>M141</f>
        <v>rs270838 CC</v>
      </c>
      <c r="P166" s="26"/>
      <c r="Q166" s="15"/>
      <c r="R166" s="3" t="str">
        <f>"  &lt;/Analysis&gt;"</f>
        <v xml:space="preserve">  &lt;/Analysis&gt;</v>
      </c>
      <c r="Z166" s="3">
        <f>Z141</f>
        <v>0</v>
      </c>
      <c r="AA166" s="3">
        <f>AA141</f>
        <v>0</v>
      </c>
      <c r="AB166" s="3">
        <f>AB141</f>
        <v>0</v>
      </c>
    </row>
    <row r="167" spans="1:61">
      <c r="A167" s="28" t="s">
        <v>69</v>
      </c>
      <c r="B167" s="20" t="str">
        <f>CONCATENATE(B55," (A;A)")</f>
        <v>T889A (A;A)</v>
      </c>
      <c r="C167" s="21" t="str">
        <f>CONCATENATE("&lt;# ",B167," #&gt;")</f>
        <v>&lt;# T889A (A;A) #&gt;</v>
      </c>
      <c r="D167" s="21"/>
      <c r="E167" s="21"/>
      <c r="F167" s="21"/>
      <c r="G167" s="21"/>
      <c r="H167" s="21"/>
      <c r="I167" s="21"/>
      <c r="J167" s="21"/>
      <c r="K167" s="21" t="str">
        <f>K142</f>
        <v>C65T</v>
      </c>
      <c r="L167" s="21" t="str">
        <f>L142</f>
        <v>A27468610G</v>
      </c>
      <c r="M167" s="21" t="str">
        <f>M142</f>
        <v>A373G</v>
      </c>
      <c r="N167" s="21" t="str">
        <f>N142</f>
        <v>T836A</v>
      </c>
      <c r="O167" s="21" t="str">
        <f>O142</f>
        <v>T889A</v>
      </c>
      <c r="P167" s="28" t="s">
        <v>69</v>
      </c>
      <c r="Q167" s="20" t="str">
        <f>CONCATENATE(Q68," (C;T)")</f>
        <v xml:space="preserve"> (C;T)</v>
      </c>
      <c r="R167" s="21" t="str">
        <f>CONCATENATE("&lt;# ",Q167," #&gt;")</f>
        <v>&lt;#  (C;T) #&gt;</v>
      </c>
      <c r="S167" s="21"/>
      <c r="T167" s="21"/>
      <c r="U167" s="21"/>
      <c r="V167" s="21"/>
      <c r="W167" s="21"/>
      <c r="X167" s="21"/>
      <c r="Y167" s="21"/>
      <c r="Z167" s="21" t="str">
        <f>Z142</f>
        <v>T836A</v>
      </c>
      <c r="AA167" s="21" t="str">
        <f>AA142</f>
        <v>T889A</v>
      </c>
      <c r="AB167" s="21">
        <f>AB142</f>
        <v>0</v>
      </c>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row>
    <row r="168" spans="1:61">
      <c r="A168" s="3" t="s">
        <v>21</v>
      </c>
      <c r="B168" s="29" t="str">
        <f>L173</f>
        <v>NC_000008.10:g.[27326127=];[27326127=]</v>
      </c>
      <c r="C168" s="10"/>
      <c r="D168" s="10"/>
      <c r="E168" s="10"/>
      <c r="F168" s="10"/>
      <c r="G168" s="10"/>
      <c r="H168" s="10"/>
      <c r="I168" s="10"/>
      <c r="K168" s="22" t="str">
        <f>K143</f>
        <v>NC_000008.10:g.</v>
      </c>
      <c r="L168" s="22" t="str">
        <f>L143</f>
        <v>NC_000008.10:g.</v>
      </c>
      <c r="M168" s="10" t="str">
        <f>M143</f>
        <v>NC_000008.10:g.</v>
      </c>
      <c r="N168" s="21" t="str">
        <f>N143</f>
        <v>NC_000008.10:g.</v>
      </c>
      <c r="O168" s="21" t="str">
        <f>O143</f>
        <v>NC_000006.11:g.</v>
      </c>
      <c r="P168" s="3" t="s">
        <v>21</v>
      </c>
      <c r="Q168" s="29" t="str">
        <f>AA171</f>
        <v>NC_000006.11:g.[12727715A&gt;G];[12727715=]</v>
      </c>
      <c r="R168" s="10"/>
      <c r="S168" s="10"/>
      <c r="T168" s="10"/>
      <c r="U168" s="10"/>
      <c r="V168" s="10"/>
      <c r="W168" s="10"/>
      <c r="X168" s="10"/>
      <c r="Z168" s="22" t="str">
        <f>Z143</f>
        <v>NC_000008.10:g.</v>
      </c>
      <c r="AA168" s="22" t="str">
        <f>AA143</f>
        <v>NC_000006.11:g.</v>
      </c>
      <c r="AB168" s="10">
        <f>AB143</f>
        <v>0</v>
      </c>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row>
    <row r="169" spans="1:61">
      <c r="A169" s="3" t="s">
        <v>71</v>
      </c>
      <c r="B169" s="29"/>
      <c r="C169" s="3" t="str">
        <f>CONCATENATE("  &lt;Analysis name=",CHAR(34),B167,CHAR(34))</f>
        <v xml:space="preserve">  &lt;Analysis name="T889A (A;A)"</v>
      </c>
      <c r="J169" s="3" t="str">
        <f>J144</f>
        <v>Variant</v>
      </c>
      <c r="K169" s="15" t="str">
        <f>K144</f>
        <v>[27328511G&gt;A]</v>
      </c>
      <c r="L169" s="22" t="str">
        <f>L144</f>
        <v>[27326127A&gt;G]</v>
      </c>
      <c r="M169" s="3" t="str">
        <f>M144</f>
        <v>[27324822T&gt;C]</v>
      </c>
      <c r="N169" s="21" t="str">
        <f>N144</f>
        <v>[27321124A&gt;T]</v>
      </c>
      <c r="O169" s="21" t="str">
        <f>O144</f>
        <v>[12727715A&gt;G]</v>
      </c>
      <c r="P169" s="3" t="s">
        <v>71</v>
      </c>
      <c r="Q169" s="29"/>
      <c r="R169" s="3" t="str">
        <f>CONCATENATE("  &lt;Analysis name=",CHAR(34),Q167,CHAR(34))</f>
        <v xml:space="preserve">  &lt;Analysis name=" (C;T)"</v>
      </c>
      <c r="Y169" s="3" t="str">
        <f>Y144</f>
        <v>Variant</v>
      </c>
      <c r="Z169" s="15" t="str">
        <f>Z144</f>
        <v>[27321124A&gt;T]</v>
      </c>
      <c r="AA169" s="22" t="str">
        <f>AA144</f>
        <v>[12727715A&gt;G]</v>
      </c>
      <c r="AB169" s="3">
        <f>AB144</f>
        <v>0</v>
      </c>
    </row>
    <row r="170" spans="1:61">
      <c r="A170" s="5" t="s">
        <v>27</v>
      </c>
      <c r="B170" s="2" t="str">
        <f>CONCATENATE("People with this variant have two copies of the ",B58,"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C170" s="3" t="str">
        <f>CONCATENATE("            case={  ",CHAR(40),"variantCall ",CHAR(40),CHAR(34),L171,CHAR(34),CHAR(41)," or variantCall ",CHAR(40),CHAR(34),L173,CHAR(34),CHAR(41),CHAR(41))</f>
        <v xml:space="preserve">            case={  (variantCall ("NC_000008.10:g.[27326127A&gt;G];[27326127=]") or variantCall ("NC_000008.10:g.[27326127=];[27326127=]"))</v>
      </c>
      <c r="J170" s="3" t="str">
        <f>J145</f>
        <v>Wildtype</v>
      </c>
      <c r="K170" s="15" t="str">
        <f>K145</f>
        <v>[27328511=]</v>
      </c>
      <c r="L170" s="22" t="str">
        <f>L145</f>
        <v>[27326127=]</v>
      </c>
      <c r="M170" s="3" t="str">
        <f>M145</f>
        <v>[27324822=]</v>
      </c>
      <c r="N170" s="21" t="str">
        <f>N145</f>
        <v>[27321124=]</v>
      </c>
      <c r="O170" s="21" t="str">
        <f>O145</f>
        <v>[12727715=]</v>
      </c>
      <c r="P170" s="5" t="s">
        <v>27</v>
      </c>
      <c r="Q170" s="2" t="e">
        <f>CONCATENATE("People with this variant have one copy of the ",Q71," variant. This substitution of a single nucleotide is known as a missense mutation.")</f>
        <v>#REF!</v>
      </c>
      <c r="R170" s="3" t="str">
        <f>CONCATENATE("            case={  variantCall ",CHAR(40),CHAR(34),AA171,CHAR(34),CHAR(41))</f>
        <v xml:space="preserve">            case={  variantCall ("NC_000006.11:g.[12727715A&gt;G];[12727715=]")</v>
      </c>
      <c r="Y170" s="3" t="str">
        <f>Y145</f>
        <v>Wildtype</v>
      </c>
      <c r="Z170" s="15" t="str">
        <f>Z145</f>
        <v>[27321124=]</v>
      </c>
      <c r="AA170" s="22" t="str">
        <f>AA145</f>
        <v>[12727715=]</v>
      </c>
      <c r="AB170" s="3">
        <f>AB145</f>
        <v>0</v>
      </c>
    </row>
    <row r="171" spans="1:61" s="21" customFormat="1">
      <c r="A171" s="1" t="s">
        <v>28</v>
      </c>
      <c r="B171" s="2" t="s">
        <v>378</v>
      </c>
      <c r="C171" s="3" t="s">
        <v>70</v>
      </c>
      <c r="D171" s="3"/>
      <c r="E171" s="3"/>
      <c r="F171" s="3"/>
      <c r="G171" s="3"/>
      <c r="H171" s="3"/>
      <c r="I171" s="3"/>
      <c r="J171" s="3" t="str">
        <f>J146</f>
        <v>Het</v>
      </c>
      <c r="K171" s="15" t="str">
        <f>K146</f>
        <v>NC_000008.10:g.[27328511G&gt;A];[27328511=]</v>
      </c>
      <c r="L171" s="15" t="str">
        <f>L146</f>
        <v>NC_000008.10:g.[27326127A&gt;G];[27326127=]</v>
      </c>
      <c r="M171" s="3" t="str">
        <f>M146</f>
        <v>NC_000008.10:g.[27324822T&gt;C];[27324822=]</v>
      </c>
      <c r="N171" s="21" t="str">
        <f>N146</f>
        <v>NC_000008.10:g.[27321124A&gt;T];[27321124=]</v>
      </c>
      <c r="O171" s="21" t="str">
        <f>O146</f>
        <v>NC_000006.11:g.[12727715A&gt;G];[12727715=]</v>
      </c>
      <c r="P171" s="1" t="s">
        <v>28</v>
      </c>
      <c r="Q171" s="15" t="s">
        <v>111</v>
      </c>
      <c r="R171" s="3" t="s">
        <v>70</v>
      </c>
      <c r="S171" s="3"/>
      <c r="T171" s="3"/>
      <c r="U171" s="3"/>
      <c r="V171" s="3"/>
      <c r="W171" s="3"/>
      <c r="X171" s="3"/>
      <c r="Y171" s="3" t="str">
        <f>Y146</f>
        <v>Het</v>
      </c>
      <c r="Z171" s="15" t="str">
        <f>Z146</f>
        <v>NC_000008.10:g.[27321124A&gt;T];[27321124=]</v>
      </c>
      <c r="AA171" s="15" t="str">
        <f>AA146</f>
        <v>NC_000006.11:g.[12727715A&gt;G];[12727715=]</v>
      </c>
      <c r="AB171" s="3" t="str">
        <f>AB146</f>
        <v>00;0</v>
      </c>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row>
    <row r="172" spans="1:61">
      <c r="A172" s="3" t="s">
        <v>72</v>
      </c>
      <c r="B172" s="29">
        <f>O175</f>
        <v>14.3</v>
      </c>
      <c r="C172" s="3" t="str">
        <f>CONCATENATE("                    ",CHAR(40),"variantCall ",CHAR(40),CHAR(34),L171,CHAR(34),CHAR(41)," or variantCall ",CHAR(40),CHAR(34),L173,CHAR(34),CHAR(41),CHAR(41))</f>
        <v xml:space="preserve">                    (variantCall ("NC_000008.10:g.[27326127A&gt;G];[27326127=]") or variantCall ("NC_000008.10:g.[27326127=];[27326127=]"))</v>
      </c>
      <c r="J172" s="3" t="str">
        <f>J147</f>
        <v>Homo</v>
      </c>
      <c r="K172" s="15" t="str">
        <f>K147</f>
        <v>NC_000008.10:g.[27328511G&gt;A];[27328511G&gt;A]</v>
      </c>
      <c r="L172" s="15" t="str">
        <f>L147</f>
        <v>NC_000008.10:g.[27326127A&gt;G];[27326127A&gt;G]</v>
      </c>
      <c r="M172" s="3" t="str">
        <f>M147</f>
        <v>NC_000008.10:g.[27324822T&gt;C];[27324822T&gt;C]</v>
      </c>
      <c r="N172" s="21" t="str">
        <f>N147</f>
        <v>NC_000008.10:g.[27321124A&gt;T];[27321124A&gt;T]</v>
      </c>
      <c r="O172" s="21" t="str">
        <f>O147</f>
        <v>NC_000006.11:g.[12727715A&gt;G];[12727715A&gt;G]</v>
      </c>
      <c r="P172" s="3" t="s">
        <v>72</v>
      </c>
      <c r="Q172" s="29">
        <f>AA124</f>
        <v>1.8</v>
      </c>
      <c r="R172" s="3" t="str">
        <f>CONCATENATE("                    ",CHAR(40),"variantCall ",CHAR(40),CHAR(34),AB172,CHAR(34),CHAR(41)," or variantCall ",CHAR(40),CHAR(34),AB173,CHAR(34),CHAR(41),CHAR(41))</f>
        <v xml:space="preserve">                    (variantCall ("00;0") or variantCall ("00;0"))</v>
      </c>
      <c r="Y172" s="3" t="str">
        <f>Y147</f>
        <v>Homo</v>
      </c>
      <c r="Z172" s="15" t="str">
        <f>Z147</f>
        <v>NC_000008.10:g.[27321124A&gt;T];[27321124A&gt;T]</v>
      </c>
      <c r="AA172" s="15" t="str">
        <f>AA147</f>
        <v>NC_000006.11:g.[12727715A&gt;G];[12727715A&gt;G]</v>
      </c>
      <c r="AB172" s="3" t="str">
        <f>AB147</f>
        <v>00;0</v>
      </c>
    </row>
    <row r="173" spans="1:61">
      <c r="B173" s="29"/>
      <c r="C173" s="3" t="s">
        <v>70</v>
      </c>
      <c r="J173" s="3" t="str">
        <f>J148</f>
        <v>Wildtype</v>
      </c>
      <c r="K173" s="2" t="str">
        <f>K148</f>
        <v>NC_000008.10:g.[27328511=];[27328511=]</v>
      </c>
      <c r="L173" s="2" t="str">
        <f>L148</f>
        <v>NC_000008.10:g.[27326127=];[27326127=]</v>
      </c>
      <c r="M173" s="3" t="str">
        <f>M148</f>
        <v>NC_000008.10:g.[27324822=];[27324822=]</v>
      </c>
      <c r="N173" s="21" t="str">
        <f>N148</f>
        <v>NC_000008.10:g.[27321124=];[27321124=]</v>
      </c>
      <c r="O173" s="21" t="str">
        <f>O148</f>
        <v>NC_000006.11:g.[12727715=];[12727715=]</v>
      </c>
      <c r="Q173" s="29"/>
      <c r="R173" s="3" t="s">
        <v>70</v>
      </c>
      <c r="Y173" s="3" t="str">
        <f>Y148</f>
        <v>Wildtype</v>
      </c>
      <c r="Z173" s="2" t="str">
        <f>Z148</f>
        <v>NC_000008.10:g.[27321124=];[27321124=]</v>
      </c>
      <c r="AA173" s="2" t="str">
        <f>AA148</f>
        <v>NC_000006.11:g.[12727715=];[12727715=]</v>
      </c>
      <c r="AB173" s="3" t="str">
        <f>AB148</f>
        <v>00;0</v>
      </c>
    </row>
    <row r="174" spans="1:61">
      <c r="B174" s="29"/>
      <c r="C174" s="3" t="str">
        <f>CONCATENATE("                    ",CHAR(40),"variantCall ",CHAR(40),CHAR(34),M171,CHAR(34),CHAR(41)," or variantCall ",CHAR(40),CHAR(34),M173,CHAR(34),CHAR(41),CHAR(41))</f>
        <v xml:space="preserve">                    (variantCall ("NC_000008.10:g.[27324822T&gt;C];[27324822=]") or variantCall ("NC_000008.10:g.[27324822=];[27324822=]"))</v>
      </c>
      <c r="J174" s="3" t="str">
        <f>J149</f>
        <v>Het%</v>
      </c>
      <c r="K174" s="15">
        <f>K149</f>
        <v>27.5</v>
      </c>
      <c r="L174" s="15">
        <f>L149</f>
        <v>48</v>
      </c>
      <c r="M174" s="3">
        <f>M149</f>
        <v>49.8</v>
      </c>
      <c r="N174" s="21">
        <f>N149</f>
        <v>35.4</v>
      </c>
      <c r="O174" s="21">
        <f>O149</f>
        <v>35.6</v>
      </c>
      <c r="Q174" s="29"/>
      <c r="R174" s="3" t="str">
        <f>CONCATENATE("                    variantCall ",CHAR(40),CHAR(34),Z173,CHAR(34),CHAR(41))</f>
        <v xml:space="preserve">                    variantCall ("NC_000008.10:g.[27321124=];[27321124=]")</v>
      </c>
      <c r="Y174" s="3" t="str">
        <f>Y149</f>
        <v>Het%</v>
      </c>
      <c r="Z174" s="15">
        <f>Z149</f>
        <v>43</v>
      </c>
      <c r="AA174" s="15">
        <f>AA149</f>
        <v>1.8</v>
      </c>
      <c r="AB174" s="3">
        <f>AB149</f>
        <v>15.8</v>
      </c>
    </row>
    <row r="175" spans="1:61">
      <c r="C175" s="3" t="s">
        <v>70</v>
      </c>
      <c r="J175" s="3" t="str">
        <f>J150</f>
        <v>Homo%</v>
      </c>
      <c r="K175" s="2">
        <f>K150</f>
        <v>15.2</v>
      </c>
      <c r="L175" s="2">
        <f>L150</f>
        <v>48.1</v>
      </c>
      <c r="M175" s="3">
        <f>M150</f>
        <v>48.6</v>
      </c>
      <c r="N175" s="21">
        <f>N150</f>
        <v>14.1</v>
      </c>
      <c r="O175" s="21">
        <f>O150</f>
        <v>14.3</v>
      </c>
      <c r="Q175" s="15"/>
      <c r="R175" s="3" t="str">
        <f>CONCATENATE("                  } &gt; ")</f>
        <v xml:space="preserve">                  } &gt; </v>
      </c>
      <c r="Y175" s="3" t="str">
        <f>Y150</f>
        <v>Homo%</v>
      </c>
      <c r="Z175" s="2">
        <f>Z150</f>
        <v>19.899999999999999</v>
      </c>
      <c r="AA175" s="2">
        <f>AA150</f>
        <v>0.5</v>
      </c>
      <c r="AB175" s="3">
        <f>AB150</f>
        <v>4.7</v>
      </c>
    </row>
    <row r="176" spans="1:61">
      <c r="C176" s="3" t="str">
        <f>CONCATENATE("                    ",CHAR(40),"variantCall ",CHAR(40),CHAR(34),N171,CHAR(34),CHAR(41)," or variantCall ",CHAR(40),CHAR(34),N173,CHAR(34),CHAR(41),CHAR(41))</f>
        <v xml:space="preserve">                    (variantCall ("NC_000008.10:g.[27321124A&gt;T];[27321124=]") or variantCall ("NC_000008.10:g.[27321124=];[27321124=]"))</v>
      </c>
      <c r="J176" s="3" t="str">
        <f>J151</f>
        <v>Wildtype%</v>
      </c>
      <c r="K176" s="2">
        <f>K151</f>
        <v>57.3</v>
      </c>
      <c r="L176" s="2">
        <f>L151</f>
        <v>3.9</v>
      </c>
      <c r="M176" s="3">
        <f>M151</f>
        <v>1.6</v>
      </c>
      <c r="N176" s="21">
        <f>N151</f>
        <v>50.5</v>
      </c>
      <c r="O176" s="21">
        <f>O151</f>
        <v>50.1</v>
      </c>
      <c r="Q176" s="15"/>
      <c r="Y176" s="3" t="str">
        <f>Y151</f>
        <v>Wildtype%</v>
      </c>
      <c r="Z176" s="2">
        <f>Z151</f>
        <v>37.1</v>
      </c>
      <c r="AA176" s="2">
        <f>AA151</f>
        <v>97.8</v>
      </c>
      <c r="AB176" s="3">
        <f>AB151</f>
        <v>79.5</v>
      </c>
    </row>
    <row r="177" spans="1:61">
      <c r="C177" s="3" t="s">
        <v>70</v>
      </c>
      <c r="K177" s="2"/>
      <c r="L177" s="2"/>
      <c r="N177" s="21"/>
      <c r="O177" s="21"/>
      <c r="Q177" s="15"/>
      <c r="Z177" s="2"/>
      <c r="AA177" s="2"/>
    </row>
    <row r="178" spans="1:61">
      <c r="C178" s="3" t="str">
        <f>CONCATENATE("                    variantCall ",CHAR(40),CHAR(34),O172,CHAR(34),CHAR(41))</f>
        <v xml:space="preserve">                    variantCall ("NC_000006.11:g.[12727715A&gt;G];[12727715A&gt;G]")</v>
      </c>
      <c r="K178" s="2"/>
      <c r="L178" s="2"/>
      <c r="N178" s="21"/>
      <c r="O178" s="21"/>
      <c r="Q178" s="15"/>
      <c r="Z178" s="2"/>
      <c r="AA178" s="2"/>
    </row>
    <row r="179" spans="1:61">
      <c r="C179" s="3" t="str">
        <f>CONCATENATE("                  } &gt; ")</f>
        <v xml:space="preserve">                  } &gt; </v>
      </c>
      <c r="K179" s="2"/>
      <c r="L179" s="2"/>
      <c r="N179" s="21"/>
      <c r="O179" s="21"/>
      <c r="Q179" s="15"/>
      <c r="Z179" s="2"/>
      <c r="AA179" s="2"/>
    </row>
    <row r="180" spans="1:61">
      <c r="A180" s="14"/>
      <c r="C180" s="3" t="s">
        <v>26</v>
      </c>
      <c r="P180" s="14"/>
      <c r="Q180" s="15"/>
      <c r="R180" s="3" t="s">
        <v>26</v>
      </c>
    </row>
    <row r="181" spans="1:61">
      <c r="A181" s="26"/>
      <c r="P181" s="26"/>
      <c r="Q181" s="15"/>
    </row>
    <row r="182" spans="1:61">
      <c r="A182" s="14"/>
      <c r="C182" s="3" t="str">
        <f>CONCATENATE("    ",B170)</f>
        <v xml:space="preserve">    People with this variant have two copies of the [889A&gt;T (p.Ile297Phe)](https://www.ncbi.nlm.nih.gov/clinvar/variation/522582/) variant. This substitution of a single nucleotide is known as a missense mutation.</v>
      </c>
      <c r="P182" s="14"/>
      <c r="Q182" s="15"/>
      <c r="R182" s="3" t="e">
        <f>CONCATENATE("    ",Q170)</f>
        <v>#REF!</v>
      </c>
    </row>
    <row r="183" spans="1:61">
      <c r="A183" s="14"/>
      <c r="P183" s="14"/>
      <c r="Q183" s="15"/>
    </row>
    <row r="184" spans="1:61">
      <c r="A184" s="26"/>
      <c r="C184" s="3" t="s">
        <v>29</v>
      </c>
      <c r="P184" s="26"/>
      <c r="Q184" s="15"/>
      <c r="R184" s="3" t="s">
        <v>29</v>
      </c>
    </row>
    <row r="185" spans="1:61">
      <c r="A185" s="14"/>
      <c r="P185" s="14"/>
      <c r="Q185" s="15"/>
    </row>
    <row r="186" spans="1:61">
      <c r="A186" s="14"/>
      <c r="C186" s="3" t="str">
        <f>CONCATENATE(B171)</f>
        <v>Epilepsy is a brain disorder that causes people to have recurring seizures. The brain sends wrong signals and may cause uncontrollable muscle spasms or fainting. Your homozygous A889T (p.Ile297Phe) variant is associated with nocturnal frontal lobe epilepsy, which means epileptic attacks caused by sleep. These attacks may include feelings of fear, tongue movements, and sleepwalking, which closely resembles nightmares and sleep walking, and may mimic sleep issues associated with ME/CFS.
# What should I do about this?
Doctors use brain scans and other tests to diagnose epilepsy. It is important to start treatment right away. There is no cure for epilepsy, but it can be controlled by medication. For your specific variant, Oxcarbazepine may be an effective medication.
Other treatments may include surgery, Vagus Nerve Stimulation, or special diets.  Lifestyle changes include:
* Recognize seizure triggers (such as stress), and lower your risk
* Keep a record of your seizures to help identify patterns
* Get enough sleep
* Maintain a strong social support network
ME/CFS patients should consider a brain scan or sleep study to rule out if nocturnal epilepsy is causing sleep issues.</v>
      </c>
      <c r="P186" s="14"/>
      <c r="Q186" s="15"/>
      <c r="R186" s="3" t="str">
        <f>CONCATENATE(Q171)</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87" spans="1:61">
      <c r="A187" s="14"/>
      <c r="P187" s="14"/>
      <c r="Q187" s="15"/>
    </row>
    <row r="188" spans="1:61">
      <c r="A188" s="14"/>
      <c r="C188" s="3" t="s">
        <v>30</v>
      </c>
      <c r="P188" s="14"/>
      <c r="Q188" s="15"/>
      <c r="R188" s="3" t="s">
        <v>30</v>
      </c>
    </row>
    <row r="189" spans="1:61">
      <c r="A189" s="26"/>
      <c r="P189" s="26"/>
      <c r="Q189" s="15"/>
    </row>
    <row r="190" spans="1:61">
      <c r="A190" s="26"/>
      <c r="C190" s="3" t="str">
        <f>CONCATENATE( "    &lt;# piechart percentage=",B172," / #&gt;")</f>
        <v xml:space="preserve">    &lt;# piechart percentage=14.3 / #&gt;</v>
      </c>
      <c r="P190" s="26"/>
      <c r="Q190" s="15"/>
      <c r="R190" s="3" t="str">
        <f>CONCATENATE( "    &lt;piechart percentage=",Q172," /&gt;")</f>
        <v xml:space="preserve">    &lt;piechart percentage=1.8 /&gt;</v>
      </c>
    </row>
    <row r="191" spans="1:61">
      <c r="A191" s="26"/>
      <c r="C191" s="3" t="str">
        <f>"  &lt;/Analysis&gt;"</f>
        <v xml:space="preserve">  &lt;/Analysis&gt;</v>
      </c>
      <c r="K191" s="3" t="str">
        <f t="shared" ref="K191:M191" si="14">K166</f>
        <v>rs6691840 TT</v>
      </c>
      <c r="L191" s="3" t="str">
        <f t="shared" si="14"/>
        <v>rs3913434 CC</v>
      </c>
      <c r="M191" s="3" t="str">
        <f t="shared" si="14"/>
        <v>rs270838 CC</v>
      </c>
      <c r="P191" s="26"/>
      <c r="Q191" s="15"/>
      <c r="R191" s="3" t="str">
        <f>"  &lt;/Analysis&gt;"</f>
        <v xml:space="preserve">  &lt;/Analysis&gt;</v>
      </c>
      <c r="Z191" s="3">
        <f t="shared" ref="Z191:AB191" si="15">Z166</f>
        <v>0</v>
      </c>
      <c r="AA191" s="3">
        <f t="shared" si="15"/>
        <v>0</v>
      </c>
      <c r="AB191" s="3">
        <f t="shared" si="15"/>
        <v>0</v>
      </c>
    </row>
    <row r="192" spans="1:61">
      <c r="A192" s="28" t="s">
        <v>69</v>
      </c>
      <c r="B192" s="20"/>
      <c r="C192" s="21"/>
      <c r="D192" s="21"/>
      <c r="E192" s="21"/>
      <c r="F192" s="21"/>
      <c r="G192" s="21"/>
      <c r="H192" s="21"/>
      <c r="I192" s="21"/>
      <c r="J192" s="21"/>
      <c r="K192" s="21" t="str">
        <f>K142</f>
        <v>C65T</v>
      </c>
      <c r="L192" s="21" t="str">
        <f>L142</f>
        <v>A27468610G</v>
      </c>
      <c r="M192" s="21" t="str">
        <f>M142</f>
        <v>A373G</v>
      </c>
      <c r="N192" s="21" t="str">
        <f t="shared" ref="N192:O192" si="16">N167</f>
        <v>T836A</v>
      </c>
      <c r="O192" s="21" t="str">
        <f t="shared" si="16"/>
        <v>T889A</v>
      </c>
      <c r="P192" s="28" t="s">
        <v>69</v>
      </c>
      <c r="Q192" s="20"/>
      <c r="R192" s="21"/>
      <c r="S192" s="21"/>
      <c r="T192" s="21"/>
      <c r="U192" s="21"/>
      <c r="V192" s="21"/>
      <c r="W192" s="21"/>
      <c r="X192" s="21"/>
      <c r="Y192" s="21"/>
      <c r="Z192" s="21" t="str">
        <f>Z142</f>
        <v>T836A</v>
      </c>
      <c r="AA192" s="21" t="str">
        <f>AA142</f>
        <v>T889A</v>
      </c>
      <c r="AB192" s="21">
        <f>AB142</f>
        <v>0</v>
      </c>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row>
    <row r="193" spans="1:61">
      <c r="A193" s="3" t="s">
        <v>21</v>
      </c>
      <c r="B193" s="29"/>
      <c r="C193" s="10"/>
      <c r="K193" s="3" t="str">
        <f>K143</f>
        <v>NC_000008.10:g.</v>
      </c>
      <c r="L193" s="3" t="str">
        <f>L143</f>
        <v>NC_000008.10:g.</v>
      </c>
      <c r="M193" s="3" t="str">
        <f>M143</f>
        <v>NC_000008.10:g.</v>
      </c>
      <c r="N193" s="21" t="str">
        <f t="shared" ref="N193:O193" si="17">N168</f>
        <v>NC_000008.10:g.</v>
      </c>
      <c r="O193" s="21" t="str">
        <f t="shared" si="17"/>
        <v>NC_000006.11:g.</v>
      </c>
      <c r="P193" s="3" t="s">
        <v>21</v>
      </c>
      <c r="Q193" s="29"/>
      <c r="R193" s="10"/>
      <c r="Z193" s="3" t="str">
        <f>Z143</f>
        <v>NC_000008.10:g.</v>
      </c>
      <c r="AA193" s="3" t="str">
        <f>AA143</f>
        <v>NC_000006.11:g.</v>
      </c>
      <c r="AB193" s="3">
        <f>AB143</f>
        <v>0</v>
      </c>
    </row>
    <row r="194" spans="1:61">
      <c r="A194" s="3" t="s">
        <v>71</v>
      </c>
      <c r="B194" s="29"/>
      <c r="J194" s="3" t="str">
        <f>J144</f>
        <v>Variant</v>
      </c>
      <c r="K194" s="3" t="str">
        <f>K144</f>
        <v>[27328511G&gt;A]</v>
      </c>
      <c r="L194" s="3" t="str">
        <f>L144</f>
        <v>[27326127A&gt;G]</v>
      </c>
      <c r="M194" s="3" t="str">
        <f>M144</f>
        <v>[27324822T&gt;C]</v>
      </c>
      <c r="N194" s="21" t="str">
        <f t="shared" ref="N194:O194" si="18">N169</f>
        <v>[27321124A&gt;T]</v>
      </c>
      <c r="O194" s="21" t="str">
        <f t="shared" si="18"/>
        <v>[12727715A&gt;G]</v>
      </c>
      <c r="P194" s="3" t="s">
        <v>71</v>
      </c>
      <c r="Q194" s="29"/>
      <c r="Y194" s="3" t="str">
        <f>Y144</f>
        <v>Variant</v>
      </c>
      <c r="Z194" s="3" t="str">
        <f>Z144</f>
        <v>[27321124A&gt;T]</v>
      </c>
      <c r="AA194" s="3" t="str">
        <f>AA144</f>
        <v>[12727715A&gt;G]</v>
      </c>
      <c r="AB194" s="3">
        <f>AB144</f>
        <v>0</v>
      </c>
    </row>
    <row r="195" spans="1:61">
      <c r="A195" s="5" t="s">
        <v>74</v>
      </c>
      <c r="B195" s="2"/>
      <c r="J195" s="3" t="str">
        <f>J145</f>
        <v>Wildtype</v>
      </c>
      <c r="K195" s="3" t="str">
        <f>K145</f>
        <v>[27328511=]</v>
      </c>
      <c r="L195" s="3" t="str">
        <f>L145</f>
        <v>[27326127=]</v>
      </c>
      <c r="M195" s="3" t="str">
        <f>M145</f>
        <v>[27324822=]</v>
      </c>
      <c r="N195" s="21" t="str">
        <f t="shared" ref="N195:O195" si="19">N170</f>
        <v>[27321124=]</v>
      </c>
      <c r="O195" s="21" t="str">
        <f t="shared" si="19"/>
        <v>[12727715=]</v>
      </c>
      <c r="P195" s="5" t="s">
        <v>74</v>
      </c>
      <c r="Q195" s="2"/>
      <c r="Y195" s="3" t="str">
        <f>Y145</f>
        <v>Wildtype</v>
      </c>
      <c r="Z195" s="3" t="str">
        <f>Z145</f>
        <v>[27321124=]</v>
      </c>
      <c r="AA195" s="3" t="str">
        <f>AA145</f>
        <v>[12727715=]</v>
      </c>
      <c r="AB195" s="3">
        <f>AB145</f>
        <v>0</v>
      </c>
    </row>
    <row r="196" spans="1:61" s="21" customFormat="1">
      <c r="A196" s="1" t="s">
        <v>28</v>
      </c>
      <c r="B196" s="2"/>
      <c r="C196" s="3"/>
      <c r="D196" s="3"/>
      <c r="E196" s="3"/>
      <c r="F196" s="3"/>
      <c r="G196" s="3"/>
      <c r="H196" s="3"/>
      <c r="I196" s="3"/>
      <c r="J196" s="3" t="str">
        <f>J146</f>
        <v>Het</v>
      </c>
      <c r="K196" s="3" t="str">
        <f>K146</f>
        <v>NC_000008.10:g.[27328511G&gt;A];[27328511=]</v>
      </c>
      <c r="L196" s="3" t="str">
        <f>L146</f>
        <v>NC_000008.10:g.[27326127A&gt;G];[27326127=]</v>
      </c>
      <c r="M196" s="3" t="str">
        <f>M146</f>
        <v>NC_000008.10:g.[27324822T&gt;C];[27324822=]</v>
      </c>
      <c r="N196" s="21" t="str">
        <f t="shared" ref="N196:O196" si="20">N171</f>
        <v>NC_000008.10:g.[27321124A&gt;T];[27321124=]</v>
      </c>
      <c r="O196" s="21" t="str">
        <f t="shared" si="20"/>
        <v>NC_000006.11:g.[12727715A&gt;G];[12727715=]</v>
      </c>
      <c r="P196" s="1" t="s">
        <v>28</v>
      </c>
      <c r="Q196" s="15"/>
      <c r="R196" s="3"/>
      <c r="S196" s="3"/>
      <c r="T196" s="3"/>
      <c r="U196" s="3"/>
      <c r="V196" s="3"/>
      <c r="W196" s="3"/>
      <c r="X196" s="3"/>
      <c r="Y196" s="3" t="str">
        <f>Y146</f>
        <v>Het</v>
      </c>
      <c r="Z196" s="3" t="str">
        <f>Z146</f>
        <v>NC_000008.10:g.[27321124A&gt;T];[27321124=]</v>
      </c>
      <c r="AA196" s="3" t="str">
        <f>AA146</f>
        <v>NC_000006.11:g.[12727715A&gt;G];[12727715=]</v>
      </c>
      <c r="AB196" s="3" t="str">
        <f>AB146</f>
        <v>00;0</v>
      </c>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row>
    <row r="197" spans="1:61">
      <c r="A197" s="3" t="s">
        <v>72</v>
      </c>
      <c r="B197" s="29"/>
      <c r="J197" s="3" t="str">
        <f>J147</f>
        <v>Homo</v>
      </c>
      <c r="K197" s="3" t="str">
        <f>K147</f>
        <v>NC_000008.10:g.[27328511G&gt;A];[27328511G&gt;A]</v>
      </c>
      <c r="L197" s="3" t="str">
        <f>L147</f>
        <v>NC_000008.10:g.[27326127A&gt;G];[27326127A&gt;G]</v>
      </c>
      <c r="M197" s="3" t="str">
        <f>M147</f>
        <v>NC_000008.10:g.[27324822T&gt;C];[27324822T&gt;C]</v>
      </c>
      <c r="N197" s="21" t="str">
        <f t="shared" ref="N197:O197" si="21">N172</f>
        <v>NC_000008.10:g.[27321124A&gt;T];[27321124A&gt;T]</v>
      </c>
      <c r="O197" s="21" t="str">
        <f t="shared" si="21"/>
        <v>NC_000006.11:g.[12727715A&gt;G];[12727715A&gt;G]</v>
      </c>
      <c r="P197" s="3" t="s">
        <v>72</v>
      </c>
      <c r="Q197" s="29"/>
      <c r="Y197" s="3" t="str">
        <f>Y147</f>
        <v>Homo</v>
      </c>
      <c r="Z197" s="3" t="str">
        <f>Z147</f>
        <v>NC_000008.10:g.[27321124A&gt;T];[27321124A&gt;T]</v>
      </c>
      <c r="AA197" s="3" t="str">
        <f>AA147</f>
        <v>NC_000006.11:g.[12727715A&gt;G];[12727715A&gt;G]</v>
      </c>
      <c r="AB197" s="3" t="str">
        <f>AB147</f>
        <v>00;0</v>
      </c>
    </row>
    <row r="198" spans="1:61">
      <c r="J198" s="3" t="str">
        <f>J148</f>
        <v>Wildtype</v>
      </c>
      <c r="K198" s="3" t="str">
        <f>K148</f>
        <v>NC_000008.10:g.[27328511=];[27328511=]</v>
      </c>
      <c r="L198" s="3" t="str">
        <f>L148</f>
        <v>NC_000008.10:g.[27326127=];[27326127=]</v>
      </c>
      <c r="M198" s="3" t="str">
        <f>M148</f>
        <v>NC_000008.10:g.[27324822=];[27324822=]</v>
      </c>
      <c r="N198" s="21" t="str">
        <f t="shared" ref="N198:O198" si="22">N173</f>
        <v>NC_000008.10:g.[27321124=];[27321124=]</v>
      </c>
      <c r="O198" s="21" t="str">
        <f t="shared" si="22"/>
        <v>NC_000006.11:g.[12727715=];[12727715=]</v>
      </c>
      <c r="Q198" s="15"/>
      <c r="Y198" s="3" t="str">
        <f>Y148</f>
        <v>Wildtype</v>
      </c>
      <c r="Z198" s="3" t="str">
        <f>Z148</f>
        <v>NC_000008.10:g.[27321124=];[27321124=]</v>
      </c>
      <c r="AA198" s="3" t="str">
        <f>AA148</f>
        <v>NC_000006.11:g.[12727715=];[12727715=]</v>
      </c>
      <c r="AB198" s="3" t="str">
        <f>AB148</f>
        <v>00;0</v>
      </c>
    </row>
    <row r="199" spans="1:61">
      <c r="J199" s="3" t="str">
        <f>J149</f>
        <v>Het%</v>
      </c>
      <c r="K199" s="3">
        <f>K149</f>
        <v>27.5</v>
      </c>
      <c r="L199" s="3">
        <f>L149</f>
        <v>48</v>
      </c>
      <c r="M199" s="3">
        <f>M149</f>
        <v>49.8</v>
      </c>
      <c r="N199" s="21">
        <f t="shared" ref="N199:O199" si="23">N174</f>
        <v>35.4</v>
      </c>
      <c r="O199" s="21">
        <f t="shared" si="23"/>
        <v>35.6</v>
      </c>
      <c r="Q199" s="15"/>
      <c r="Y199" s="3" t="str">
        <f>Y149</f>
        <v>Het%</v>
      </c>
      <c r="Z199" s="3">
        <f>Z149</f>
        <v>43</v>
      </c>
      <c r="AA199" s="3">
        <f>AA149</f>
        <v>1.8</v>
      </c>
      <c r="AB199" s="3">
        <f>AB149</f>
        <v>15.8</v>
      </c>
    </row>
    <row r="200" spans="1:61">
      <c r="A200" s="14"/>
      <c r="J200" s="3" t="str">
        <f>J150</f>
        <v>Homo%</v>
      </c>
      <c r="K200" s="3">
        <f>K150</f>
        <v>15.2</v>
      </c>
      <c r="L200" s="3">
        <f>L150</f>
        <v>48.1</v>
      </c>
      <c r="M200" s="3">
        <f>M150</f>
        <v>48.6</v>
      </c>
      <c r="N200" s="21">
        <f t="shared" ref="N200:O200" si="24">N175</f>
        <v>14.1</v>
      </c>
      <c r="O200" s="21">
        <f t="shared" si="24"/>
        <v>14.3</v>
      </c>
      <c r="P200" s="14"/>
      <c r="Q200" s="15"/>
      <c r="Y200" s="3" t="str">
        <f>Y150</f>
        <v>Homo%</v>
      </c>
      <c r="Z200" s="3">
        <f>Z150</f>
        <v>19.899999999999999</v>
      </c>
      <c r="AA200" s="3">
        <f>AA150</f>
        <v>0.5</v>
      </c>
      <c r="AB200" s="3">
        <f>AB150</f>
        <v>4.7</v>
      </c>
    </row>
    <row r="201" spans="1:61">
      <c r="A201" s="26"/>
      <c r="J201" s="3" t="str">
        <f>J151</f>
        <v>Wildtype%</v>
      </c>
      <c r="K201" s="3">
        <f>K151</f>
        <v>57.3</v>
      </c>
      <c r="L201" s="3">
        <f>L151</f>
        <v>3.9</v>
      </c>
      <c r="M201" s="3">
        <f>M151</f>
        <v>1.6</v>
      </c>
      <c r="N201" s="21">
        <f t="shared" ref="N201:O201" si="25">N176</f>
        <v>50.5</v>
      </c>
      <c r="O201" s="21">
        <f t="shared" si="25"/>
        <v>50.1</v>
      </c>
      <c r="P201" s="26"/>
      <c r="Q201" s="15"/>
      <c r="Y201" s="3" t="str">
        <f>Y151</f>
        <v>Wildtype%</v>
      </c>
      <c r="Z201" s="3">
        <f>Z151</f>
        <v>37.1</v>
      </c>
      <c r="AA201" s="3">
        <f>AA151</f>
        <v>97.8</v>
      </c>
      <c r="AB201" s="3">
        <f>AB151</f>
        <v>79.5</v>
      </c>
    </row>
    <row r="202" spans="1:61">
      <c r="A202" s="26"/>
      <c r="N202" s="21"/>
      <c r="O202" s="21"/>
      <c r="P202" s="26"/>
      <c r="Q202" s="15"/>
    </row>
    <row r="203" spans="1:61">
      <c r="A203" s="26"/>
      <c r="N203" s="21"/>
      <c r="O203" s="21"/>
      <c r="P203" s="26"/>
      <c r="Q203" s="15"/>
    </row>
    <row r="204" spans="1:61">
      <c r="A204" s="14"/>
      <c r="P204" s="14"/>
      <c r="Q204" s="15"/>
    </row>
    <row r="205" spans="1:61">
      <c r="A205" s="14"/>
      <c r="P205" s="14"/>
      <c r="Q205" s="15"/>
    </row>
    <row r="206" spans="1:61">
      <c r="A206" s="26"/>
      <c r="P206" s="26"/>
      <c r="Q206" s="15"/>
    </row>
    <row r="207" spans="1:61">
      <c r="A207" s="14"/>
      <c r="P207" s="14"/>
      <c r="Q207" s="15"/>
    </row>
    <row r="208" spans="1:61">
      <c r="A208" s="14"/>
      <c r="P208" s="14"/>
      <c r="Q208" s="15"/>
    </row>
    <row r="209" spans="1:61">
      <c r="A209" s="14"/>
      <c r="P209" s="14"/>
      <c r="Q209" s="15"/>
    </row>
    <row r="210" spans="1:61">
      <c r="A210" s="14"/>
      <c r="P210" s="14"/>
      <c r="Q210" s="15"/>
    </row>
    <row r="211" spans="1:61">
      <c r="A211" s="26"/>
      <c r="P211" s="26"/>
      <c r="Q211" s="15"/>
    </row>
    <row r="212" spans="1:61">
      <c r="A212" s="26"/>
      <c r="P212" s="26"/>
      <c r="Q212" s="15"/>
    </row>
    <row r="213" spans="1:61">
      <c r="A213" s="26"/>
      <c r="P213" s="26"/>
      <c r="Q213" s="15"/>
    </row>
    <row r="214" spans="1:61">
      <c r="A214" s="26"/>
      <c r="P214" s="26"/>
      <c r="Q214" s="15"/>
    </row>
    <row r="215" spans="1:61">
      <c r="A215" s="26"/>
      <c r="K215" s="3" t="str">
        <f>K166</f>
        <v>rs6691840 TT</v>
      </c>
      <c r="L215" s="3" t="str">
        <f>L166</f>
        <v>rs3913434 CC</v>
      </c>
      <c r="M215" s="3" t="str">
        <f>M166</f>
        <v>rs270838 CC</v>
      </c>
      <c r="P215" s="26"/>
      <c r="Q215" s="15"/>
      <c r="Z215" s="3">
        <f>Z166</f>
        <v>0</v>
      </c>
      <c r="AA215" s="3">
        <f>AA166</f>
        <v>0</v>
      </c>
      <c r="AB215" s="3">
        <f>AB166</f>
        <v>0</v>
      </c>
    </row>
    <row r="216" spans="1:61">
      <c r="A216" s="28" t="s">
        <v>69</v>
      </c>
      <c r="B216" s="20"/>
      <c r="C216" s="21"/>
      <c r="D216" s="21"/>
      <c r="E216" s="21"/>
      <c r="F216" s="21"/>
      <c r="G216" s="21"/>
      <c r="H216" s="21"/>
      <c r="I216" s="21"/>
      <c r="J216" s="21"/>
      <c r="K216" s="21" t="str">
        <f>K167</f>
        <v>C65T</v>
      </c>
      <c r="L216" s="21" t="str">
        <f>L167</f>
        <v>A27468610G</v>
      </c>
      <c r="M216" s="21" t="str">
        <f>M167</f>
        <v>A373G</v>
      </c>
      <c r="N216" s="21" t="str">
        <f t="shared" ref="N216:O216" si="26">N192</f>
        <v>T836A</v>
      </c>
      <c r="O216" s="21" t="str">
        <f t="shared" si="26"/>
        <v>T889A</v>
      </c>
      <c r="P216" s="28" t="s">
        <v>69</v>
      </c>
      <c r="Q216" s="20"/>
      <c r="R216" s="21"/>
      <c r="S216" s="21"/>
      <c r="T216" s="21"/>
      <c r="U216" s="21"/>
      <c r="V216" s="21"/>
      <c r="W216" s="21"/>
      <c r="X216" s="21"/>
      <c r="Y216" s="21"/>
      <c r="Z216" s="21" t="str">
        <f>Z167</f>
        <v>T836A</v>
      </c>
      <c r="AA216" s="21" t="str">
        <f>AA167</f>
        <v>T889A</v>
      </c>
      <c r="AB216" s="21">
        <f>AB167</f>
        <v>0</v>
      </c>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row>
    <row r="217" spans="1:61">
      <c r="A217" s="3" t="s">
        <v>21</v>
      </c>
      <c r="B217" s="29"/>
      <c r="C217" s="10"/>
      <c r="K217" s="3" t="str">
        <f>K168</f>
        <v>NC_000008.10:g.</v>
      </c>
      <c r="L217" s="3" t="str">
        <f>L168</f>
        <v>NC_000008.10:g.</v>
      </c>
      <c r="M217" s="3" t="str">
        <f>M168</f>
        <v>NC_000008.10:g.</v>
      </c>
      <c r="N217" s="21" t="str">
        <f t="shared" ref="N217:O217" si="27">N193</f>
        <v>NC_000008.10:g.</v>
      </c>
      <c r="O217" s="21" t="str">
        <f t="shared" si="27"/>
        <v>NC_000006.11:g.</v>
      </c>
      <c r="P217" s="3" t="s">
        <v>21</v>
      </c>
      <c r="Q217" s="29"/>
      <c r="R217" s="10"/>
      <c r="Z217" s="3" t="str">
        <f>Z168</f>
        <v>NC_000008.10:g.</v>
      </c>
      <c r="AA217" s="3" t="str">
        <f>AA168</f>
        <v>NC_000006.11:g.</v>
      </c>
      <c r="AB217" s="3">
        <f>AB168</f>
        <v>0</v>
      </c>
    </row>
    <row r="218" spans="1:61">
      <c r="A218" s="3" t="s">
        <v>71</v>
      </c>
      <c r="B218" s="29"/>
      <c r="J218" s="3" t="str">
        <f>J169</f>
        <v>Variant</v>
      </c>
      <c r="K218" s="3" t="str">
        <f>K169</f>
        <v>[27328511G&gt;A]</v>
      </c>
      <c r="L218" s="3" t="str">
        <f>L169</f>
        <v>[27326127A&gt;G]</v>
      </c>
      <c r="M218" s="3" t="str">
        <f>M169</f>
        <v>[27324822T&gt;C]</v>
      </c>
      <c r="N218" s="21" t="str">
        <f t="shared" ref="N218:O218" si="28">N194</f>
        <v>[27321124A&gt;T]</v>
      </c>
      <c r="O218" s="21" t="str">
        <f t="shared" si="28"/>
        <v>[12727715A&gt;G]</v>
      </c>
      <c r="P218" s="3" t="s">
        <v>71</v>
      </c>
      <c r="Q218" s="29"/>
      <c r="Y218" s="3" t="str">
        <f>Y169</f>
        <v>Variant</v>
      </c>
      <c r="Z218" s="3" t="str">
        <f>Z169</f>
        <v>[27321124A&gt;T]</v>
      </c>
      <c r="AA218" s="3" t="str">
        <f>AA169</f>
        <v>[12727715A&gt;G]</v>
      </c>
      <c r="AB218" s="3">
        <f>AB169</f>
        <v>0</v>
      </c>
    </row>
    <row r="219" spans="1:61">
      <c r="A219" s="5" t="s">
        <v>74</v>
      </c>
      <c r="B219" s="2"/>
      <c r="J219" s="3" t="str">
        <f>J170</f>
        <v>Wildtype</v>
      </c>
      <c r="K219" s="3" t="str">
        <f>K170</f>
        <v>[27328511=]</v>
      </c>
      <c r="L219" s="3" t="str">
        <f>L170</f>
        <v>[27326127=]</v>
      </c>
      <c r="M219" s="3" t="str">
        <f>M170</f>
        <v>[27324822=]</v>
      </c>
      <c r="N219" s="21" t="str">
        <f t="shared" ref="N219:O219" si="29">N195</f>
        <v>[27321124=]</v>
      </c>
      <c r="O219" s="21" t="str">
        <f t="shared" si="29"/>
        <v>[12727715=]</v>
      </c>
      <c r="P219" s="5" t="s">
        <v>74</v>
      </c>
      <c r="Q219" s="2"/>
      <c r="Y219" s="3" t="str">
        <f>Y170</f>
        <v>Wildtype</v>
      </c>
      <c r="Z219" s="3" t="str">
        <f>Z170</f>
        <v>[27321124=]</v>
      </c>
      <c r="AA219" s="3" t="str">
        <f>AA170</f>
        <v>[12727715=]</v>
      </c>
      <c r="AB219" s="3">
        <f>AB170</f>
        <v>0</v>
      </c>
    </row>
    <row r="220" spans="1:61" s="21" customFormat="1">
      <c r="A220" s="1" t="s">
        <v>28</v>
      </c>
      <c r="B220" s="2"/>
      <c r="C220" s="3"/>
      <c r="D220" s="3"/>
      <c r="E220" s="3"/>
      <c r="F220" s="3"/>
      <c r="G220" s="3"/>
      <c r="H220" s="3"/>
      <c r="I220" s="3"/>
      <c r="J220" s="3" t="str">
        <f>J171</f>
        <v>Het</v>
      </c>
      <c r="K220" s="3" t="str">
        <f>K171</f>
        <v>NC_000008.10:g.[27328511G&gt;A];[27328511=]</v>
      </c>
      <c r="L220" s="3" t="str">
        <f>L171</f>
        <v>NC_000008.10:g.[27326127A&gt;G];[27326127=]</v>
      </c>
      <c r="M220" s="3" t="str">
        <f>M171</f>
        <v>NC_000008.10:g.[27324822T&gt;C];[27324822=]</v>
      </c>
      <c r="N220" s="21" t="str">
        <f t="shared" ref="N220:O220" si="30">N196</f>
        <v>NC_000008.10:g.[27321124A&gt;T];[27321124=]</v>
      </c>
      <c r="O220" s="21" t="str">
        <f t="shared" si="30"/>
        <v>NC_000006.11:g.[12727715A&gt;G];[12727715=]</v>
      </c>
      <c r="P220" s="1" t="s">
        <v>28</v>
      </c>
      <c r="Q220" s="15"/>
      <c r="R220" s="3"/>
      <c r="S220" s="3"/>
      <c r="T220" s="3"/>
      <c r="U220" s="3"/>
      <c r="V220" s="3"/>
      <c r="W220" s="3"/>
      <c r="X220" s="3"/>
      <c r="Y220" s="3" t="str">
        <f>Y171</f>
        <v>Het</v>
      </c>
      <c r="Z220" s="3" t="str">
        <f>Z171</f>
        <v>NC_000008.10:g.[27321124A&gt;T];[27321124=]</v>
      </c>
      <c r="AA220" s="3" t="str">
        <f>AA171</f>
        <v>NC_000006.11:g.[12727715A&gt;G];[12727715=]</v>
      </c>
      <c r="AB220" s="3" t="str">
        <f>AB171</f>
        <v>00;0</v>
      </c>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row>
    <row r="221" spans="1:61">
      <c r="A221" s="3" t="s">
        <v>72</v>
      </c>
      <c r="B221" s="29"/>
      <c r="J221" s="3" t="str">
        <f>J172</f>
        <v>Homo</v>
      </c>
      <c r="K221" s="3" t="str">
        <f>K172</f>
        <v>NC_000008.10:g.[27328511G&gt;A];[27328511G&gt;A]</v>
      </c>
      <c r="L221" s="3" t="str">
        <f>L172</f>
        <v>NC_000008.10:g.[27326127A&gt;G];[27326127A&gt;G]</v>
      </c>
      <c r="M221" s="3" t="str">
        <f>M172</f>
        <v>NC_000008.10:g.[27324822T&gt;C];[27324822T&gt;C]</v>
      </c>
      <c r="N221" s="21" t="str">
        <f t="shared" ref="N221:O221" si="31">N197</f>
        <v>NC_000008.10:g.[27321124A&gt;T];[27321124A&gt;T]</v>
      </c>
      <c r="O221" s="21" t="str">
        <f t="shared" si="31"/>
        <v>NC_000006.11:g.[12727715A&gt;G];[12727715A&gt;G]</v>
      </c>
      <c r="P221" s="3" t="s">
        <v>72</v>
      </c>
      <c r="Q221" s="29"/>
      <c r="Y221" s="3" t="str">
        <f>Y172</f>
        <v>Homo</v>
      </c>
      <c r="Z221" s="3" t="str">
        <f>Z172</f>
        <v>NC_000008.10:g.[27321124A&gt;T];[27321124A&gt;T]</v>
      </c>
      <c r="AA221" s="3" t="str">
        <f>AA172</f>
        <v>NC_000006.11:g.[12727715A&gt;G];[12727715A&gt;G]</v>
      </c>
      <c r="AB221" s="3" t="str">
        <f>AB172</f>
        <v>00;0</v>
      </c>
    </row>
    <row r="222" spans="1:61">
      <c r="J222" s="3" t="str">
        <f>J173</f>
        <v>Wildtype</v>
      </c>
      <c r="K222" s="3" t="str">
        <f>K173</f>
        <v>NC_000008.10:g.[27328511=];[27328511=]</v>
      </c>
      <c r="L222" s="3" t="str">
        <f>L173</f>
        <v>NC_000008.10:g.[27326127=];[27326127=]</v>
      </c>
      <c r="M222" s="3" t="str">
        <f>M173</f>
        <v>NC_000008.10:g.[27324822=];[27324822=]</v>
      </c>
      <c r="N222" s="21" t="str">
        <f t="shared" ref="N222:O222" si="32">N198</f>
        <v>NC_000008.10:g.[27321124=];[27321124=]</v>
      </c>
      <c r="O222" s="21" t="str">
        <f t="shared" si="32"/>
        <v>NC_000006.11:g.[12727715=];[12727715=]</v>
      </c>
      <c r="Q222" s="15"/>
      <c r="Y222" s="3" t="str">
        <f>Y173</f>
        <v>Wildtype</v>
      </c>
      <c r="Z222" s="3" t="str">
        <f>Z173</f>
        <v>NC_000008.10:g.[27321124=];[27321124=]</v>
      </c>
      <c r="AA222" s="3" t="str">
        <f>AA173</f>
        <v>NC_000006.11:g.[12727715=];[12727715=]</v>
      </c>
      <c r="AB222" s="3" t="str">
        <f>AB173</f>
        <v>00;0</v>
      </c>
    </row>
    <row r="223" spans="1:61">
      <c r="J223" s="3" t="str">
        <f>J174</f>
        <v>Het%</v>
      </c>
      <c r="K223" s="3">
        <f>K174</f>
        <v>27.5</v>
      </c>
      <c r="L223" s="3">
        <f>L174</f>
        <v>48</v>
      </c>
      <c r="M223" s="3">
        <f>M174</f>
        <v>49.8</v>
      </c>
      <c r="N223" s="21">
        <f t="shared" ref="N223:O223" si="33">N199</f>
        <v>35.4</v>
      </c>
      <c r="O223" s="21">
        <f t="shared" si="33"/>
        <v>35.6</v>
      </c>
      <c r="Q223" s="15"/>
      <c r="Y223" s="3" t="str">
        <f>Y174</f>
        <v>Het%</v>
      </c>
      <c r="Z223" s="3">
        <f>Z174</f>
        <v>43</v>
      </c>
      <c r="AA223" s="3">
        <f>AA174</f>
        <v>1.8</v>
      </c>
      <c r="AB223" s="3">
        <f>AB174</f>
        <v>15.8</v>
      </c>
    </row>
    <row r="224" spans="1:61">
      <c r="A224" s="14"/>
      <c r="J224" s="3" t="str">
        <f>J175</f>
        <v>Homo%</v>
      </c>
      <c r="K224" s="3">
        <f>K175</f>
        <v>15.2</v>
      </c>
      <c r="L224" s="3">
        <f>L175</f>
        <v>48.1</v>
      </c>
      <c r="M224" s="3">
        <f>M175</f>
        <v>48.6</v>
      </c>
      <c r="N224" s="21">
        <f t="shared" ref="N224:O224" si="34">N200</f>
        <v>14.1</v>
      </c>
      <c r="O224" s="21">
        <f t="shared" si="34"/>
        <v>14.3</v>
      </c>
      <c r="P224" s="14"/>
      <c r="Q224" s="15"/>
      <c r="Y224" s="3" t="str">
        <f>Y175</f>
        <v>Homo%</v>
      </c>
      <c r="Z224" s="3">
        <f>Z175</f>
        <v>19.899999999999999</v>
      </c>
      <c r="AA224" s="3">
        <f>AA175</f>
        <v>0.5</v>
      </c>
      <c r="AB224" s="3">
        <f>AB175</f>
        <v>4.7</v>
      </c>
    </row>
    <row r="225" spans="1:61">
      <c r="A225" s="26"/>
      <c r="J225" s="3" t="str">
        <f>J176</f>
        <v>Wildtype%</v>
      </c>
      <c r="K225" s="3">
        <f>K176</f>
        <v>57.3</v>
      </c>
      <c r="L225" s="3">
        <f>L176</f>
        <v>3.9</v>
      </c>
      <c r="M225" s="3">
        <f>M176</f>
        <v>1.6</v>
      </c>
      <c r="N225" s="21">
        <f t="shared" ref="N225:O225" si="35">N201</f>
        <v>50.5</v>
      </c>
      <c r="O225" s="21">
        <f t="shared" si="35"/>
        <v>50.1</v>
      </c>
      <c r="P225" s="26"/>
      <c r="Q225" s="15"/>
      <c r="Y225" s="3" t="str">
        <f>Y176</f>
        <v>Wildtype%</v>
      </c>
      <c r="Z225" s="3">
        <f>Z176</f>
        <v>37.1</v>
      </c>
      <c r="AA225" s="3">
        <f>AA176</f>
        <v>97.8</v>
      </c>
      <c r="AB225" s="3">
        <f>AB176</f>
        <v>79.5</v>
      </c>
    </row>
    <row r="226" spans="1:61">
      <c r="A226" s="14"/>
      <c r="P226" s="14"/>
      <c r="Q226" s="15"/>
    </row>
    <row r="227" spans="1:61">
      <c r="A227" s="14"/>
      <c r="P227" s="14"/>
      <c r="Q227" s="15"/>
    </row>
    <row r="228" spans="1:61">
      <c r="A228" s="26"/>
      <c r="P228" s="26"/>
      <c r="Q228" s="15"/>
    </row>
    <row r="229" spans="1:61">
      <c r="A229" s="14"/>
      <c r="P229" s="14"/>
      <c r="Q229" s="15"/>
    </row>
    <row r="230" spans="1:61">
      <c r="A230" s="14"/>
      <c r="P230" s="14"/>
      <c r="Q230" s="15"/>
    </row>
    <row r="231" spans="1:61">
      <c r="A231" s="14"/>
      <c r="P231" s="14"/>
      <c r="Q231" s="15"/>
    </row>
    <row r="232" spans="1:61">
      <c r="A232" s="14"/>
      <c r="P232" s="14"/>
      <c r="Q232" s="15"/>
    </row>
    <row r="233" spans="1:61">
      <c r="A233" s="26"/>
      <c r="P233" s="26"/>
      <c r="Q233" s="15"/>
    </row>
    <row r="234" spans="1:61">
      <c r="A234" s="26"/>
      <c r="P234" s="26"/>
      <c r="Q234" s="15"/>
    </row>
    <row r="235" spans="1:61">
      <c r="A235" s="26"/>
      <c r="P235" s="26"/>
      <c r="Q235" s="15"/>
    </row>
    <row r="236" spans="1:61">
      <c r="A236" s="26"/>
      <c r="P236" s="26"/>
      <c r="Q236" s="15"/>
    </row>
    <row r="237" spans="1:61">
      <c r="A237" s="26"/>
      <c r="K237" s="3" t="str">
        <f>K191</f>
        <v>rs6691840 TT</v>
      </c>
      <c r="L237" s="3" t="str">
        <f>L191</f>
        <v>rs3913434 CC</v>
      </c>
      <c r="M237" s="3" t="str">
        <f>M191</f>
        <v>rs270838 CC</v>
      </c>
      <c r="P237" s="26"/>
      <c r="Q237" s="15"/>
      <c r="Z237" s="3">
        <f>Z191</f>
        <v>0</v>
      </c>
      <c r="AA237" s="3">
        <f>AA191</f>
        <v>0</v>
      </c>
      <c r="AB237" s="3">
        <f>AB191</f>
        <v>0</v>
      </c>
    </row>
    <row r="238" spans="1:61">
      <c r="A238" s="28" t="s">
        <v>69</v>
      </c>
      <c r="B238" s="20" t="str">
        <f>CONCATENATE(B91," and ",B142," and ",B192)</f>
        <v xml:space="preserve">A27468610G (C;C) and T836A (A;A) and </v>
      </c>
      <c r="C238" s="21" t="str">
        <f>CONCATENATE("&lt;# ",B238," #&gt;")</f>
        <v>&lt;# A27468610G (C;C) and T836A (A;A) and  #&gt;</v>
      </c>
      <c r="D238" s="21"/>
      <c r="E238" s="21"/>
      <c r="F238" s="21"/>
      <c r="G238" s="21"/>
      <c r="H238" s="21"/>
      <c r="I238" s="21"/>
      <c r="J238" s="21"/>
      <c r="K238" s="21" t="str">
        <f>K192</f>
        <v>C65T</v>
      </c>
      <c r="L238" s="21" t="str">
        <f>L192</f>
        <v>A27468610G</v>
      </c>
      <c r="M238" s="21" t="str">
        <f>M192</f>
        <v>A373G</v>
      </c>
      <c r="N238" s="21" t="str">
        <f t="shared" ref="N238:O238" si="36">N216</f>
        <v>T836A</v>
      </c>
      <c r="O238" s="21" t="str">
        <f t="shared" si="36"/>
        <v>T889A</v>
      </c>
      <c r="P238" s="28" t="s">
        <v>69</v>
      </c>
      <c r="Q238" s="20"/>
      <c r="R238" s="21"/>
      <c r="S238" s="21"/>
      <c r="T238" s="21"/>
      <c r="U238" s="21"/>
      <c r="V238" s="21"/>
      <c r="W238" s="21"/>
      <c r="X238" s="21"/>
      <c r="Y238" s="21"/>
      <c r="Z238" s="21" t="str">
        <f>Z192</f>
        <v>T836A</v>
      </c>
      <c r="AA238" s="21" t="str">
        <f>AA192</f>
        <v>T889A</v>
      </c>
      <c r="AB238" s="21">
        <f>AB192</f>
        <v>0</v>
      </c>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row>
    <row r="239" spans="1:61">
      <c r="A239" s="14" t="s">
        <v>21</v>
      </c>
      <c r="B239" s="15" t="str">
        <f>K95</f>
        <v>NC_000008.10:g.[27328511G&gt;A];[27328511=]</v>
      </c>
      <c r="K239" s="3" t="str">
        <f>K193</f>
        <v>NC_000008.10:g.</v>
      </c>
      <c r="L239" s="3" t="str">
        <f>L193</f>
        <v>NC_000008.10:g.</v>
      </c>
      <c r="M239" s="3" t="str">
        <f>M193</f>
        <v>NC_000008.10:g.</v>
      </c>
      <c r="N239" s="21" t="str">
        <f t="shared" ref="N239:O239" si="37">N217</f>
        <v>NC_000008.10:g.</v>
      </c>
      <c r="O239" s="21" t="str">
        <f t="shared" si="37"/>
        <v>NC_000006.11:g.</v>
      </c>
      <c r="P239" s="14" t="s">
        <v>21</v>
      </c>
      <c r="Q239" s="15"/>
      <c r="Z239" s="3" t="str">
        <f>Z193</f>
        <v>NC_000008.10:g.</v>
      </c>
      <c r="AA239" s="3" t="str">
        <f>AA193</f>
        <v>NC_000006.11:g.</v>
      </c>
      <c r="AB239" s="3">
        <f>AB193</f>
        <v>0</v>
      </c>
    </row>
    <row r="240" spans="1:61">
      <c r="A240" s="14" t="s">
        <v>71</v>
      </c>
      <c r="C240" s="3" t="str">
        <f>CONCATENATE("  &lt;Analysis name=",CHAR(34),B238,CHAR(34))</f>
        <v xml:space="preserve">  &lt;Analysis name="A27468610G (C;C) and T836A (A;A) and "</v>
      </c>
      <c r="J240" s="3" t="str">
        <f>J194</f>
        <v>Variant</v>
      </c>
      <c r="K240" s="3" t="str">
        <f>K194</f>
        <v>[27328511G&gt;A]</v>
      </c>
      <c r="L240" s="3" t="str">
        <f>L194</f>
        <v>[27326127A&gt;G]</v>
      </c>
      <c r="M240" s="3" t="str">
        <f>M194</f>
        <v>[27324822T&gt;C]</v>
      </c>
      <c r="N240" s="21" t="str">
        <f t="shared" ref="N240:O240" si="38">N218</f>
        <v>[27321124A&gt;T]</v>
      </c>
      <c r="O240" s="21" t="str">
        <f t="shared" si="38"/>
        <v>[12727715A&gt;G]</v>
      </c>
      <c r="P240" s="14" t="s">
        <v>71</v>
      </c>
      <c r="Q240" s="15"/>
      <c r="Y240" s="3" t="str">
        <f>Y194</f>
        <v>Variant</v>
      </c>
      <c r="Z240" s="3" t="str">
        <f>Z194</f>
        <v>[27321124A&gt;T]</v>
      </c>
      <c r="AA240" s="3" t="str">
        <f>AA194</f>
        <v>[12727715A&gt;G]</v>
      </c>
      <c r="AB240" s="3">
        <f>AB194</f>
        <v>0</v>
      </c>
    </row>
    <row r="241" spans="1:61">
      <c r="A241" s="26" t="s">
        <v>74</v>
      </c>
      <c r="B241" s="15" t="str">
        <f>CONCATENATE("People with this variant have one copy of the ",B22,", ",B31, ", and ",B40," variants. This substitution of a single nucleotide is known as a missense mutation.")</f>
        <v>People with this variant have one copy of the [C65T (p.Thr22Ile)](https://www.ncbi.nlm.nih.gov/clinvar/variation/128740/), [A27468610G](https://www.ncbi.nlm.nih.gov/projects/SNP/snp_ref.cgi?rs=2741343), and [A373G (p.Thr125Ala)](https://www.ncbi.nlm.nih.gov/clinvar/variation/128739/) variants. This substitution of a single nucleotide is known as a missense mutation.</v>
      </c>
      <c r="C241" s="3" t="str">
        <f>CONCATENATE("            case={  variantCall ",CHAR(40),CHAR(34),K242,CHAR(34),CHAR(41))</f>
        <v xml:space="preserve">            case={  variantCall ("NC_000008.10:g.[27328511G&gt;A];[27328511=]")</v>
      </c>
      <c r="J241" s="3" t="str">
        <f>J195</f>
        <v>Wildtype</v>
      </c>
      <c r="K241" s="3" t="str">
        <f>K195</f>
        <v>[27328511=]</v>
      </c>
      <c r="L241" s="3" t="str">
        <f>L195</f>
        <v>[27326127=]</v>
      </c>
      <c r="M241" s="3" t="str">
        <f>M195</f>
        <v>[27324822=]</v>
      </c>
      <c r="N241" s="21" t="str">
        <f t="shared" ref="N241:O241" si="39">N219</f>
        <v>[27321124=]</v>
      </c>
      <c r="O241" s="21" t="str">
        <f t="shared" si="39"/>
        <v>[12727715=]</v>
      </c>
      <c r="P241" s="26" t="s">
        <v>74</v>
      </c>
      <c r="Q241" s="15"/>
      <c r="Y241" s="3" t="str">
        <f>Y195</f>
        <v>Wildtype</v>
      </c>
      <c r="Z241" s="3" t="str">
        <f>Z195</f>
        <v>[27321124=]</v>
      </c>
      <c r="AA241" s="3" t="str">
        <f>AA195</f>
        <v>[12727715=]</v>
      </c>
      <c r="AB241" s="3">
        <f>AB195</f>
        <v>0</v>
      </c>
    </row>
    <row r="242" spans="1:61" s="21" customFormat="1">
      <c r="A242" s="26" t="s">
        <v>28</v>
      </c>
      <c r="B242" s="15" t="s">
        <v>118</v>
      </c>
      <c r="C242" s="3" t="s">
        <v>70</v>
      </c>
      <c r="D242" s="3"/>
      <c r="E242" s="3"/>
      <c r="F242" s="3"/>
      <c r="G242" s="3"/>
      <c r="H242" s="3"/>
      <c r="I242" s="3"/>
      <c r="J242" s="3" t="str">
        <f>J196</f>
        <v>Het</v>
      </c>
      <c r="K242" s="3" t="str">
        <f>K196</f>
        <v>NC_000008.10:g.[27328511G&gt;A];[27328511=]</v>
      </c>
      <c r="L242" s="3" t="str">
        <f>L196</f>
        <v>NC_000008.10:g.[27326127A&gt;G];[27326127=]</v>
      </c>
      <c r="M242" s="3" t="str">
        <f>M196</f>
        <v>NC_000008.10:g.[27324822T&gt;C];[27324822=]</v>
      </c>
      <c r="N242" s="21" t="str">
        <f t="shared" ref="N242:O242" si="40">N220</f>
        <v>NC_000008.10:g.[27321124A&gt;T];[27321124=]</v>
      </c>
      <c r="O242" s="21" t="str">
        <f t="shared" si="40"/>
        <v>NC_000006.11:g.[12727715A&gt;G];[12727715=]</v>
      </c>
      <c r="P242" s="26" t="s">
        <v>28</v>
      </c>
      <c r="Q242" s="15"/>
      <c r="R242" s="3"/>
      <c r="S242" s="3"/>
      <c r="T242" s="3"/>
      <c r="U242" s="3"/>
      <c r="V242" s="3"/>
      <c r="W242" s="3"/>
      <c r="X242" s="3"/>
      <c r="Y242" s="3" t="str">
        <f>Y196</f>
        <v>Het</v>
      </c>
      <c r="Z242" s="3" t="str">
        <f>Z196</f>
        <v>NC_000008.10:g.[27321124A&gt;T];[27321124=]</v>
      </c>
      <c r="AA242" s="3" t="str">
        <f>AA196</f>
        <v>NC_000006.11:g.[12727715A&gt;G];[12727715=]</v>
      </c>
      <c r="AB242" s="3" t="str">
        <f>AB196</f>
        <v>00;0</v>
      </c>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row>
    <row r="243" spans="1:61">
      <c r="A243" s="26" t="s">
        <v>72</v>
      </c>
      <c r="C243" s="3" t="str">
        <f>CONCATENATE("                    variantCall ",CHAR(40),CHAR(34),L242,CHAR(34),CHAR(41))</f>
        <v xml:space="preserve">                    variantCall ("NC_000008.10:g.[27326127A&gt;G];[27326127=]")</v>
      </c>
      <c r="J243" s="3" t="str">
        <f>J197</f>
        <v>Homo</v>
      </c>
      <c r="K243" s="3" t="str">
        <f>K197</f>
        <v>NC_000008.10:g.[27328511G&gt;A];[27328511G&gt;A]</v>
      </c>
      <c r="L243" s="3" t="str">
        <f>L197</f>
        <v>NC_000008.10:g.[27326127A&gt;G];[27326127A&gt;G]</v>
      </c>
      <c r="M243" s="3" t="str">
        <f>M197</f>
        <v>NC_000008.10:g.[27324822T&gt;C];[27324822T&gt;C]</v>
      </c>
      <c r="N243" s="21" t="str">
        <f t="shared" ref="N243:O243" si="41">N221</f>
        <v>NC_000008.10:g.[27321124A&gt;T];[27321124A&gt;T]</v>
      </c>
      <c r="O243" s="21" t="str">
        <f t="shared" si="41"/>
        <v>NC_000006.11:g.[12727715A&gt;G];[12727715A&gt;G]</v>
      </c>
      <c r="P243" s="26" t="s">
        <v>72</v>
      </c>
      <c r="Q243" s="15"/>
      <c r="Y243" s="3" t="str">
        <f>Y197</f>
        <v>Homo</v>
      </c>
      <c r="Z243" s="3" t="str">
        <f>Z197</f>
        <v>NC_000008.10:g.[27321124A&gt;T];[27321124A&gt;T]</v>
      </c>
      <c r="AA243" s="3" t="str">
        <f>AA197</f>
        <v>NC_000006.11:g.[12727715A&gt;G];[12727715A&gt;G]</v>
      </c>
      <c r="AB243" s="3" t="str">
        <f>AB197</f>
        <v>00;0</v>
      </c>
    </row>
    <row r="244" spans="1:61">
      <c r="A244" s="26"/>
      <c r="C244" s="3" t="s">
        <v>70</v>
      </c>
      <c r="J244" s="3" t="str">
        <f>J198</f>
        <v>Wildtype</v>
      </c>
      <c r="K244" s="3" t="str">
        <f>K198</f>
        <v>NC_000008.10:g.[27328511=];[27328511=]</v>
      </c>
      <c r="L244" s="3" t="str">
        <f>L198</f>
        <v>NC_000008.10:g.[27326127=];[27326127=]</v>
      </c>
      <c r="M244" s="3" t="str">
        <f>M198</f>
        <v>NC_000008.10:g.[27324822=];[27324822=]</v>
      </c>
      <c r="N244" s="21" t="str">
        <f t="shared" ref="N244:O244" si="42">N222</f>
        <v>NC_000008.10:g.[27321124=];[27321124=]</v>
      </c>
      <c r="O244" s="21" t="str">
        <f t="shared" si="42"/>
        <v>NC_000006.11:g.[12727715=];[12727715=]</v>
      </c>
      <c r="P244" s="26"/>
      <c r="Q244" s="15"/>
      <c r="Y244" s="3" t="str">
        <f>Y198</f>
        <v>Wildtype</v>
      </c>
      <c r="Z244" s="3" t="str">
        <f>Z198</f>
        <v>NC_000008.10:g.[27321124=];[27321124=]</v>
      </c>
      <c r="AA244" s="3" t="str">
        <f>AA198</f>
        <v>NC_000006.11:g.[12727715=];[12727715=]</v>
      </c>
      <c r="AB244" s="3" t="str">
        <f>AB198</f>
        <v>00;0</v>
      </c>
    </row>
    <row r="245" spans="1:61">
      <c r="A245" s="26"/>
      <c r="C245" s="3" t="str">
        <f>CONCATENATE("                    variantCall ",CHAR(40),CHAR(34),M242,CHAR(34),CHAR(41))</f>
        <v xml:space="preserve">                    variantCall ("NC_000008.10:g.[27324822T&gt;C];[27324822=]")</v>
      </c>
      <c r="J245" s="3" t="str">
        <f>J199</f>
        <v>Het%</v>
      </c>
      <c r="K245" s="3">
        <f>K199</f>
        <v>27.5</v>
      </c>
      <c r="L245" s="3">
        <f>L199</f>
        <v>48</v>
      </c>
      <c r="M245" s="3">
        <f>M199</f>
        <v>49.8</v>
      </c>
      <c r="N245" s="21">
        <f t="shared" ref="N245:O245" si="43">N223</f>
        <v>35.4</v>
      </c>
      <c r="O245" s="21">
        <f t="shared" si="43"/>
        <v>35.6</v>
      </c>
      <c r="P245" s="26"/>
      <c r="Q245" s="15"/>
      <c r="Y245" s="3" t="str">
        <f>Y199</f>
        <v>Het%</v>
      </c>
      <c r="Z245" s="3">
        <f>Z199</f>
        <v>43</v>
      </c>
      <c r="AA245" s="3">
        <f>AA199</f>
        <v>1.8</v>
      </c>
      <c r="AB245" s="3">
        <f>AB199</f>
        <v>15.8</v>
      </c>
    </row>
    <row r="246" spans="1:61">
      <c r="A246" s="26"/>
      <c r="C246" s="3" t="str">
        <f>CONCATENATE("                  } &gt; ")</f>
        <v xml:space="preserve">                  } &gt; </v>
      </c>
      <c r="J246" s="3" t="str">
        <f>J200</f>
        <v>Homo%</v>
      </c>
      <c r="K246" s="3">
        <f>K200</f>
        <v>15.2</v>
      </c>
      <c r="L246" s="3">
        <f>L200</f>
        <v>48.1</v>
      </c>
      <c r="M246" s="3">
        <f>M200</f>
        <v>48.6</v>
      </c>
      <c r="N246" s="21">
        <f t="shared" ref="N246:O246" si="44">N224</f>
        <v>14.1</v>
      </c>
      <c r="O246" s="21">
        <f t="shared" si="44"/>
        <v>14.3</v>
      </c>
      <c r="P246" s="26"/>
      <c r="Q246" s="15"/>
      <c r="Y246" s="3" t="str">
        <f>Y200</f>
        <v>Homo%</v>
      </c>
      <c r="Z246" s="3">
        <f>Z200</f>
        <v>19.899999999999999</v>
      </c>
      <c r="AA246" s="3">
        <f>AA200</f>
        <v>0.5</v>
      </c>
      <c r="AB246" s="3">
        <f>AB200</f>
        <v>4.7</v>
      </c>
    </row>
    <row r="247" spans="1:61">
      <c r="A247" s="14"/>
      <c r="J247" s="3" t="str">
        <f>J201</f>
        <v>Wildtype%</v>
      </c>
      <c r="K247" s="3">
        <f>K201</f>
        <v>57.3</v>
      </c>
      <c r="L247" s="3">
        <f>L201</f>
        <v>3.9</v>
      </c>
      <c r="M247" s="3">
        <f>M201</f>
        <v>1.6</v>
      </c>
      <c r="N247" s="21">
        <f t="shared" ref="N247:O247" si="45">N225</f>
        <v>50.5</v>
      </c>
      <c r="O247" s="21">
        <f t="shared" si="45"/>
        <v>50.1</v>
      </c>
      <c r="P247" s="14"/>
      <c r="Q247" s="15"/>
      <c r="Y247" s="3" t="str">
        <f>Y201</f>
        <v>Wildtype%</v>
      </c>
      <c r="Z247" s="3">
        <f>Z201</f>
        <v>37.1</v>
      </c>
      <c r="AA247" s="3">
        <f>AA201</f>
        <v>97.8</v>
      </c>
      <c r="AB247" s="3">
        <f>AB201</f>
        <v>79.5</v>
      </c>
    </row>
    <row r="248" spans="1:61">
      <c r="A248" s="14"/>
      <c r="C248" s="3" t="s">
        <v>26</v>
      </c>
      <c r="P248" s="14"/>
      <c r="Q248" s="15"/>
    </row>
    <row r="249" spans="1:61">
      <c r="A249" s="14"/>
      <c r="P249" s="14"/>
      <c r="Q249" s="15"/>
    </row>
    <row r="250" spans="1:61">
      <c r="A250" s="14"/>
      <c r="C250" s="3" t="str">
        <f>CONCATENATE("    ",B241)</f>
        <v xml:space="preserve">    People with this variant have one copy of the [C65T (p.Thr22Ile)](https://www.ncbi.nlm.nih.gov/clinvar/variation/128740/), [A27468610G](https://www.ncbi.nlm.nih.gov/projects/SNP/snp_ref.cgi?rs=2741343), and [A373G (p.Thr125Ala)](https://www.ncbi.nlm.nih.gov/clinvar/variation/128739/) variants. This substitution of a single nucleotide is known as a missense mutation.</v>
      </c>
      <c r="P250" s="14"/>
      <c r="Q250" s="15"/>
    </row>
    <row r="251" spans="1:61">
      <c r="A251" s="14"/>
      <c r="P251" s="14"/>
      <c r="Q251" s="15"/>
    </row>
    <row r="252" spans="1:61">
      <c r="A252" s="26"/>
      <c r="C252" s="3" t="s">
        <v>29</v>
      </c>
      <c r="P252" s="26"/>
      <c r="Q252" s="15"/>
    </row>
    <row r="253" spans="1:61">
      <c r="A253" s="26"/>
      <c r="P253" s="26"/>
      <c r="Q253" s="15"/>
    </row>
    <row r="254" spans="1:61">
      <c r="A254" s="26"/>
      <c r="C254" s="3" t="str">
        <f>CONCATENATE(B242)</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54" s="26"/>
      <c r="Q254" s="15"/>
    </row>
    <row r="255" spans="1:61">
      <c r="A255" s="26"/>
      <c r="P255" s="26"/>
      <c r="Q255" s="15"/>
    </row>
    <row r="256" spans="1:61">
      <c r="A256" s="26"/>
      <c r="C256" s="3" t="s">
        <v>30</v>
      </c>
      <c r="P256" s="26"/>
      <c r="Q256" s="15"/>
    </row>
    <row r="257" spans="1:61">
      <c r="A257" s="26"/>
      <c r="P257" s="26"/>
      <c r="Q257" s="15"/>
    </row>
    <row r="258" spans="1:61">
      <c r="A258" s="26"/>
      <c r="C258" s="3" t="str">
        <f>CONCATENATE( "    &lt;# piechart percentage=",B243," / #&gt;")</f>
        <v xml:space="preserve">    &lt;# piechart percentage= / #&gt;</v>
      </c>
      <c r="P258" s="26"/>
      <c r="Q258" s="15"/>
    </row>
    <row r="259" spans="1:61">
      <c r="A259" s="26"/>
      <c r="C259" s="3" t="str">
        <f>"  &lt;/Analysis&gt;"</f>
        <v xml:space="preserve">  &lt;/Analysis&gt;</v>
      </c>
      <c r="K259" s="3" t="str">
        <f>K215</f>
        <v>rs6691840 TT</v>
      </c>
      <c r="L259" s="3" t="str">
        <f>L215</f>
        <v>rs3913434 CC</v>
      </c>
      <c r="M259" s="3" t="str">
        <f>M215</f>
        <v>rs270838 CC</v>
      </c>
      <c r="P259" s="26"/>
      <c r="Q259" s="15"/>
      <c r="Z259" s="3">
        <f t="shared" ref="Z259:AB259" si="46">Z215</f>
        <v>0</v>
      </c>
      <c r="AA259" s="3">
        <f t="shared" si="46"/>
        <v>0</v>
      </c>
      <c r="AB259" s="3">
        <f t="shared" si="46"/>
        <v>0</v>
      </c>
    </row>
    <row r="260" spans="1:61">
      <c r="A260" s="28" t="s">
        <v>69</v>
      </c>
      <c r="B260" s="20" t="str">
        <f>CONCATENATE(B117," and ",B142," and ",B192)</f>
        <v xml:space="preserve">A373G (C;C) and T836A (A;A) and </v>
      </c>
      <c r="C260" s="21" t="str">
        <f>CONCATENATE("&lt;# ",B260," #&gt;")</f>
        <v>&lt;# A373G (C;C) and T836A (A;A) and  #&gt;</v>
      </c>
      <c r="D260" s="21"/>
      <c r="E260" s="21"/>
      <c r="F260" s="21"/>
      <c r="G260" s="21"/>
      <c r="H260" s="21"/>
      <c r="I260" s="21"/>
      <c r="J260" s="21"/>
      <c r="K260" s="21" t="str">
        <f t="shared" ref="K260:O261" si="47">K238</f>
        <v>C65T</v>
      </c>
      <c r="L260" s="21" t="str">
        <f t="shared" si="47"/>
        <v>A27468610G</v>
      </c>
      <c r="M260" s="21" t="str">
        <f t="shared" si="47"/>
        <v>A373G</v>
      </c>
      <c r="N260" s="21" t="str">
        <f t="shared" si="47"/>
        <v>T836A</v>
      </c>
      <c r="O260" s="21" t="str">
        <f t="shared" si="47"/>
        <v>T889A</v>
      </c>
      <c r="P260" s="28" t="s">
        <v>69</v>
      </c>
      <c r="Q260" s="20"/>
      <c r="R260" s="21"/>
      <c r="S260" s="21"/>
      <c r="T260" s="21"/>
      <c r="U260" s="21"/>
      <c r="V260" s="21"/>
      <c r="W260" s="21"/>
      <c r="X260" s="21"/>
      <c r="Y260" s="21"/>
      <c r="Z260" s="21" t="str">
        <f t="shared" ref="Z260:AB261" si="48">Z238</f>
        <v>T836A</v>
      </c>
      <c r="AA260" s="21" t="str">
        <f t="shared" si="48"/>
        <v>T889A</v>
      </c>
      <c r="AB260" s="21">
        <f t="shared" si="48"/>
        <v>0</v>
      </c>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row>
    <row r="261" spans="1:61">
      <c r="A261" s="14" t="s">
        <v>21</v>
      </c>
      <c r="B261" s="15" t="str">
        <f>K121</f>
        <v>NC_000008.10:g.[27328511G&gt;A];[27328511=]</v>
      </c>
      <c r="K261" s="3" t="str">
        <f t="shared" si="47"/>
        <v>NC_000008.10:g.</v>
      </c>
      <c r="L261" s="3" t="str">
        <f t="shared" si="47"/>
        <v>NC_000008.10:g.</v>
      </c>
      <c r="M261" s="3" t="str">
        <f t="shared" si="47"/>
        <v>NC_000008.10:g.</v>
      </c>
      <c r="N261" s="21" t="str">
        <f t="shared" si="47"/>
        <v>NC_000008.10:g.</v>
      </c>
      <c r="O261" s="21" t="str">
        <f t="shared" si="47"/>
        <v>NC_000006.11:g.</v>
      </c>
      <c r="P261" s="14" t="s">
        <v>21</v>
      </c>
      <c r="Q261" s="15"/>
      <c r="Z261" s="3" t="str">
        <f t="shared" si="48"/>
        <v>NC_000008.10:g.</v>
      </c>
      <c r="AA261" s="3" t="str">
        <f t="shared" si="48"/>
        <v>NC_000006.11:g.</v>
      </c>
      <c r="AB261" s="3">
        <f t="shared" si="48"/>
        <v>0</v>
      </c>
    </row>
    <row r="262" spans="1:61">
      <c r="A262" s="14" t="s">
        <v>71</v>
      </c>
      <c r="C262" s="3" t="str">
        <f>CONCATENATE("  &lt;Analysis name=",CHAR(34),B260,CHAR(34))</f>
        <v xml:space="preserve">  &lt;Analysis name="A373G (C;C) and T836A (A;A) and "</v>
      </c>
      <c r="J262" s="3" t="str">
        <f t="shared" ref="J262:O269" si="49">J240</f>
        <v>Variant</v>
      </c>
      <c r="K262" s="3" t="str">
        <f t="shared" si="49"/>
        <v>[27328511G&gt;A]</v>
      </c>
      <c r="L262" s="3" t="str">
        <f t="shared" si="49"/>
        <v>[27326127A&gt;G]</v>
      </c>
      <c r="M262" s="3" t="str">
        <f t="shared" si="49"/>
        <v>[27324822T&gt;C]</v>
      </c>
      <c r="N262" s="21" t="str">
        <f t="shared" si="49"/>
        <v>[27321124A&gt;T]</v>
      </c>
      <c r="O262" s="21" t="str">
        <f t="shared" si="49"/>
        <v>[12727715A&gt;G]</v>
      </c>
      <c r="P262" s="14" t="s">
        <v>71</v>
      </c>
      <c r="Q262" s="15"/>
      <c r="Y262" s="3" t="str">
        <f t="shared" ref="Y262:AB269" si="50">Y240</f>
        <v>Variant</v>
      </c>
      <c r="Z262" s="3" t="str">
        <f t="shared" si="50"/>
        <v>[27321124A&gt;T]</v>
      </c>
      <c r="AA262" s="3" t="str">
        <f t="shared" si="50"/>
        <v>[12727715A&gt;G]</v>
      </c>
      <c r="AB262" s="3">
        <f t="shared" si="50"/>
        <v>0</v>
      </c>
    </row>
    <row r="263" spans="1:61">
      <c r="A263" s="26" t="s">
        <v>74</v>
      </c>
      <c r="B263" s="15" t="str">
        <f>CONCATENATE("People with this variant have two copies of the ",B22," variant and one copy of the ",B31, " and ",B40," variants. This substitution of a single nucleotide is known as a missense mutation.")</f>
        <v>People with this variant have two copies of the [C65T (p.Thr22Ile)](https://www.ncbi.nlm.nih.gov/clinvar/variation/128740/) variant and one copy of the [A27468610G](https://www.ncbi.nlm.nih.gov/projects/SNP/snp_ref.cgi?rs=2741343) and [A373G (p.Thr125Ala)](https://www.ncbi.nlm.nih.gov/clinvar/variation/128739/) variants. This substitution of a single nucleotide is known as a missense mutation.</v>
      </c>
      <c r="C263" s="3" t="str">
        <f>CONCATENATE("            case={  variantCall ",CHAR(40),CHAR(34),K265,CHAR(34),CHAR(41))</f>
        <v xml:space="preserve">            case={  variantCall ("NC_000008.10:g.[27328511G&gt;A];[27328511G&gt;A]")</v>
      </c>
      <c r="J263" s="3" t="str">
        <f t="shared" si="49"/>
        <v>Wildtype</v>
      </c>
      <c r="K263" s="3" t="str">
        <f t="shared" si="49"/>
        <v>[27328511=]</v>
      </c>
      <c r="L263" s="3" t="str">
        <f t="shared" si="49"/>
        <v>[27326127=]</v>
      </c>
      <c r="M263" s="3" t="str">
        <f t="shared" si="49"/>
        <v>[27324822=]</v>
      </c>
      <c r="N263" s="21" t="str">
        <f t="shared" si="49"/>
        <v>[27321124=]</v>
      </c>
      <c r="O263" s="21" t="str">
        <f t="shared" si="49"/>
        <v>[12727715=]</v>
      </c>
      <c r="P263" s="26" t="s">
        <v>74</v>
      </c>
      <c r="Q263" s="15"/>
      <c r="Y263" s="3" t="str">
        <f t="shared" si="50"/>
        <v>Wildtype</v>
      </c>
      <c r="Z263" s="3" t="str">
        <f t="shared" si="50"/>
        <v>[27321124=]</v>
      </c>
      <c r="AA263" s="3" t="str">
        <f t="shared" si="50"/>
        <v>[12727715=]</v>
      </c>
      <c r="AB263" s="3">
        <f t="shared" si="50"/>
        <v>0</v>
      </c>
    </row>
    <row r="264" spans="1:61" s="21" customFormat="1">
      <c r="A264" s="26" t="s">
        <v>28</v>
      </c>
      <c r="B264" s="36"/>
      <c r="C264" s="3" t="s">
        <v>70</v>
      </c>
      <c r="D264" s="3"/>
      <c r="E264" s="3"/>
      <c r="F264" s="3"/>
      <c r="G264" s="3"/>
      <c r="H264" s="3"/>
      <c r="I264" s="3"/>
      <c r="J264" s="3" t="str">
        <f t="shared" si="49"/>
        <v>Het</v>
      </c>
      <c r="K264" s="3" t="str">
        <f t="shared" si="49"/>
        <v>NC_000008.10:g.[27328511G&gt;A];[27328511=]</v>
      </c>
      <c r="L264" s="3" t="str">
        <f t="shared" si="49"/>
        <v>NC_000008.10:g.[27326127A&gt;G];[27326127=]</v>
      </c>
      <c r="M264" s="3" t="str">
        <f t="shared" si="49"/>
        <v>NC_000008.10:g.[27324822T&gt;C];[27324822=]</v>
      </c>
      <c r="N264" s="21" t="str">
        <f t="shared" si="49"/>
        <v>NC_000008.10:g.[27321124A&gt;T];[27321124=]</v>
      </c>
      <c r="O264" s="21" t="str">
        <f t="shared" si="49"/>
        <v>NC_000006.11:g.[12727715A&gt;G];[12727715=]</v>
      </c>
      <c r="P264" s="26" t="s">
        <v>28</v>
      </c>
      <c r="Q264" s="36"/>
      <c r="R264" s="3"/>
      <c r="S264" s="3"/>
      <c r="T264" s="3"/>
      <c r="U264" s="3"/>
      <c r="V264" s="3"/>
      <c r="W264" s="3"/>
      <c r="X264" s="3"/>
      <c r="Y264" s="3" t="str">
        <f t="shared" si="50"/>
        <v>Het</v>
      </c>
      <c r="Z264" s="3" t="str">
        <f t="shared" si="50"/>
        <v>NC_000008.10:g.[27321124A&gt;T];[27321124=]</v>
      </c>
      <c r="AA264" s="3" t="str">
        <f t="shared" si="50"/>
        <v>NC_000006.11:g.[12727715A&gt;G];[12727715=]</v>
      </c>
      <c r="AB264" s="3" t="str">
        <f t="shared" si="50"/>
        <v>00;0</v>
      </c>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row>
    <row r="265" spans="1:61">
      <c r="A265" s="26" t="s">
        <v>72</v>
      </c>
      <c r="C265" s="3" t="str">
        <f>CONCATENATE("                    variantCall ",CHAR(40),CHAR(34),L264,CHAR(34),CHAR(41))</f>
        <v xml:space="preserve">                    variantCall ("NC_000008.10:g.[27326127A&gt;G];[27326127=]")</v>
      </c>
      <c r="J265" s="3" t="str">
        <f t="shared" si="49"/>
        <v>Homo</v>
      </c>
      <c r="K265" s="3" t="str">
        <f t="shared" si="49"/>
        <v>NC_000008.10:g.[27328511G&gt;A];[27328511G&gt;A]</v>
      </c>
      <c r="L265" s="3" t="str">
        <f t="shared" si="49"/>
        <v>NC_000008.10:g.[27326127A&gt;G];[27326127A&gt;G]</v>
      </c>
      <c r="M265" s="3" t="str">
        <f t="shared" si="49"/>
        <v>NC_000008.10:g.[27324822T&gt;C];[27324822T&gt;C]</v>
      </c>
      <c r="N265" s="21" t="str">
        <f t="shared" si="49"/>
        <v>NC_000008.10:g.[27321124A&gt;T];[27321124A&gt;T]</v>
      </c>
      <c r="O265" s="21" t="str">
        <f t="shared" si="49"/>
        <v>NC_000006.11:g.[12727715A&gt;G];[12727715A&gt;G]</v>
      </c>
      <c r="P265" s="26" t="s">
        <v>72</v>
      </c>
      <c r="Q265" s="15"/>
      <c r="Y265" s="3" t="str">
        <f t="shared" si="50"/>
        <v>Homo</v>
      </c>
      <c r="Z265" s="3" t="str">
        <f t="shared" si="50"/>
        <v>NC_000008.10:g.[27321124A&gt;T];[27321124A&gt;T]</v>
      </c>
      <c r="AA265" s="3" t="str">
        <f t="shared" si="50"/>
        <v>NC_000006.11:g.[12727715A&gt;G];[12727715A&gt;G]</v>
      </c>
      <c r="AB265" s="3" t="str">
        <f t="shared" si="50"/>
        <v>00;0</v>
      </c>
    </row>
    <row r="266" spans="1:61">
      <c r="A266" s="26"/>
      <c r="C266" s="3" t="s">
        <v>70</v>
      </c>
      <c r="J266" s="3" t="str">
        <f t="shared" si="49"/>
        <v>Wildtype</v>
      </c>
      <c r="K266" s="3" t="str">
        <f t="shared" si="49"/>
        <v>NC_000008.10:g.[27328511=];[27328511=]</v>
      </c>
      <c r="L266" s="3" t="str">
        <f t="shared" si="49"/>
        <v>NC_000008.10:g.[27326127=];[27326127=]</v>
      </c>
      <c r="M266" s="3" t="str">
        <f t="shared" si="49"/>
        <v>NC_000008.10:g.[27324822=];[27324822=]</v>
      </c>
      <c r="N266" s="21" t="str">
        <f t="shared" si="49"/>
        <v>NC_000008.10:g.[27321124=];[27321124=]</v>
      </c>
      <c r="O266" s="21" t="str">
        <f t="shared" si="49"/>
        <v>NC_000006.11:g.[12727715=];[12727715=]</v>
      </c>
      <c r="P266" s="26"/>
      <c r="Q266" s="15"/>
      <c r="Y266" s="3" t="str">
        <f t="shared" si="50"/>
        <v>Wildtype</v>
      </c>
      <c r="Z266" s="3" t="str">
        <f t="shared" si="50"/>
        <v>NC_000008.10:g.[27321124=];[27321124=]</v>
      </c>
      <c r="AA266" s="3" t="str">
        <f t="shared" si="50"/>
        <v>NC_000006.11:g.[12727715=];[12727715=]</v>
      </c>
      <c r="AB266" s="3" t="str">
        <f t="shared" si="50"/>
        <v>00;0</v>
      </c>
    </row>
    <row r="267" spans="1:61">
      <c r="A267" s="26"/>
      <c r="C267" s="3" t="str">
        <f>CONCATENATE("                    variantCall ",CHAR(40),CHAR(34),M264,CHAR(34),CHAR(41))</f>
        <v xml:space="preserve">                    variantCall ("NC_000008.10:g.[27324822T&gt;C];[27324822=]")</v>
      </c>
      <c r="J267" s="3" t="str">
        <f t="shared" si="49"/>
        <v>Het%</v>
      </c>
      <c r="K267" s="3">
        <f t="shared" si="49"/>
        <v>27.5</v>
      </c>
      <c r="L267" s="3">
        <f t="shared" si="49"/>
        <v>48</v>
      </c>
      <c r="M267" s="3">
        <f t="shared" si="49"/>
        <v>49.8</v>
      </c>
      <c r="N267" s="21">
        <f t="shared" si="49"/>
        <v>35.4</v>
      </c>
      <c r="O267" s="21">
        <f t="shared" si="49"/>
        <v>35.6</v>
      </c>
      <c r="P267" s="26"/>
      <c r="Q267" s="15"/>
      <c r="Y267" s="3" t="str">
        <f t="shared" si="50"/>
        <v>Het%</v>
      </c>
      <c r="Z267" s="3">
        <f t="shared" si="50"/>
        <v>43</v>
      </c>
      <c r="AA267" s="3">
        <f t="shared" si="50"/>
        <v>1.8</v>
      </c>
      <c r="AB267" s="3">
        <f t="shared" si="50"/>
        <v>15.8</v>
      </c>
    </row>
    <row r="268" spans="1:61">
      <c r="A268" s="26"/>
      <c r="C268" s="3" t="str">
        <f>CONCATENATE("                  } &gt; ")</f>
        <v xml:space="preserve">                  } &gt; </v>
      </c>
      <c r="J268" s="3" t="str">
        <f t="shared" si="49"/>
        <v>Homo%</v>
      </c>
      <c r="K268" s="3">
        <f t="shared" si="49"/>
        <v>15.2</v>
      </c>
      <c r="L268" s="3">
        <f t="shared" si="49"/>
        <v>48.1</v>
      </c>
      <c r="M268" s="3">
        <f t="shared" si="49"/>
        <v>48.6</v>
      </c>
      <c r="N268" s="21">
        <f t="shared" si="49"/>
        <v>14.1</v>
      </c>
      <c r="O268" s="21">
        <f t="shared" si="49"/>
        <v>14.3</v>
      </c>
      <c r="P268" s="26"/>
      <c r="Q268" s="15"/>
      <c r="Y268" s="3" t="str">
        <f t="shared" si="50"/>
        <v>Homo%</v>
      </c>
      <c r="Z268" s="3">
        <f t="shared" si="50"/>
        <v>19.899999999999999</v>
      </c>
      <c r="AA268" s="3">
        <f t="shared" si="50"/>
        <v>0.5</v>
      </c>
      <c r="AB268" s="3">
        <f t="shared" si="50"/>
        <v>4.7</v>
      </c>
    </row>
    <row r="269" spans="1:61">
      <c r="A269" s="14"/>
      <c r="J269" s="3" t="str">
        <f t="shared" si="49"/>
        <v>Wildtype%</v>
      </c>
      <c r="K269" s="3">
        <f t="shared" si="49"/>
        <v>57.3</v>
      </c>
      <c r="L269" s="3">
        <f t="shared" si="49"/>
        <v>3.9</v>
      </c>
      <c r="M269" s="3">
        <f t="shared" si="49"/>
        <v>1.6</v>
      </c>
      <c r="N269" s="21">
        <f t="shared" si="49"/>
        <v>50.5</v>
      </c>
      <c r="O269" s="21">
        <f t="shared" si="49"/>
        <v>50.1</v>
      </c>
      <c r="P269" s="14"/>
      <c r="Q269" s="15"/>
      <c r="Y269" s="3" t="str">
        <f t="shared" si="50"/>
        <v>Wildtype%</v>
      </c>
      <c r="Z269" s="3">
        <f t="shared" si="50"/>
        <v>37.1</v>
      </c>
      <c r="AA269" s="3">
        <f t="shared" si="50"/>
        <v>97.8</v>
      </c>
      <c r="AB269" s="3">
        <f t="shared" si="50"/>
        <v>79.5</v>
      </c>
    </row>
    <row r="270" spans="1:61">
      <c r="A270" s="14"/>
      <c r="C270" s="3" t="s">
        <v>26</v>
      </c>
      <c r="P270" s="14"/>
      <c r="Q270" s="15"/>
    </row>
    <row r="271" spans="1:61">
      <c r="A271" s="14"/>
      <c r="P271" s="14"/>
      <c r="Q271" s="15"/>
    </row>
    <row r="272" spans="1:61">
      <c r="A272" s="14"/>
      <c r="C272" s="3" t="str">
        <f>CONCATENATE("    ",B263)</f>
        <v xml:space="preserve">    People with this variant have two copies of the [C65T (p.Thr22Ile)](https://www.ncbi.nlm.nih.gov/clinvar/variation/128740/) variant and one copy of the [A27468610G](https://www.ncbi.nlm.nih.gov/projects/SNP/snp_ref.cgi?rs=2741343) and [A373G (p.Thr125Ala)](https://www.ncbi.nlm.nih.gov/clinvar/variation/128739/) variants. This substitution of a single nucleotide is known as a missense mutation.</v>
      </c>
      <c r="P272" s="14"/>
      <c r="Q272" s="15"/>
    </row>
    <row r="273" spans="1:61">
      <c r="A273" s="14"/>
      <c r="P273" s="14"/>
      <c r="Q273" s="15"/>
    </row>
    <row r="274" spans="1:61">
      <c r="A274" s="26"/>
      <c r="C274" s="3" t="s">
        <v>29</v>
      </c>
      <c r="P274" s="26"/>
      <c r="Q274" s="15"/>
    </row>
    <row r="275" spans="1:61">
      <c r="A275" s="26"/>
      <c r="P275" s="26"/>
      <c r="Q275" s="15"/>
    </row>
    <row r="276" spans="1:61">
      <c r="A276" s="26"/>
      <c r="C276" s="3" t="str">
        <f>CONCATENATE(B264)</f>
        <v/>
      </c>
      <c r="P276" s="26"/>
      <c r="Q276" s="15"/>
    </row>
    <row r="277" spans="1:61">
      <c r="A277" s="26"/>
      <c r="P277" s="26"/>
      <c r="Q277" s="15"/>
    </row>
    <row r="278" spans="1:61">
      <c r="A278" s="26"/>
      <c r="C278" s="3" t="s">
        <v>30</v>
      </c>
      <c r="P278" s="26"/>
      <c r="Q278" s="15"/>
    </row>
    <row r="279" spans="1:61">
      <c r="A279" s="26"/>
      <c r="P279" s="26"/>
      <c r="Q279" s="15"/>
    </row>
    <row r="280" spans="1:61">
      <c r="A280" s="26"/>
      <c r="C280" s="3" t="str">
        <f>CONCATENATE( "    &lt;# piechart percentage=",B265," / #&gt;")</f>
        <v xml:space="preserve">    &lt;# piechart percentage= / #&gt;</v>
      </c>
      <c r="P280" s="26"/>
      <c r="Q280" s="15"/>
    </row>
    <row r="281" spans="1:61">
      <c r="A281" s="26"/>
      <c r="C281" s="3" t="str">
        <f>"  &lt;/Analysis&gt;"</f>
        <v xml:space="preserve">  &lt;/Analysis&gt;</v>
      </c>
      <c r="K281" s="3" t="str">
        <f t="shared" ref="K281:O283" si="51">K259</f>
        <v>rs6691840 TT</v>
      </c>
      <c r="L281" s="3" t="str">
        <f t="shared" si="51"/>
        <v>rs3913434 CC</v>
      </c>
      <c r="M281" s="3" t="str">
        <f t="shared" si="51"/>
        <v>rs270838 CC</v>
      </c>
      <c r="P281" s="26"/>
      <c r="Q281" s="15"/>
      <c r="Z281" s="3">
        <f t="shared" ref="Z281:AB283" si="52">Z259</f>
        <v>0</v>
      </c>
      <c r="AA281" s="3">
        <f t="shared" si="52"/>
        <v>0</v>
      </c>
      <c r="AB281" s="3">
        <f t="shared" si="52"/>
        <v>0</v>
      </c>
    </row>
    <row r="282" spans="1:61">
      <c r="A282" s="28" t="s">
        <v>69</v>
      </c>
      <c r="B282" s="20" t="str">
        <f>CONCATENATE(B91," and ",B142)</f>
        <v>A27468610G (C;C) and T836A (A;A)</v>
      </c>
      <c r="C282" s="21" t="str">
        <f>CONCATENATE("&lt;# ",B282," #&gt;")</f>
        <v>&lt;# A27468610G (C;C) and T836A (A;A) #&gt;</v>
      </c>
      <c r="D282" s="21"/>
      <c r="E282" s="21"/>
      <c r="F282" s="21"/>
      <c r="G282" s="21"/>
      <c r="H282" s="21"/>
      <c r="I282" s="21"/>
      <c r="J282" s="21"/>
      <c r="K282" s="21" t="str">
        <f t="shared" si="51"/>
        <v>C65T</v>
      </c>
      <c r="L282" s="21" t="str">
        <f t="shared" si="51"/>
        <v>A27468610G</v>
      </c>
      <c r="M282" s="21" t="str">
        <f t="shared" si="51"/>
        <v>A373G</v>
      </c>
      <c r="N282" s="21" t="str">
        <f t="shared" si="51"/>
        <v>T836A</v>
      </c>
      <c r="O282" s="21" t="str">
        <f t="shared" si="51"/>
        <v>T889A</v>
      </c>
      <c r="P282" s="28" t="s">
        <v>69</v>
      </c>
      <c r="Q282" s="20" t="str">
        <f>CONCATENATE(Q91," and ",Q142)</f>
        <v>T836A (C;C) and T889A (T;G)</v>
      </c>
      <c r="R282" s="21" t="str">
        <f>CONCATENATE("&lt;# ",Q282," #&gt;")</f>
        <v>&lt;# T836A (C;C) and T889A (T;G) #&gt;</v>
      </c>
      <c r="S282" s="21"/>
      <c r="T282" s="21"/>
      <c r="U282" s="21"/>
      <c r="V282" s="21"/>
      <c r="W282" s="21"/>
      <c r="X282" s="21"/>
      <c r="Y282" s="21"/>
      <c r="Z282" s="21" t="str">
        <f t="shared" si="52"/>
        <v>T836A</v>
      </c>
      <c r="AA282" s="21" t="str">
        <f t="shared" si="52"/>
        <v>T889A</v>
      </c>
      <c r="AB282" s="21">
        <f t="shared" si="52"/>
        <v>0</v>
      </c>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row>
    <row r="283" spans="1:61">
      <c r="A283" s="14" t="s">
        <v>21</v>
      </c>
      <c r="B283" s="15" t="str">
        <f>K146</f>
        <v>NC_000008.10:g.[27328511G&gt;A];[27328511=]</v>
      </c>
      <c r="K283" s="3" t="str">
        <f t="shared" si="51"/>
        <v>NC_000008.10:g.</v>
      </c>
      <c r="L283" s="3" t="str">
        <f t="shared" si="51"/>
        <v>NC_000008.10:g.</v>
      </c>
      <c r="M283" s="3" t="str">
        <f t="shared" si="51"/>
        <v>NC_000008.10:g.</v>
      </c>
      <c r="N283" s="21" t="str">
        <f t="shared" si="51"/>
        <v>NC_000008.10:g.</v>
      </c>
      <c r="O283" s="21" t="str">
        <f t="shared" si="51"/>
        <v>NC_000006.11:g.</v>
      </c>
      <c r="P283" s="14" t="s">
        <v>21</v>
      </c>
      <c r="Q283" s="15" t="str">
        <f>Z146</f>
        <v>NC_000008.10:g.[27321124A&gt;T];[27321124=]</v>
      </c>
      <c r="Z283" s="3" t="str">
        <f t="shared" si="52"/>
        <v>NC_000008.10:g.</v>
      </c>
      <c r="AA283" s="3" t="str">
        <f t="shared" si="52"/>
        <v>NC_000006.11:g.</v>
      </c>
      <c r="AB283" s="3">
        <f t="shared" si="52"/>
        <v>0</v>
      </c>
    </row>
    <row r="284" spans="1:61">
      <c r="A284" s="14" t="s">
        <v>71</v>
      </c>
      <c r="C284" s="3" t="str">
        <f>CONCATENATE("  &lt;Analysis name=",CHAR(34),B282,CHAR(34))</f>
        <v xml:space="preserve">  &lt;Analysis name="A27468610G (C;C) and T836A (A;A)"</v>
      </c>
      <c r="J284" s="3" t="str">
        <f t="shared" ref="J284:O291" si="53">J262</f>
        <v>Variant</v>
      </c>
      <c r="K284" s="3" t="str">
        <f t="shared" si="53"/>
        <v>[27328511G&gt;A]</v>
      </c>
      <c r="L284" s="3" t="str">
        <f t="shared" si="53"/>
        <v>[27326127A&gt;G]</v>
      </c>
      <c r="M284" s="3" t="str">
        <f t="shared" si="53"/>
        <v>[27324822T&gt;C]</v>
      </c>
      <c r="N284" s="21" t="str">
        <f t="shared" si="53"/>
        <v>[27321124A&gt;T]</v>
      </c>
      <c r="O284" s="21" t="str">
        <f t="shared" si="53"/>
        <v>[12727715A&gt;G]</v>
      </c>
      <c r="P284" s="14" t="s">
        <v>71</v>
      </c>
      <c r="Q284" s="15"/>
      <c r="R284" s="3" t="str">
        <f>CONCATENATE("  &lt;Analysis name=",CHAR(34),Q282,CHAR(34))</f>
        <v xml:space="preserve">  &lt;Analysis name="T836A (C;C) and T889A (T;G)"</v>
      </c>
      <c r="Y284" s="3" t="str">
        <f t="shared" ref="Y284:AB291" si="54">Y262</f>
        <v>Variant</v>
      </c>
      <c r="Z284" s="3" t="str">
        <f t="shared" si="54"/>
        <v>[27321124A&gt;T]</v>
      </c>
      <c r="AA284" s="3" t="str">
        <f t="shared" si="54"/>
        <v>[12727715A&gt;G]</v>
      </c>
      <c r="AB284" s="3">
        <f t="shared" si="54"/>
        <v>0</v>
      </c>
    </row>
    <row r="285" spans="1:61">
      <c r="A285" s="26" t="s">
        <v>74</v>
      </c>
      <c r="B285" s="15" t="str">
        <f>CONCATENATE("People with this variant have one copy of the ",B22, ", and ",B31," variants. This substitution of a single nucleotide is known as a missense mutation.")</f>
        <v>People with this variant have one copy of the [C65T (p.Thr22Ile)](https://www.ncbi.nlm.nih.gov/clinvar/variation/128740/), and [A27468610G](https://www.ncbi.nlm.nih.gov/projects/SNP/snp_ref.cgi?rs=2741343) variants. This substitution of a single nucleotide is known as a missense mutation.</v>
      </c>
      <c r="C285" s="3" t="str">
        <f>CONCATENATE("            case={  variantCall ",CHAR(40),CHAR(34),K286,CHAR(34),CHAR(41))</f>
        <v xml:space="preserve">            case={  variantCall ("NC_000008.10:g.[27328511G&gt;A];[27328511=]")</v>
      </c>
      <c r="J285" s="3" t="str">
        <f t="shared" si="53"/>
        <v>Wildtype</v>
      </c>
      <c r="K285" s="3" t="str">
        <f t="shared" si="53"/>
        <v>[27328511=]</v>
      </c>
      <c r="L285" s="3" t="str">
        <f t="shared" si="53"/>
        <v>[27326127=]</v>
      </c>
      <c r="M285" s="3" t="str">
        <f t="shared" si="53"/>
        <v>[27324822=]</v>
      </c>
      <c r="N285" s="21" t="str">
        <f t="shared" si="53"/>
        <v>[27321124=]</v>
      </c>
      <c r="O285" s="21" t="str">
        <f t="shared" si="53"/>
        <v>[12727715=]</v>
      </c>
      <c r="P285" s="26" t="s">
        <v>74</v>
      </c>
      <c r="Q285" s="15" t="str">
        <f>CONCATENATE("People with this variant have one copy of the ",Q22, ", and ",Q31," variants. This substitution of a single nucleotide is known as a missense mutation.")</f>
        <v>People with this variant have one copy of the [T836A (p.Ile279Asn)](https://www.ncbi.nlm.nih.gov/clinvar/variation/17504/), and [889A&gt;T (p.Ile297Phe)](https://www.ncbi.nlm.nih.gov/clinvar/variation/522582/) variants. This substitution of a single nucleotide is known as a missense mutation.</v>
      </c>
      <c r="R285" s="3" t="str">
        <f>CONCATENATE("            case={  variantCall ",CHAR(40),CHAR(34),Z286,CHAR(34),CHAR(41))</f>
        <v xml:space="preserve">            case={  variantCall ("NC_000008.10:g.[27321124A&gt;T];[27321124=]")</v>
      </c>
      <c r="Y285" s="3" t="str">
        <f t="shared" si="54"/>
        <v>Wildtype</v>
      </c>
      <c r="Z285" s="3" t="str">
        <f t="shared" si="54"/>
        <v>[27321124=]</v>
      </c>
      <c r="AA285" s="3" t="str">
        <f t="shared" si="54"/>
        <v>[12727715=]</v>
      </c>
      <c r="AB285" s="3">
        <f t="shared" si="54"/>
        <v>0</v>
      </c>
    </row>
    <row r="286" spans="1:61" s="21" customFormat="1">
      <c r="A286" s="26" t="s">
        <v>28</v>
      </c>
      <c r="B286" s="15" t="s">
        <v>113</v>
      </c>
      <c r="C286" s="3" t="s">
        <v>70</v>
      </c>
      <c r="D286" s="3"/>
      <c r="E286" s="3"/>
      <c r="F286" s="3"/>
      <c r="G286" s="3"/>
      <c r="H286" s="3"/>
      <c r="I286" s="3"/>
      <c r="J286" s="3" t="str">
        <f t="shared" si="53"/>
        <v>Het</v>
      </c>
      <c r="K286" s="3" t="str">
        <f t="shared" si="53"/>
        <v>NC_000008.10:g.[27328511G&gt;A];[27328511=]</v>
      </c>
      <c r="L286" s="3" t="str">
        <f t="shared" si="53"/>
        <v>NC_000008.10:g.[27326127A&gt;G];[27326127=]</v>
      </c>
      <c r="M286" s="3" t="str">
        <f t="shared" si="53"/>
        <v>NC_000008.10:g.[27324822T&gt;C];[27324822=]</v>
      </c>
      <c r="N286" s="21" t="str">
        <f t="shared" si="53"/>
        <v>NC_000008.10:g.[27321124A&gt;T];[27321124=]</v>
      </c>
      <c r="O286" s="21" t="str">
        <f t="shared" si="53"/>
        <v>NC_000006.11:g.[12727715A&gt;G];[12727715=]</v>
      </c>
      <c r="P286" s="26" t="s">
        <v>28</v>
      </c>
      <c r="Q286" s="15" t="s">
        <v>113</v>
      </c>
      <c r="R286" s="3" t="s">
        <v>70</v>
      </c>
      <c r="S286" s="3"/>
      <c r="T286" s="3"/>
      <c r="U286" s="3"/>
      <c r="V286" s="3"/>
      <c r="W286" s="3"/>
      <c r="X286" s="3"/>
      <c r="Y286" s="3" t="str">
        <f t="shared" si="54"/>
        <v>Het</v>
      </c>
      <c r="Z286" s="3" t="str">
        <f t="shared" si="54"/>
        <v>NC_000008.10:g.[27321124A&gt;T];[27321124=]</v>
      </c>
      <c r="AA286" s="3" t="str">
        <f t="shared" si="54"/>
        <v>NC_000006.11:g.[12727715A&gt;G];[12727715=]</v>
      </c>
      <c r="AB286" s="3" t="str">
        <f t="shared" si="54"/>
        <v>00;0</v>
      </c>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row>
    <row r="287" spans="1:61">
      <c r="A287" s="26" t="s">
        <v>72</v>
      </c>
      <c r="C287" s="3" t="str">
        <f>CONCATENATE("                    variantCall ",CHAR(40),CHAR(34),L286,CHAR(34),CHAR(41))</f>
        <v xml:space="preserve">                    variantCall ("NC_000008.10:g.[27326127A&gt;G];[27326127=]")</v>
      </c>
      <c r="J287" s="3" t="str">
        <f t="shared" si="53"/>
        <v>Homo</v>
      </c>
      <c r="K287" s="3" t="str">
        <f t="shared" si="53"/>
        <v>NC_000008.10:g.[27328511G&gt;A];[27328511G&gt;A]</v>
      </c>
      <c r="L287" s="3" t="str">
        <f t="shared" si="53"/>
        <v>NC_000008.10:g.[27326127A&gt;G];[27326127A&gt;G]</v>
      </c>
      <c r="M287" s="3" t="str">
        <f t="shared" si="53"/>
        <v>NC_000008.10:g.[27324822T&gt;C];[27324822T&gt;C]</v>
      </c>
      <c r="N287" s="21" t="str">
        <f t="shared" si="53"/>
        <v>NC_000008.10:g.[27321124A&gt;T];[27321124A&gt;T]</v>
      </c>
      <c r="O287" s="21" t="str">
        <f t="shared" si="53"/>
        <v>NC_000006.11:g.[12727715A&gt;G];[12727715A&gt;G]</v>
      </c>
      <c r="P287" s="26" t="s">
        <v>72</v>
      </c>
      <c r="Q287" s="15"/>
      <c r="R287" s="3" t="str">
        <f>CONCATENATE("                    variantCall ",CHAR(40),CHAR(34),AA286,CHAR(34),CHAR(41))</f>
        <v xml:space="preserve">                    variantCall ("NC_000006.11:g.[12727715A&gt;G];[12727715=]")</v>
      </c>
      <c r="Y287" s="3" t="str">
        <f t="shared" si="54"/>
        <v>Homo</v>
      </c>
      <c r="Z287" s="3" t="str">
        <f t="shared" si="54"/>
        <v>NC_000008.10:g.[27321124A&gt;T];[27321124A&gt;T]</v>
      </c>
      <c r="AA287" s="3" t="str">
        <f t="shared" si="54"/>
        <v>NC_000006.11:g.[12727715A&gt;G];[12727715A&gt;G]</v>
      </c>
      <c r="AB287" s="3" t="str">
        <f t="shared" si="54"/>
        <v>00;0</v>
      </c>
    </row>
    <row r="288" spans="1:61">
      <c r="A288" s="26"/>
      <c r="C288" s="3" t="s">
        <v>70</v>
      </c>
      <c r="J288" s="3" t="str">
        <f t="shared" si="53"/>
        <v>Wildtype</v>
      </c>
      <c r="K288" s="3" t="str">
        <f t="shared" si="53"/>
        <v>NC_000008.10:g.[27328511=];[27328511=]</v>
      </c>
      <c r="L288" s="3" t="str">
        <f t="shared" si="53"/>
        <v>NC_000008.10:g.[27326127=];[27326127=]</v>
      </c>
      <c r="M288" s="3" t="str">
        <f t="shared" si="53"/>
        <v>NC_000008.10:g.[27324822=];[27324822=]</v>
      </c>
      <c r="N288" s="21" t="str">
        <f t="shared" si="53"/>
        <v>NC_000008.10:g.[27321124=];[27321124=]</v>
      </c>
      <c r="O288" s="21" t="str">
        <f t="shared" si="53"/>
        <v>NC_000006.11:g.[12727715=];[12727715=]</v>
      </c>
      <c r="P288" s="26"/>
      <c r="Q288" s="15"/>
      <c r="R288" s="3" t="s">
        <v>70</v>
      </c>
      <c r="Y288" s="3" t="str">
        <f t="shared" si="54"/>
        <v>Wildtype</v>
      </c>
      <c r="Z288" s="3" t="str">
        <f t="shared" si="54"/>
        <v>NC_000008.10:g.[27321124=];[27321124=]</v>
      </c>
      <c r="AA288" s="3" t="str">
        <f t="shared" si="54"/>
        <v>NC_000006.11:g.[12727715=];[12727715=]</v>
      </c>
      <c r="AB288" s="3" t="str">
        <f t="shared" si="54"/>
        <v>00;0</v>
      </c>
    </row>
    <row r="289" spans="1:61">
      <c r="A289" s="26"/>
      <c r="C289" s="3" t="str">
        <f>CONCATENATE("                    variantCall ",CHAR(40),CHAR(34),M286,CHAR(34),CHAR(41))</f>
        <v xml:space="preserve">                    variantCall ("NC_000008.10:g.[27324822T&gt;C];[27324822=]")</v>
      </c>
      <c r="J289" s="3" t="str">
        <f t="shared" si="53"/>
        <v>Het%</v>
      </c>
      <c r="K289" s="3">
        <f t="shared" si="53"/>
        <v>27.5</v>
      </c>
      <c r="L289" s="3">
        <f t="shared" si="53"/>
        <v>48</v>
      </c>
      <c r="M289" s="3">
        <f t="shared" si="53"/>
        <v>49.8</v>
      </c>
      <c r="N289" s="21">
        <f t="shared" si="53"/>
        <v>35.4</v>
      </c>
      <c r="O289" s="21">
        <f t="shared" si="53"/>
        <v>35.6</v>
      </c>
      <c r="P289" s="26"/>
      <c r="Q289" s="15"/>
      <c r="R289" s="3" t="str">
        <f>CONCATENATE("                    variantCall ",CHAR(40),CHAR(34),AB286,CHAR(34),CHAR(41))</f>
        <v xml:space="preserve">                    variantCall ("00;0")</v>
      </c>
      <c r="Y289" s="3" t="str">
        <f t="shared" si="54"/>
        <v>Het%</v>
      </c>
      <c r="Z289" s="3">
        <f t="shared" si="54"/>
        <v>43</v>
      </c>
      <c r="AA289" s="3">
        <f t="shared" si="54"/>
        <v>1.8</v>
      </c>
      <c r="AB289" s="3">
        <f t="shared" si="54"/>
        <v>15.8</v>
      </c>
    </row>
    <row r="290" spans="1:61">
      <c r="A290" s="26"/>
      <c r="C290" s="3" t="str">
        <f>CONCATENATE("                  } &gt; ")</f>
        <v xml:space="preserve">                  } &gt; </v>
      </c>
      <c r="J290" s="3" t="str">
        <f t="shared" si="53"/>
        <v>Homo%</v>
      </c>
      <c r="K290" s="3">
        <f t="shared" si="53"/>
        <v>15.2</v>
      </c>
      <c r="L290" s="3">
        <f t="shared" si="53"/>
        <v>48.1</v>
      </c>
      <c r="M290" s="3">
        <f t="shared" si="53"/>
        <v>48.6</v>
      </c>
      <c r="N290" s="21">
        <f t="shared" si="53"/>
        <v>14.1</v>
      </c>
      <c r="O290" s="21">
        <f t="shared" si="53"/>
        <v>14.3</v>
      </c>
      <c r="P290" s="26"/>
      <c r="Q290" s="15"/>
      <c r="R290" s="3" t="str">
        <f>CONCATENATE("                  } &gt; ")</f>
        <v xml:space="preserve">                  } &gt; </v>
      </c>
      <c r="Y290" s="3" t="str">
        <f t="shared" si="54"/>
        <v>Homo%</v>
      </c>
      <c r="Z290" s="3">
        <f t="shared" si="54"/>
        <v>19.899999999999999</v>
      </c>
      <c r="AA290" s="3">
        <f t="shared" si="54"/>
        <v>0.5</v>
      </c>
      <c r="AB290" s="3">
        <f t="shared" si="54"/>
        <v>4.7</v>
      </c>
    </row>
    <row r="291" spans="1:61">
      <c r="A291" s="14"/>
      <c r="J291" s="3" t="str">
        <f t="shared" si="53"/>
        <v>Wildtype%</v>
      </c>
      <c r="K291" s="3">
        <f t="shared" si="53"/>
        <v>57.3</v>
      </c>
      <c r="L291" s="3">
        <f t="shared" si="53"/>
        <v>3.9</v>
      </c>
      <c r="M291" s="3">
        <f t="shared" si="53"/>
        <v>1.6</v>
      </c>
      <c r="N291" s="21">
        <f t="shared" si="53"/>
        <v>50.5</v>
      </c>
      <c r="O291" s="21">
        <f t="shared" si="53"/>
        <v>50.1</v>
      </c>
      <c r="P291" s="14"/>
      <c r="Q291" s="15"/>
      <c r="Y291" s="3" t="str">
        <f t="shared" si="54"/>
        <v>Wildtype%</v>
      </c>
      <c r="Z291" s="3">
        <f t="shared" si="54"/>
        <v>37.1</v>
      </c>
      <c r="AA291" s="3">
        <f t="shared" si="54"/>
        <v>97.8</v>
      </c>
      <c r="AB291" s="3">
        <f t="shared" si="54"/>
        <v>79.5</v>
      </c>
    </row>
    <row r="292" spans="1:61">
      <c r="A292" s="14"/>
      <c r="C292" s="3" t="s">
        <v>26</v>
      </c>
      <c r="P292" s="14"/>
      <c r="Q292" s="15"/>
      <c r="R292" s="3" t="s">
        <v>26</v>
      </c>
    </row>
    <row r="293" spans="1:61">
      <c r="A293" s="14"/>
      <c r="P293" s="14"/>
      <c r="Q293" s="15"/>
    </row>
    <row r="294" spans="1:61">
      <c r="A294" s="14"/>
      <c r="C294" s="3" t="str">
        <f>CONCATENATE("    ",B285)</f>
        <v xml:space="preserve">    People with this variant have one copy of the [C65T (p.Thr22Ile)](https://www.ncbi.nlm.nih.gov/clinvar/variation/128740/), and [A27468610G](https://www.ncbi.nlm.nih.gov/projects/SNP/snp_ref.cgi?rs=2741343) variants. This substitution of a single nucleotide is known as a missense mutation.</v>
      </c>
      <c r="P294" s="14"/>
      <c r="Q294" s="15"/>
      <c r="R294" s="3" t="str">
        <f>CONCATENATE("    ",Q285)</f>
        <v xml:space="preserve">    People with this variant have one copy of the [T836A (p.Ile279Asn)](https://www.ncbi.nlm.nih.gov/clinvar/variation/17504/), and [889A&gt;T (p.Ile297Phe)](https://www.ncbi.nlm.nih.gov/clinvar/variation/522582/) variants. This substitution of a single nucleotide is known as a missense mutation.</v>
      </c>
    </row>
    <row r="295" spans="1:61">
      <c r="A295" s="14"/>
      <c r="P295" s="14"/>
      <c r="Q295" s="15"/>
    </row>
    <row r="296" spans="1:61">
      <c r="A296" s="26"/>
      <c r="C296" s="3" t="s">
        <v>29</v>
      </c>
      <c r="P296" s="26"/>
      <c r="Q296" s="15"/>
      <c r="R296" s="3" t="s">
        <v>29</v>
      </c>
    </row>
    <row r="297" spans="1:61">
      <c r="A297" s="26"/>
      <c r="P297" s="26"/>
      <c r="Q297" s="15"/>
    </row>
    <row r="298" spans="1:61">
      <c r="A298" s="26"/>
      <c r="C298" s="3" t="str">
        <f>CONCATENATE(B286)</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298" s="26"/>
      <c r="Q298" s="15"/>
      <c r="R298" s="3" t="str">
        <f>CONCATENATE(Q286)</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99" spans="1:61">
      <c r="A299" s="26"/>
      <c r="P299" s="26"/>
      <c r="Q299" s="15"/>
    </row>
    <row r="300" spans="1:61">
      <c r="A300" s="26"/>
      <c r="C300" s="3" t="s">
        <v>30</v>
      </c>
      <c r="P300" s="26"/>
      <c r="Q300" s="15"/>
      <c r="R300" s="3" t="s">
        <v>30</v>
      </c>
    </row>
    <row r="301" spans="1:61">
      <c r="A301" s="26"/>
      <c r="P301" s="26"/>
      <c r="Q301" s="15"/>
    </row>
    <row r="302" spans="1:61">
      <c r="A302" s="26"/>
      <c r="C302" s="3" t="str">
        <f>CONCATENATE( "    &lt;# piechart percentage=",B287," / #&gt;")</f>
        <v xml:space="preserve">    &lt;# piechart percentage= / #&gt;</v>
      </c>
      <c r="P302" s="26"/>
      <c r="Q302" s="15"/>
      <c r="R302" s="3" t="str">
        <f>CONCATENATE( "    &lt;piechart percentage=",Q287," /&gt;")</f>
        <v xml:space="preserve">    &lt;piechart percentage= /&gt;</v>
      </c>
    </row>
    <row r="303" spans="1:61">
      <c r="A303" s="26"/>
      <c r="C303" s="3" t="str">
        <f>"  &lt;/Analysis&gt;"</f>
        <v xml:space="preserve">  &lt;/Analysis&gt;</v>
      </c>
      <c r="K303" s="3" t="str">
        <f t="shared" ref="K303:O305" si="55">K281</f>
        <v>rs6691840 TT</v>
      </c>
      <c r="L303" s="3" t="str">
        <f t="shared" si="55"/>
        <v>rs3913434 CC</v>
      </c>
      <c r="M303" s="3" t="str">
        <f t="shared" si="55"/>
        <v>rs270838 CC</v>
      </c>
      <c r="P303" s="26"/>
      <c r="Q303" s="15"/>
      <c r="R303" s="3" t="str">
        <f>"  &lt;/Analysis&gt;"</f>
        <v xml:space="preserve">  &lt;/Analysis&gt;</v>
      </c>
      <c r="Z303" s="3">
        <f t="shared" ref="Z303:AB305" si="56">Z281</f>
        <v>0</v>
      </c>
      <c r="AA303" s="3">
        <f t="shared" si="56"/>
        <v>0</v>
      </c>
      <c r="AB303" s="3">
        <f t="shared" si="56"/>
        <v>0</v>
      </c>
    </row>
    <row r="304" spans="1:61">
      <c r="A304" s="28" t="s">
        <v>69</v>
      </c>
      <c r="B304" s="20" t="str">
        <f>CONCATENATE(B91," and ",B192)</f>
        <v xml:space="preserve">A27468610G (C;C) and </v>
      </c>
      <c r="C304" s="21" t="str">
        <f>CONCATENATE("&lt;# ",B304," #&gt;")</f>
        <v>&lt;# A27468610G (C;C) and  #&gt;</v>
      </c>
      <c r="D304" s="21"/>
      <c r="E304" s="21"/>
      <c r="F304" s="21"/>
      <c r="G304" s="21"/>
      <c r="H304" s="21"/>
      <c r="I304" s="21"/>
      <c r="J304" s="21"/>
      <c r="K304" s="21" t="str">
        <f t="shared" si="55"/>
        <v>C65T</v>
      </c>
      <c r="L304" s="21" t="str">
        <f t="shared" si="55"/>
        <v>A27468610G</v>
      </c>
      <c r="M304" s="21" t="str">
        <f t="shared" si="55"/>
        <v>A373G</v>
      </c>
      <c r="N304" s="21" t="str">
        <f t="shared" si="55"/>
        <v>T836A</v>
      </c>
      <c r="O304" s="21" t="str">
        <f t="shared" si="55"/>
        <v>T889A</v>
      </c>
      <c r="P304" s="28" t="s">
        <v>69</v>
      </c>
      <c r="Q304" s="20"/>
      <c r="R304" s="21"/>
      <c r="S304" s="21"/>
      <c r="T304" s="21"/>
      <c r="U304" s="21"/>
      <c r="V304" s="21"/>
      <c r="W304" s="21"/>
      <c r="X304" s="21"/>
      <c r="Y304" s="21"/>
      <c r="Z304" s="21" t="str">
        <f t="shared" si="56"/>
        <v>T836A</v>
      </c>
      <c r="AA304" s="21" t="str">
        <f t="shared" si="56"/>
        <v>T889A</v>
      </c>
      <c r="AB304" s="21">
        <f t="shared" si="56"/>
        <v>0</v>
      </c>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row>
    <row r="305" spans="1:61">
      <c r="A305" s="14" t="s">
        <v>21</v>
      </c>
      <c r="B305" s="15" t="str">
        <f>K196</f>
        <v>NC_000008.10:g.[27328511G&gt;A];[27328511=]</v>
      </c>
      <c r="K305" s="3" t="str">
        <f t="shared" si="55"/>
        <v>NC_000008.10:g.</v>
      </c>
      <c r="L305" s="3" t="str">
        <f t="shared" si="55"/>
        <v>NC_000008.10:g.</v>
      </c>
      <c r="M305" s="3" t="str">
        <f t="shared" si="55"/>
        <v>NC_000008.10:g.</v>
      </c>
      <c r="N305" s="21" t="str">
        <f t="shared" si="55"/>
        <v>NC_000008.10:g.</v>
      </c>
      <c r="O305" s="21" t="str">
        <f t="shared" si="55"/>
        <v>NC_000006.11:g.</v>
      </c>
      <c r="P305" s="14" t="s">
        <v>21</v>
      </c>
      <c r="Q305" s="15"/>
      <c r="Z305" s="3" t="str">
        <f t="shared" si="56"/>
        <v>NC_000008.10:g.</v>
      </c>
      <c r="AA305" s="3" t="str">
        <f t="shared" si="56"/>
        <v>NC_000006.11:g.</v>
      </c>
      <c r="AB305" s="3">
        <f t="shared" si="56"/>
        <v>0</v>
      </c>
    </row>
    <row r="306" spans="1:61">
      <c r="A306" s="14" t="s">
        <v>71</v>
      </c>
      <c r="C306" s="3" t="str">
        <f>CONCATENATE("  &lt;Analysis name=",CHAR(34),B304,CHAR(34))</f>
        <v xml:space="preserve">  &lt;Analysis name="A27468610G (C;C) and "</v>
      </c>
      <c r="J306" s="3" t="str">
        <f t="shared" ref="J306:O313" si="57">J284</f>
        <v>Variant</v>
      </c>
      <c r="K306" s="3" t="str">
        <f t="shared" si="57"/>
        <v>[27328511G&gt;A]</v>
      </c>
      <c r="L306" s="3" t="str">
        <f t="shared" si="57"/>
        <v>[27326127A&gt;G]</v>
      </c>
      <c r="M306" s="3" t="str">
        <f t="shared" si="57"/>
        <v>[27324822T&gt;C]</v>
      </c>
      <c r="N306" s="21" t="str">
        <f t="shared" si="57"/>
        <v>[27321124A&gt;T]</v>
      </c>
      <c r="O306" s="21" t="str">
        <f t="shared" si="57"/>
        <v>[12727715A&gt;G]</v>
      </c>
      <c r="P306" s="14" t="s">
        <v>71</v>
      </c>
      <c r="Q306" s="15"/>
      <c r="Y306" s="3" t="str">
        <f t="shared" ref="Y306:AB313" si="58">Y284</f>
        <v>Variant</v>
      </c>
      <c r="Z306" s="3" t="str">
        <f t="shared" si="58"/>
        <v>[27321124A&gt;T]</v>
      </c>
      <c r="AA306" s="3" t="str">
        <f t="shared" si="58"/>
        <v>[12727715A&gt;G]</v>
      </c>
      <c r="AB306" s="3">
        <f t="shared" si="58"/>
        <v>0</v>
      </c>
    </row>
    <row r="307" spans="1:61">
      <c r="A307" s="26" t="s">
        <v>74</v>
      </c>
      <c r="B307" s="15" t="str">
        <f>CONCATENATE("People with this variant have one copy of the ",B22," and ",B40," variants. This substitution of a single nucleotide is known as a missense mutation.")</f>
        <v>People with this variant have one copy of the [C65T (p.Thr22Ile)](https://www.ncbi.nlm.nih.gov/clinvar/variation/128740/) and [A373G (p.Thr125Ala)](https://www.ncbi.nlm.nih.gov/clinvar/variation/128739/) variants. This substitution of a single nucleotide is known as a missense mutation.</v>
      </c>
      <c r="C307" s="3" t="str">
        <f>CONCATENATE("            case={  variantCall ",CHAR(40),CHAR(34),K308,CHAR(34),CHAR(41))</f>
        <v xml:space="preserve">            case={  variantCall ("NC_000008.10:g.[27328511G&gt;A];[27328511=]")</v>
      </c>
      <c r="J307" s="3" t="str">
        <f t="shared" si="57"/>
        <v>Wildtype</v>
      </c>
      <c r="K307" s="3" t="str">
        <f t="shared" si="57"/>
        <v>[27328511=]</v>
      </c>
      <c r="L307" s="3" t="str">
        <f t="shared" si="57"/>
        <v>[27326127=]</v>
      </c>
      <c r="M307" s="3" t="str">
        <f t="shared" si="57"/>
        <v>[27324822=]</v>
      </c>
      <c r="N307" s="21" t="str">
        <f t="shared" si="57"/>
        <v>[27321124=]</v>
      </c>
      <c r="O307" s="21" t="str">
        <f t="shared" si="57"/>
        <v>[12727715=]</v>
      </c>
      <c r="P307" s="26" t="s">
        <v>74</v>
      </c>
      <c r="Q307" s="15"/>
      <c r="Y307" s="3" t="str">
        <f t="shared" si="58"/>
        <v>Wildtype</v>
      </c>
      <c r="Z307" s="3" t="str">
        <f t="shared" si="58"/>
        <v>[27321124=]</v>
      </c>
      <c r="AA307" s="3" t="str">
        <f t="shared" si="58"/>
        <v>[12727715=]</v>
      </c>
      <c r="AB307" s="3">
        <f t="shared" si="58"/>
        <v>0</v>
      </c>
    </row>
    <row r="308" spans="1:61" s="21" customFormat="1">
      <c r="A308" s="26" t="s">
        <v>28</v>
      </c>
      <c r="B308" s="15" t="s">
        <v>114</v>
      </c>
      <c r="C308" s="3" t="s">
        <v>70</v>
      </c>
      <c r="D308" s="3"/>
      <c r="E308" s="3"/>
      <c r="F308" s="3"/>
      <c r="G308" s="3"/>
      <c r="H308" s="3"/>
      <c r="I308" s="3"/>
      <c r="J308" s="3" t="str">
        <f t="shared" si="57"/>
        <v>Het</v>
      </c>
      <c r="K308" s="3" t="str">
        <f t="shared" si="57"/>
        <v>NC_000008.10:g.[27328511G&gt;A];[27328511=]</v>
      </c>
      <c r="L308" s="3" t="str">
        <f t="shared" si="57"/>
        <v>NC_000008.10:g.[27326127A&gt;G];[27326127=]</v>
      </c>
      <c r="M308" s="3" t="str">
        <f t="shared" si="57"/>
        <v>NC_000008.10:g.[27324822T&gt;C];[27324822=]</v>
      </c>
      <c r="N308" s="21" t="str">
        <f t="shared" si="57"/>
        <v>NC_000008.10:g.[27321124A&gt;T];[27321124=]</v>
      </c>
      <c r="O308" s="21" t="str">
        <f t="shared" si="57"/>
        <v>NC_000006.11:g.[12727715A&gt;G];[12727715=]</v>
      </c>
      <c r="P308" s="26" t="s">
        <v>28</v>
      </c>
      <c r="Q308" s="15"/>
      <c r="R308" s="3"/>
      <c r="S308" s="3"/>
      <c r="T308" s="3"/>
      <c r="U308" s="3"/>
      <c r="V308" s="3"/>
      <c r="W308" s="3"/>
      <c r="X308" s="3"/>
      <c r="Y308" s="3" t="str">
        <f t="shared" si="58"/>
        <v>Het</v>
      </c>
      <c r="Z308" s="3" t="str">
        <f t="shared" si="58"/>
        <v>NC_000008.10:g.[27321124A&gt;T];[27321124=]</v>
      </c>
      <c r="AA308" s="3" t="str">
        <f t="shared" si="58"/>
        <v>NC_000006.11:g.[12727715A&gt;G];[12727715=]</v>
      </c>
      <c r="AB308" s="3" t="str">
        <f t="shared" si="58"/>
        <v>00;0</v>
      </c>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row>
    <row r="309" spans="1:61">
      <c r="A309" s="26" t="s">
        <v>72</v>
      </c>
      <c r="C309" s="3" t="str">
        <f>CONCATENATE("                    variantCall ",CHAR(40),CHAR(34),L308,CHAR(34),CHAR(41))</f>
        <v xml:space="preserve">                    variantCall ("NC_000008.10:g.[27326127A&gt;G];[27326127=]")</v>
      </c>
      <c r="J309" s="3" t="str">
        <f t="shared" si="57"/>
        <v>Homo</v>
      </c>
      <c r="K309" s="3" t="str">
        <f t="shared" si="57"/>
        <v>NC_000008.10:g.[27328511G&gt;A];[27328511G&gt;A]</v>
      </c>
      <c r="L309" s="3" t="str">
        <f t="shared" si="57"/>
        <v>NC_000008.10:g.[27326127A&gt;G];[27326127A&gt;G]</v>
      </c>
      <c r="M309" s="3" t="str">
        <f t="shared" si="57"/>
        <v>NC_000008.10:g.[27324822T&gt;C];[27324822T&gt;C]</v>
      </c>
      <c r="N309" s="21" t="str">
        <f t="shared" si="57"/>
        <v>NC_000008.10:g.[27321124A&gt;T];[27321124A&gt;T]</v>
      </c>
      <c r="O309" s="21" t="str">
        <f t="shared" si="57"/>
        <v>NC_000006.11:g.[12727715A&gt;G];[12727715A&gt;G]</v>
      </c>
      <c r="P309" s="26" t="s">
        <v>72</v>
      </c>
      <c r="Q309" s="15"/>
      <c r="Y309" s="3" t="str">
        <f t="shared" si="58"/>
        <v>Homo</v>
      </c>
      <c r="Z309" s="3" t="str">
        <f t="shared" si="58"/>
        <v>NC_000008.10:g.[27321124A&gt;T];[27321124A&gt;T]</v>
      </c>
      <c r="AA309" s="3" t="str">
        <f t="shared" si="58"/>
        <v>NC_000006.11:g.[12727715A&gt;G];[12727715A&gt;G]</v>
      </c>
      <c r="AB309" s="3" t="str">
        <f t="shared" si="58"/>
        <v>00;0</v>
      </c>
    </row>
    <row r="310" spans="1:61">
      <c r="A310" s="26"/>
      <c r="C310" s="3" t="s">
        <v>70</v>
      </c>
      <c r="J310" s="3" t="str">
        <f t="shared" si="57"/>
        <v>Wildtype</v>
      </c>
      <c r="K310" s="3" t="str">
        <f t="shared" si="57"/>
        <v>NC_000008.10:g.[27328511=];[27328511=]</v>
      </c>
      <c r="L310" s="3" t="str">
        <f t="shared" si="57"/>
        <v>NC_000008.10:g.[27326127=];[27326127=]</v>
      </c>
      <c r="M310" s="3" t="str">
        <f t="shared" si="57"/>
        <v>NC_000008.10:g.[27324822=];[27324822=]</v>
      </c>
      <c r="N310" s="21" t="str">
        <f t="shared" si="57"/>
        <v>NC_000008.10:g.[27321124=];[27321124=]</v>
      </c>
      <c r="O310" s="21" t="str">
        <f t="shared" si="57"/>
        <v>NC_000006.11:g.[12727715=];[12727715=]</v>
      </c>
      <c r="P310" s="26"/>
      <c r="Q310" s="15"/>
      <c r="Y310" s="3" t="str">
        <f t="shared" si="58"/>
        <v>Wildtype</v>
      </c>
      <c r="Z310" s="3" t="str">
        <f t="shared" si="58"/>
        <v>NC_000008.10:g.[27321124=];[27321124=]</v>
      </c>
      <c r="AA310" s="3" t="str">
        <f t="shared" si="58"/>
        <v>NC_000006.11:g.[12727715=];[12727715=]</v>
      </c>
      <c r="AB310" s="3" t="str">
        <f t="shared" si="58"/>
        <v>00;0</v>
      </c>
    </row>
    <row r="311" spans="1:61">
      <c r="A311" s="26"/>
      <c r="C311" s="3" t="str">
        <f>CONCATENATE("                    variantCall ",CHAR(40),CHAR(34),M308,CHAR(34),CHAR(41))</f>
        <v xml:space="preserve">                    variantCall ("NC_000008.10:g.[27324822T&gt;C];[27324822=]")</v>
      </c>
      <c r="J311" s="3" t="str">
        <f t="shared" si="57"/>
        <v>Het%</v>
      </c>
      <c r="K311" s="3">
        <f t="shared" si="57"/>
        <v>27.5</v>
      </c>
      <c r="L311" s="3">
        <f t="shared" si="57"/>
        <v>48</v>
      </c>
      <c r="M311" s="3">
        <f t="shared" si="57"/>
        <v>49.8</v>
      </c>
      <c r="N311" s="21">
        <f t="shared" si="57"/>
        <v>35.4</v>
      </c>
      <c r="O311" s="21">
        <f t="shared" si="57"/>
        <v>35.6</v>
      </c>
      <c r="P311" s="26"/>
      <c r="Q311" s="15"/>
      <c r="Y311" s="3" t="str">
        <f t="shared" si="58"/>
        <v>Het%</v>
      </c>
      <c r="Z311" s="3">
        <f t="shared" si="58"/>
        <v>43</v>
      </c>
      <c r="AA311" s="3">
        <f t="shared" si="58"/>
        <v>1.8</v>
      </c>
      <c r="AB311" s="3">
        <f t="shared" si="58"/>
        <v>15.8</v>
      </c>
    </row>
    <row r="312" spans="1:61">
      <c r="A312" s="26"/>
      <c r="C312" s="3" t="str">
        <f>CONCATENATE("                  } &gt; ")</f>
        <v xml:space="preserve">                  } &gt; </v>
      </c>
      <c r="J312" s="3" t="str">
        <f t="shared" si="57"/>
        <v>Homo%</v>
      </c>
      <c r="K312" s="3">
        <f t="shared" si="57"/>
        <v>15.2</v>
      </c>
      <c r="L312" s="3">
        <f t="shared" si="57"/>
        <v>48.1</v>
      </c>
      <c r="M312" s="3">
        <f t="shared" si="57"/>
        <v>48.6</v>
      </c>
      <c r="N312" s="21">
        <f t="shared" si="57"/>
        <v>14.1</v>
      </c>
      <c r="O312" s="21">
        <f t="shared" si="57"/>
        <v>14.3</v>
      </c>
      <c r="P312" s="26"/>
      <c r="Q312" s="15"/>
      <c r="Y312" s="3" t="str">
        <f t="shared" si="58"/>
        <v>Homo%</v>
      </c>
      <c r="Z312" s="3">
        <f t="shared" si="58"/>
        <v>19.899999999999999</v>
      </c>
      <c r="AA312" s="3">
        <f t="shared" si="58"/>
        <v>0.5</v>
      </c>
      <c r="AB312" s="3">
        <f t="shared" si="58"/>
        <v>4.7</v>
      </c>
    </row>
    <row r="313" spans="1:61">
      <c r="A313" s="14"/>
      <c r="J313" s="3" t="str">
        <f t="shared" si="57"/>
        <v>Wildtype%</v>
      </c>
      <c r="K313" s="3">
        <f t="shared" si="57"/>
        <v>57.3</v>
      </c>
      <c r="L313" s="3">
        <f t="shared" si="57"/>
        <v>3.9</v>
      </c>
      <c r="M313" s="3">
        <f t="shared" si="57"/>
        <v>1.6</v>
      </c>
      <c r="N313" s="21">
        <f t="shared" si="57"/>
        <v>50.5</v>
      </c>
      <c r="O313" s="21">
        <f t="shared" si="57"/>
        <v>50.1</v>
      </c>
      <c r="P313" s="14"/>
      <c r="Q313" s="15"/>
      <c r="Y313" s="3" t="str">
        <f t="shared" si="58"/>
        <v>Wildtype%</v>
      </c>
      <c r="Z313" s="3">
        <f t="shared" si="58"/>
        <v>37.1</v>
      </c>
      <c r="AA313" s="3">
        <f t="shared" si="58"/>
        <v>97.8</v>
      </c>
      <c r="AB313" s="3">
        <f t="shared" si="58"/>
        <v>79.5</v>
      </c>
    </row>
    <row r="314" spans="1:61">
      <c r="A314" s="14"/>
      <c r="C314" s="3" t="s">
        <v>26</v>
      </c>
      <c r="P314" s="14"/>
      <c r="Q314" s="15"/>
    </row>
    <row r="315" spans="1:61">
      <c r="A315" s="14"/>
      <c r="P315" s="14"/>
      <c r="Q315" s="15"/>
    </row>
    <row r="316" spans="1:61">
      <c r="A316" s="14"/>
      <c r="C316" s="3" t="str">
        <f>CONCATENATE("    ",B307)</f>
        <v xml:space="preserve">    People with this variant have one copy of the [C65T (p.Thr22Ile)](https://www.ncbi.nlm.nih.gov/clinvar/variation/128740/) and [A373G (p.Thr125Ala)](https://www.ncbi.nlm.nih.gov/clinvar/variation/128739/) variants. This substitution of a single nucleotide is known as a missense mutation.</v>
      </c>
      <c r="P316" s="14"/>
      <c r="Q316" s="15"/>
    </row>
    <row r="317" spans="1:61">
      <c r="A317" s="14"/>
      <c r="P317" s="14"/>
      <c r="Q317" s="15"/>
    </row>
    <row r="318" spans="1:61">
      <c r="A318" s="26"/>
      <c r="C318" s="3" t="s">
        <v>29</v>
      </c>
      <c r="P318" s="26"/>
      <c r="Q318" s="15"/>
    </row>
    <row r="319" spans="1:61">
      <c r="A319" s="26"/>
      <c r="P319" s="26"/>
      <c r="Q319" s="15"/>
    </row>
    <row r="320" spans="1:61">
      <c r="A320" s="26"/>
      <c r="C320" s="3" t="str">
        <f>CONCATENATE(B308)</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20" s="26"/>
      <c r="Q320" s="15"/>
    </row>
    <row r="321" spans="1:61">
      <c r="A321" s="26"/>
      <c r="P321" s="26"/>
      <c r="Q321" s="15"/>
    </row>
    <row r="322" spans="1:61">
      <c r="A322" s="26"/>
      <c r="C322" s="3" t="s">
        <v>30</v>
      </c>
      <c r="P322" s="26"/>
      <c r="Q322" s="15"/>
    </row>
    <row r="323" spans="1:61">
      <c r="A323" s="26"/>
      <c r="P323" s="26"/>
      <c r="Q323" s="15"/>
    </row>
    <row r="324" spans="1:61">
      <c r="A324" s="26"/>
      <c r="C324" s="3" t="str">
        <f>CONCATENATE( "    &lt;# piechart percentage=",B309," / #&gt;")</f>
        <v xml:space="preserve">    &lt;# piechart percentage= / #&gt;</v>
      </c>
      <c r="P324" s="26"/>
      <c r="Q324" s="15"/>
    </row>
    <row r="325" spans="1:61">
      <c r="A325" s="26"/>
      <c r="C325" s="3" t="str">
        <f>"  &lt;/Analysis&gt;"</f>
        <v xml:space="preserve">  &lt;/Analysis&gt;</v>
      </c>
      <c r="K325" s="3" t="str">
        <f t="shared" ref="K325:O327" si="59">K303</f>
        <v>rs6691840 TT</v>
      </c>
      <c r="L325" s="3" t="str">
        <f t="shared" si="59"/>
        <v>rs3913434 CC</v>
      </c>
      <c r="M325" s="3" t="str">
        <f t="shared" si="59"/>
        <v>rs270838 CC</v>
      </c>
      <c r="P325" s="26"/>
      <c r="Q325" s="15"/>
      <c r="Z325" s="3">
        <f t="shared" ref="Z325:AB327" si="60">Z303</f>
        <v>0</v>
      </c>
      <c r="AA325" s="3">
        <f t="shared" si="60"/>
        <v>0</v>
      </c>
      <c r="AB325" s="3">
        <f t="shared" si="60"/>
        <v>0</v>
      </c>
    </row>
    <row r="326" spans="1:61">
      <c r="A326" s="28" t="s">
        <v>69</v>
      </c>
      <c r="B326" s="20" t="str">
        <f>CONCATENATE(B117," and ",B142)</f>
        <v>A373G (C;C) and T836A (A;A)</v>
      </c>
      <c r="C326" s="21" t="str">
        <f>CONCATENATE("&lt;# ",B326," #&gt;")</f>
        <v>&lt;# A373G (C;C) and T836A (A;A) #&gt;</v>
      </c>
      <c r="D326" s="21"/>
      <c r="E326" s="21"/>
      <c r="F326" s="21"/>
      <c r="G326" s="21"/>
      <c r="H326" s="21"/>
      <c r="I326" s="21"/>
      <c r="J326" s="21"/>
      <c r="K326" s="21" t="str">
        <f t="shared" si="59"/>
        <v>C65T</v>
      </c>
      <c r="L326" s="21" t="str">
        <f t="shared" si="59"/>
        <v>A27468610G</v>
      </c>
      <c r="M326" s="21" t="str">
        <f t="shared" si="59"/>
        <v>A373G</v>
      </c>
      <c r="N326" s="21" t="str">
        <f t="shared" si="59"/>
        <v>T836A</v>
      </c>
      <c r="O326" s="21" t="str">
        <f t="shared" si="59"/>
        <v>T889A</v>
      </c>
      <c r="P326" s="28" t="s">
        <v>69</v>
      </c>
      <c r="Q326" s="20" t="str">
        <f>CONCATENATE(Q117," and ",Q142)</f>
        <v>T889A (G;G) and T889A (T;G)</v>
      </c>
      <c r="R326" s="21" t="str">
        <f>CONCATENATE("&lt;# ",Q326," #&gt;")</f>
        <v>&lt;# T889A (G;G) and T889A (T;G) #&gt;</v>
      </c>
      <c r="S326" s="21"/>
      <c r="T326" s="21"/>
      <c r="U326" s="21"/>
      <c r="V326" s="21"/>
      <c r="W326" s="21"/>
      <c r="X326" s="21"/>
      <c r="Y326" s="21"/>
      <c r="Z326" s="21" t="str">
        <f t="shared" si="60"/>
        <v>T836A</v>
      </c>
      <c r="AA326" s="21" t="str">
        <f t="shared" si="60"/>
        <v>T889A</v>
      </c>
      <c r="AB326" s="21">
        <f t="shared" si="60"/>
        <v>0</v>
      </c>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row>
    <row r="327" spans="1:61">
      <c r="A327" s="14" t="s">
        <v>21</v>
      </c>
      <c r="B327" s="15" t="str">
        <f>K242</f>
        <v>NC_000008.10:g.[27328511G&gt;A];[27328511=]</v>
      </c>
      <c r="K327" s="3" t="str">
        <f t="shared" si="59"/>
        <v>NC_000008.10:g.</v>
      </c>
      <c r="L327" s="3" t="str">
        <f t="shared" si="59"/>
        <v>NC_000008.10:g.</v>
      </c>
      <c r="M327" s="3" t="str">
        <f t="shared" si="59"/>
        <v>NC_000008.10:g.</v>
      </c>
      <c r="N327" s="21" t="str">
        <f t="shared" si="59"/>
        <v>NC_000008.10:g.</v>
      </c>
      <c r="O327" s="21" t="str">
        <f t="shared" si="59"/>
        <v>NC_000006.11:g.</v>
      </c>
      <c r="P327" s="14" t="s">
        <v>21</v>
      </c>
      <c r="Q327" s="15" t="str">
        <f>Z242</f>
        <v>NC_000008.10:g.[27321124A&gt;T];[27321124=]</v>
      </c>
      <c r="Z327" s="3" t="str">
        <f t="shared" si="60"/>
        <v>NC_000008.10:g.</v>
      </c>
      <c r="AA327" s="3" t="str">
        <f t="shared" si="60"/>
        <v>NC_000006.11:g.</v>
      </c>
      <c r="AB327" s="3">
        <f t="shared" si="60"/>
        <v>0</v>
      </c>
    </row>
    <row r="328" spans="1:61">
      <c r="A328" s="14" t="s">
        <v>71</v>
      </c>
      <c r="C328" s="3" t="str">
        <f>CONCATENATE("  &lt;Analysis name=",CHAR(34),B326,CHAR(34))</f>
        <v xml:space="preserve">  &lt;Analysis name="A373G (C;C) and T836A (A;A)"</v>
      </c>
      <c r="J328" s="3" t="str">
        <f t="shared" ref="J328:O335" si="61">J306</f>
        <v>Variant</v>
      </c>
      <c r="K328" s="3" t="str">
        <f t="shared" si="61"/>
        <v>[27328511G&gt;A]</v>
      </c>
      <c r="L328" s="3" t="str">
        <f t="shared" si="61"/>
        <v>[27326127A&gt;G]</v>
      </c>
      <c r="M328" s="3" t="str">
        <f t="shared" si="61"/>
        <v>[27324822T&gt;C]</v>
      </c>
      <c r="N328" s="21" t="str">
        <f t="shared" si="61"/>
        <v>[27321124A&gt;T]</v>
      </c>
      <c r="O328" s="21" t="str">
        <f t="shared" si="61"/>
        <v>[12727715A&gt;G]</v>
      </c>
      <c r="P328" s="14" t="s">
        <v>71</v>
      </c>
      <c r="Q328" s="15"/>
      <c r="R328" s="3" t="str">
        <f>CONCATENATE("  &lt;Analysis name=",CHAR(34),Q326,CHAR(34))</f>
        <v xml:space="preserve">  &lt;Analysis name="T889A (G;G) and T889A (T;G)"</v>
      </c>
      <c r="Y328" s="3" t="str">
        <f t="shared" ref="Y328:AB335" si="62">Y306</f>
        <v>Variant</v>
      </c>
      <c r="Z328" s="3" t="str">
        <f t="shared" si="62"/>
        <v>[27321124A&gt;T]</v>
      </c>
      <c r="AA328" s="3" t="str">
        <f t="shared" si="62"/>
        <v>[12727715A&gt;G]</v>
      </c>
      <c r="AB328" s="3">
        <f t="shared" si="62"/>
        <v>0</v>
      </c>
    </row>
    <row r="329" spans="1:61">
      <c r="A329" s="26" t="s">
        <v>74</v>
      </c>
      <c r="B329" s="15" t="str">
        <f>CONCATENATE("People with this variant have two copies of the ",B22," variant and one copy of the ",B31," variant. This substitution of a single nucleotide is known as a missense mutation.")</f>
        <v>People with this variant have two copies of the [C65T (p.Thr22Ile)](https://www.ncbi.nlm.nih.gov/clinvar/variation/128740/) variant and one copy of the [A27468610G](https://www.ncbi.nlm.nih.gov/projects/SNP/snp_ref.cgi?rs=2741343) variant. This substitution of a single nucleotide is known as a missense mutation.</v>
      </c>
      <c r="C329" s="3" t="str">
        <f>CONCATENATE("            case={  variantCall ",CHAR(40),CHAR(34),K330,CHAR(34),CHAR(41))</f>
        <v xml:space="preserve">            case={  variantCall ("NC_000008.10:g.[27328511G&gt;A];[27328511=]")</v>
      </c>
      <c r="J329" s="3" t="str">
        <f t="shared" si="61"/>
        <v>Wildtype</v>
      </c>
      <c r="K329" s="3" t="str">
        <f t="shared" si="61"/>
        <v>[27328511=]</v>
      </c>
      <c r="L329" s="3" t="str">
        <f t="shared" si="61"/>
        <v>[27326127=]</v>
      </c>
      <c r="M329" s="3" t="str">
        <f t="shared" si="61"/>
        <v>[27324822=]</v>
      </c>
      <c r="N329" s="21" t="str">
        <f t="shared" si="61"/>
        <v>[27321124=]</v>
      </c>
      <c r="O329" s="21" t="str">
        <f t="shared" si="61"/>
        <v>[12727715=]</v>
      </c>
      <c r="P329" s="26" t="s">
        <v>74</v>
      </c>
      <c r="Q329" s="15" t="str">
        <f>CONCATENATE("People with this variant have two copies of the ",Q22," variant and one copy of the ",Q31," variant. This substitution of a single nucleotide is known as a missense mutation.")</f>
        <v>People with this variant have two copies of the [T836A (p.Ile279Asn)](https://www.ncbi.nlm.nih.gov/clinvar/variation/17504/) variant and one copy of the [889A&gt;T (p.Ile297Phe)](https://www.ncbi.nlm.nih.gov/clinvar/variation/522582/) variant. This substitution of a single nucleotide is known as a missense mutation.</v>
      </c>
      <c r="R329" s="3" t="str">
        <f>CONCATENATE("            case={  variantCall ",CHAR(40),CHAR(34),Z330,CHAR(34),CHAR(41))</f>
        <v xml:space="preserve">            case={  variantCall ("NC_000008.10:g.[27321124A&gt;T];[27321124=]")</v>
      </c>
      <c r="Y329" s="3" t="str">
        <f t="shared" si="62"/>
        <v>Wildtype</v>
      </c>
      <c r="Z329" s="3" t="str">
        <f t="shared" si="62"/>
        <v>[27321124=]</v>
      </c>
      <c r="AA329" s="3" t="str">
        <f t="shared" si="62"/>
        <v>[12727715=]</v>
      </c>
      <c r="AB329" s="3">
        <f t="shared" si="62"/>
        <v>0</v>
      </c>
    </row>
    <row r="330" spans="1:61" s="21" customFormat="1">
      <c r="A330" s="26" t="s">
        <v>28</v>
      </c>
      <c r="B330" s="3" t="s">
        <v>115</v>
      </c>
      <c r="C330" s="3" t="s">
        <v>70</v>
      </c>
      <c r="D330" s="3"/>
      <c r="E330" s="3"/>
      <c r="F330" s="3"/>
      <c r="G330" s="3"/>
      <c r="H330" s="3"/>
      <c r="I330" s="3"/>
      <c r="J330" s="3" t="str">
        <f t="shared" si="61"/>
        <v>Het</v>
      </c>
      <c r="K330" s="3" t="str">
        <f t="shared" si="61"/>
        <v>NC_000008.10:g.[27328511G&gt;A];[27328511=]</v>
      </c>
      <c r="L330" s="3" t="str">
        <f t="shared" si="61"/>
        <v>NC_000008.10:g.[27326127A&gt;G];[27326127=]</v>
      </c>
      <c r="M330" s="3" t="str">
        <f t="shared" si="61"/>
        <v>NC_000008.10:g.[27324822T&gt;C];[27324822=]</v>
      </c>
      <c r="N330" s="21" t="str">
        <f t="shared" si="61"/>
        <v>NC_000008.10:g.[27321124A&gt;T];[27321124=]</v>
      </c>
      <c r="O330" s="21" t="str">
        <f t="shared" si="61"/>
        <v>NC_000006.11:g.[12727715A&gt;G];[12727715=]</v>
      </c>
      <c r="P330" s="26" t="s">
        <v>28</v>
      </c>
      <c r="Q330" s="3" t="s">
        <v>115</v>
      </c>
      <c r="R330" s="3" t="s">
        <v>70</v>
      </c>
      <c r="S330" s="3"/>
      <c r="T330" s="3"/>
      <c r="U330" s="3"/>
      <c r="V330" s="3"/>
      <c r="W330" s="3"/>
      <c r="X330" s="3"/>
      <c r="Y330" s="3" t="str">
        <f t="shared" si="62"/>
        <v>Het</v>
      </c>
      <c r="Z330" s="3" t="str">
        <f t="shared" si="62"/>
        <v>NC_000008.10:g.[27321124A&gt;T];[27321124=]</v>
      </c>
      <c r="AA330" s="3" t="str">
        <f t="shared" si="62"/>
        <v>NC_000006.11:g.[12727715A&gt;G];[12727715=]</v>
      </c>
      <c r="AB330" s="3" t="str">
        <f t="shared" si="62"/>
        <v>00;0</v>
      </c>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row>
    <row r="331" spans="1:61">
      <c r="A331" s="26" t="s">
        <v>72</v>
      </c>
      <c r="C331" s="3" t="str">
        <f>CONCATENATE("                    variantCall ",CHAR(40),CHAR(34),L330,CHAR(34),CHAR(41))</f>
        <v xml:space="preserve">                    variantCall ("NC_000008.10:g.[27326127A&gt;G];[27326127=]")</v>
      </c>
      <c r="J331" s="3" t="str">
        <f t="shared" si="61"/>
        <v>Homo</v>
      </c>
      <c r="K331" s="3" t="str">
        <f t="shared" si="61"/>
        <v>NC_000008.10:g.[27328511G&gt;A];[27328511G&gt;A]</v>
      </c>
      <c r="L331" s="3" t="str">
        <f t="shared" si="61"/>
        <v>NC_000008.10:g.[27326127A&gt;G];[27326127A&gt;G]</v>
      </c>
      <c r="M331" s="3" t="str">
        <f t="shared" si="61"/>
        <v>NC_000008.10:g.[27324822T&gt;C];[27324822T&gt;C]</v>
      </c>
      <c r="N331" s="21" t="str">
        <f t="shared" si="61"/>
        <v>NC_000008.10:g.[27321124A&gt;T];[27321124A&gt;T]</v>
      </c>
      <c r="O331" s="21" t="str">
        <f t="shared" si="61"/>
        <v>NC_000006.11:g.[12727715A&gt;G];[12727715A&gt;G]</v>
      </c>
      <c r="P331" s="26" t="s">
        <v>72</v>
      </c>
      <c r="Q331" s="15"/>
      <c r="R331" s="3" t="str">
        <f>CONCATENATE("                    variantCall ",CHAR(40),CHAR(34),AA330,CHAR(34),CHAR(41))</f>
        <v xml:space="preserve">                    variantCall ("NC_000006.11:g.[12727715A&gt;G];[12727715=]")</v>
      </c>
      <c r="Y331" s="3" t="str">
        <f t="shared" si="62"/>
        <v>Homo</v>
      </c>
      <c r="Z331" s="3" t="str">
        <f t="shared" si="62"/>
        <v>NC_000008.10:g.[27321124A&gt;T];[27321124A&gt;T]</v>
      </c>
      <c r="AA331" s="3" t="str">
        <f t="shared" si="62"/>
        <v>NC_000006.11:g.[12727715A&gt;G];[12727715A&gt;G]</v>
      </c>
      <c r="AB331" s="3" t="str">
        <f t="shared" si="62"/>
        <v>00;0</v>
      </c>
    </row>
    <row r="332" spans="1:61">
      <c r="A332" s="26"/>
      <c r="C332" s="3" t="s">
        <v>70</v>
      </c>
      <c r="J332" s="3" t="str">
        <f t="shared" si="61"/>
        <v>Wildtype</v>
      </c>
      <c r="K332" s="3" t="str">
        <f t="shared" si="61"/>
        <v>NC_000008.10:g.[27328511=];[27328511=]</v>
      </c>
      <c r="L332" s="3" t="str">
        <f t="shared" si="61"/>
        <v>NC_000008.10:g.[27326127=];[27326127=]</v>
      </c>
      <c r="M332" s="3" t="str">
        <f t="shared" si="61"/>
        <v>NC_000008.10:g.[27324822=];[27324822=]</v>
      </c>
      <c r="N332" s="21" t="str">
        <f t="shared" si="61"/>
        <v>NC_000008.10:g.[27321124=];[27321124=]</v>
      </c>
      <c r="O332" s="21" t="str">
        <f t="shared" si="61"/>
        <v>NC_000006.11:g.[12727715=];[12727715=]</v>
      </c>
      <c r="P332" s="26"/>
      <c r="Q332" s="15"/>
      <c r="R332" s="3" t="s">
        <v>70</v>
      </c>
      <c r="Y332" s="3" t="str">
        <f t="shared" si="62"/>
        <v>Wildtype</v>
      </c>
      <c r="Z332" s="3" t="str">
        <f t="shared" si="62"/>
        <v>NC_000008.10:g.[27321124=];[27321124=]</v>
      </c>
      <c r="AA332" s="3" t="str">
        <f t="shared" si="62"/>
        <v>NC_000006.11:g.[12727715=];[12727715=]</v>
      </c>
      <c r="AB332" s="3" t="str">
        <f t="shared" si="62"/>
        <v>00;0</v>
      </c>
    </row>
    <row r="333" spans="1:61">
      <c r="A333" s="26"/>
      <c r="C333" s="3" t="str">
        <f>CONCATENATE("                    variantCall ",CHAR(40),CHAR(34),M330,CHAR(34),CHAR(41))</f>
        <v xml:space="preserve">                    variantCall ("NC_000008.10:g.[27324822T&gt;C];[27324822=]")</v>
      </c>
      <c r="J333" s="3" t="str">
        <f t="shared" si="61"/>
        <v>Het%</v>
      </c>
      <c r="K333" s="3">
        <f t="shared" si="61"/>
        <v>27.5</v>
      </c>
      <c r="L333" s="3">
        <f t="shared" si="61"/>
        <v>48</v>
      </c>
      <c r="M333" s="3">
        <f t="shared" si="61"/>
        <v>49.8</v>
      </c>
      <c r="N333" s="21">
        <f t="shared" si="61"/>
        <v>35.4</v>
      </c>
      <c r="O333" s="21">
        <f t="shared" si="61"/>
        <v>35.6</v>
      </c>
      <c r="P333" s="26"/>
      <c r="Q333" s="15"/>
      <c r="R333" s="3" t="str">
        <f>CONCATENATE("                    variantCall ",CHAR(40),CHAR(34),AB330,CHAR(34),CHAR(41))</f>
        <v xml:space="preserve">                    variantCall ("00;0")</v>
      </c>
      <c r="Y333" s="3" t="str">
        <f t="shared" si="62"/>
        <v>Het%</v>
      </c>
      <c r="Z333" s="3">
        <f t="shared" si="62"/>
        <v>43</v>
      </c>
      <c r="AA333" s="3">
        <f t="shared" si="62"/>
        <v>1.8</v>
      </c>
      <c r="AB333" s="3">
        <f t="shared" si="62"/>
        <v>15.8</v>
      </c>
    </row>
    <row r="334" spans="1:61">
      <c r="A334" s="26"/>
      <c r="C334" s="3" t="str">
        <f>CONCATENATE("                  } &gt; ")</f>
        <v xml:space="preserve">                  } &gt; </v>
      </c>
      <c r="J334" s="3" t="str">
        <f t="shared" si="61"/>
        <v>Homo%</v>
      </c>
      <c r="K334" s="3">
        <f t="shared" si="61"/>
        <v>15.2</v>
      </c>
      <c r="L334" s="3">
        <f t="shared" si="61"/>
        <v>48.1</v>
      </c>
      <c r="M334" s="3">
        <f t="shared" si="61"/>
        <v>48.6</v>
      </c>
      <c r="N334" s="21">
        <f t="shared" si="61"/>
        <v>14.1</v>
      </c>
      <c r="O334" s="21">
        <f t="shared" si="61"/>
        <v>14.3</v>
      </c>
      <c r="P334" s="26"/>
      <c r="Q334" s="15"/>
      <c r="R334" s="3" t="str">
        <f>CONCATENATE("                  } &gt; ")</f>
        <v xml:space="preserve">                  } &gt; </v>
      </c>
      <c r="Y334" s="3" t="str">
        <f t="shared" si="62"/>
        <v>Homo%</v>
      </c>
      <c r="Z334" s="3">
        <f t="shared" si="62"/>
        <v>19.899999999999999</v>
      </c>
      <c r="AA334" s="3">
        <f t="shared" si="62"/>
        <v>0.5</v>
      </c>
      <c r="AB334" s="3">
        <f t="shared" si="62"/>
        <v>4.7</v>
      </c>
    </row>
    <row r="335" spans="1:61">
      <c r="A335" s="14"/>
      <c r="J335" s="3" t="str">
        <f t="shared" si="61"/>
        <v>Wildtype%</v>
      </c>
      <c r="K335" s="3">
        <f t="shared" si="61"/>
        <v>57.3</v>
      </c>
      <c r="L335" s="3">
        <f t="shared" si="61"/>
        <v>3.9</v>
      </c>
      <c r="M335" s="3">
        <f t="shared" si="61"/>
        <v>1.6</v>
      </c>
      <c r="N335" s="21">
        <f t="shared" si="61"/>
        <v>50.5</v>
      </c>
      <c r="O335" s="21">
        <f t="shared" si="61"/>
        <v>50.1</v>
      </c>
      <c r="P335" s="14"/>
      <c r="Q335" s="15"/>
      <c r="Y335" s="3" t="str">
        <f t="shared" si="62"/>
        <v>Wildtype%</v>
      </c>
      <c r="Z335" s="3">
        <f t="shared" si="62"/>
        <v>37.1</v>
      </c>
      <c r="AA335" s="3">
        <f t="shared" si="62"/>
        <v>97.8</v>
      </c>
      <c r="AB335" s="3">
        <f t="shared" si="62"/>
        <v>79.5</v>
      </c>
    </row>
    <row r="336" spans="1:61">
      <c r="A336" s="14"/>
      <c r="C336" s="3" t="s">
        <v>26</v>
      </c>
      <c r="P336" s="14"/>
      <c r="Q336" s="15"/>
      <c r="R336" s="3" t="s">
        <v>26</v>
      </c>
    </row>
    <row r="337" spans="1:61">
      <c r="A337" s="14"/>
      <c r="P337" s="14"/>
      <c r="Q337" s="15"/>
    </row>
    <row r="338" spans="1:61">
      <c r="A338" s="14"/>
      <c r="C338" s="3" t="str">
        <f>CONCATENATE("    ",B329)</f>
        <v xml:space="preserve">    People with this variant have two copies of the [C65T (p.Thr22Ile)](https://www.ncbi.nlm.nih.gov/clinvar/variation/128740/) variant and one copy of the [A27468610G](https://www.ncbi.nlm.nih.gov/projects/SNP/snp_ref.cgi?rs=2741343) variant. This substitution of a single nucleotide is known as a missense mutation.</v>
      </c>
      <c r="P338" s="14"/>
      <c r="Q338" s="15"/>
      <c r="R338" s="3" t="str">
        <f>CONCATENATE("    ",Q329)</f>
        <v xml:space="preserve">    People with this variant have two copies of the [T836A (p.Ile279Asn)](https://www.ncbi.nlm.nih.gov/clinvar/variation/17504/) variant and one copy of the [889A&gt;T (p.Ile297Phe)](https://www.ncbi.nlm.nih.gov/clinvar/variation/522582/) variant. This substitution of a single nucleotide is known as a missense mutation.</v>
      </c>
    </row>
    <row r="339" spans="1:61">
      <c r="A339" s="14"/>
      <c r="P339" s="14"/>
      <c r="Q339" s="15"/>
    </row>
    <row r="340" spans="1:61">
      <c r="A340" s="26"/>
      <c r="C340" s="3" t="s">
        <v>29</v>
      </c>
      <c r="P340" s="26"/>
      <c r="Q340" s="15"/>
      <c r="R340" s="3" t="s">
        <v>29</v>
      </c>
    </row>
    <row r="341" spans="1:61">
      <c r="A341" s="26"/>
      <c r="P341" s="26"/>
      <c r="Q341" s="15"/>
    </row>
    <row r="342" spans="1:61">
      <c r="A342" s="26"/>
      <c r="C342" s="3" t="str">
        <f>CONCATENATE(B330)</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42" s="26"/>
      <c r="Q342" s="15"/>
      <c r="R342" s="3" t="str">
        <f>CONCATENATE(Q330)</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343" spans="1:61">
      <c r="A343" s="26"/>
      <c r="P343" s="26"/>
      <c r="Q343" s="15"/>
    </row>
    <row r="344" spans="1:61">
      <c r="A344" s="26"/>
      <c r="C344" s="3" t="s">
        <v>30</v>
      </c>
      <c r="P344" s="26"/>
      <c r="Q344" s="15"/>
      <c r="R344" s="3" t="s">
        <v>30</v>
      </c>
    </row>
    <row r="345" spans="1:61">
      <c r="A345" s="26"/>
      <c r="P345" s="26"/>
      <c r="Q345" s="15"/>
    </row>
    <row r="346" spans="1:61">
      <c r="A346" s="26"/>
      <c r="C346" s="3" t="str">
        <f>CONCATENATE( "    &lt;# piechart percentage=",B331," / #&gt;")</f>
        <v xml:space="preserve">    &lt;# piechart percentage= / #&gt;</v>
      </c>
      <c r="P346" s="26"/>
      <c r="Q346" s="15"/>
      <c r="R346" s="3" t="str">
        <f>CONCATENATE( "    &lt;piechart percentage=",Q331," /&gt;")</f>
        <v xml:space="preserve">    &lt;piechart percentage= /&gt;</v>
      </c>
    </row>
    <row r="347" spans="1:61">
      <c r="A347" s="26"/>
      <c r="C347" s="3" t="str">
        <f>"  &lt;/Analysis&gt;"</f>
        <v xml:space="preserve">  &lt;/Analysis&gt;</v>
      </c>
      <c r="K347" s="3" t="str">
        <f t="shared" ref="K347:O349" si="63">K325</f>
        <v>rs6691840 TT</v>
      </c>
      <c r="L347" s="3" t="str">
        <f t="shared" si="63"/>
        <v>rs3913434 CC</v>
      </c>
      <c r="M347" s="3" t="str">
        <f t="shared" si="63"/>
        <v>rs270838 CC</v>
      </c>
      <c r="P347" s="26"/>
      <c r="Q347" s="15"/>
      <c r="R347" s="3" t="str">
        <f>"  &lt;/Analysis&gt;"</f>
        <v xml:space="preserve">  &lt;/Analysis&gt;</v>
      </c>
      <c r="Z347" s="3">
        <f t="shared" ref="Z347:AB349" si="64">Z325</f>
        <v>0</v>
      </c>
      <c r="AA347" s="3">
        <f t="shared" si="64"/>
        <v>0</v>
      </c>
      <c r="AB347" s="3">
        <f t="shared" si="64"/>
        <v>0</v>
      </c>
    </row>
    <row r="348" spans="1:61">
      <c r="A348" s="28" t="s">
        <v>69</v>
      </c>
      <c r="B348" s="20" t="str">
        <f>CONCATENATE(B117," and ",B192)</f>
        <v xml:space="preserve">A373G (C;C) and </v>
      </c>
      <c r="C348" s="21" t="str">
        <f>CONCATENATE("&lt;# ",B348," #&gt;")</f>
        <v>&lt;# A373G (C;C) and  #&gt;</v>
      </c>
      <c r="D348" s="21"/>
      <c r="E348" s="21"/>
      <c r="F348" s="21"/>
      <c r="G348" s="21"/>
      <c r="H348" s="21"/>
      <c r="I348" s="21"/>
      <c r="J348" s="21"/>
      <c r="K348" s="21" t="str">
        <f t="shared" si="63"/>
        <v>C65T</v>
      </c>
      <c r="L348" s="21" t="str">
        <f t="shared" si="63"/>
        <v>A27468610G</v>
      </c>
      <c r="M348" s="21" t="str">
        <f t="shared" si="63"/>
        <v>A373G</v>
      </c>
      <c r="N348" s="21" t="str">
        <f t="shared" si="63"/>
        <v>T836A</v>
      </c>
      <c r="O348" s="21" t="str">
        <f t="shared" si="63"/>
        <v>T889A</v>
      </c>
      <c r="P348" s="28" t="s">
        <v>69</v>
      </c>
      <c r="Q348" s="20"/>
      <c r="R348" s="21"/>
      <c r="S348" s="21"/>
      <c r="T348" s="21"/>
      <c r="U348" s="21"/>
      <c r="V348" s="21"/>
      <c r="W348" s="21"/>
      <c r="X348" s="21"/>
      <c r="Y348" s="21"/>
      <c r="Z348" s="21" t="str">
        <f t="shared" si="64"/>
        <v>T836A</v>
      </c>
      <c r="AA348" s="21" t="str">
        <f t="shared" si="64"/>
        <v>T889A</v>
      </c>
      <c r="AB348" s="21">
        <f t="shared" si="64"/>
        <v>0</v>
      </c>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row>
    <row r="349" spans="1:61">
      <c r="A349" s="14" t="s">
        <v>21</v>
      </c>
      <c r="B349" s="15" t="str">
        <f>K264</f>
        <v>NC_000008.10:g.[27328511G&gt;A];[27328511=]</v>
      </c>
      <c r="K349" s="3" t="str">
        <f t="shared" si="63"/>
        <v>NC_000008.10:g.</v>
      </c>
      <c r="L349" s="3" t="str">
        <f t="shared" si="63"/>
        <v>NC_000008.10:g.</v>
      </c>
      <c r="M349" s="3" t="str">
        <f t="shared" si="63"/>
        <v>NC_000008.10:g.</v>
      </c>
      <c r="N349" s="21" t="str">
        <f t="shared" si="63"/>
        <v>NC_000008.10:g.</v>
      </c>
      <c r="O349" s="21" t="str">
        <f t="shared" si="63"/>
        <v>NC_000006.11:g.</v>
      </c>
      <c r="P349" s="14" t="s">
        <v>21</v>
      </c>
      <c r="Q349" s="15"/>
      <c r="Z349" s="3" t="str">
        <f t="shared" si="64"/>
        <v>NC_000008.10:g.</v>
      </c>
      <c r="AA349" s="3" t="str">
        <f t="shared" si="64"/>
        <v>NC_000006.11:g.</v>
      </c>
      <c r="AB349" s="3">
        <f t="shared" si="64"/>
        <v>0</v>
      </c>
    </row>
    <row r="350" spans="1:61">
      <c r="A350" s="14" t="s">
        <v>71</v>
      </c>
      <c r="C350" s="3" t="str">
        <f>CONCATENATE("  &lt;Analysis name=",CHAR(34),B348,CHAR(34))</f>
        <v xml:space="preserve">  &lt;Analysis name="A373G (C;C) and "</v>
      </c>
      <c r="J350" s="3" t="str">
        <f t="shared" ref="J350:O357" si="65">J328</f>
        <v>Variant</v>
      </c>
      <c r="K350" s="3" t="str">
        <f t="shared" si="65"/>
        <v>[27328511G&gt;A]</v>
      </c>
      <c r="L350" s="3" t="str">
        <f t="shared" si="65"/>
        <v>[27326127A&gt;G]</v>
      </c>
      <c r="M350" s="3" t="str">
        <f t="shared" si="65"/>
        <v>[27324822T&gt;C]</v>
      </c>
      <c r="N350" s="21" t="str">
        <f t="shared" si="65"/>
        <v>[27321124A&gt;T]</v>
      </c>
      <c r="O350" s="21" t="str">
        <f t="shared" si="65"/>
        <v>[12727715A&gt;G]</v>
      </c>
      <c r="P350" s="14" t="s">
        <v>71</v>
      </c>
      <c r="Q350" s="15"/>
      <c r="Y350" s="3" t="str">
        <f t="shared" ref="Y350:AB357" si="66">Y328</f>
        <v>Variant</v>
      </c>
      <c r="Z350" s="3" t="str">
        <f t="shared" si="66"/>
        <v>[27321124A&gt;T]</v>
      </c>
      <c r="AA350" s="3" t="str">
        <f t="shared" si="66"/>
        <v>[12727715A&gt;G]</v>
      </c>
      <c r="AB350" s="3">
        <f t="shared" si="66"/>
        <v>0</v>
      </c>
    </row>
    <row r="351" spans="1:61">
      <c r="A351" s="26" t="s">
        <v>74</v>
      </c>
      <c r="B351" s="15" t="str">
        <f>CONCATENATE("People with this variant have two copies of the ",B22," variant and one copy of the ",B40," variant. This substitution of a single nucleotide is known as a missense mutation.")</f>
        <v>People with this variant have two copies of the [C65T (p.Thr22Ile)](https://www.ncbi.nlm.nih.gov/clinvar/variation/128740/) variant and one copy of the [A373G (p.Thr125Ala)](https://www.ncbi.nlm.nih.gov/clinvar/variation/128739/) variant. This substitution of a single nucleotide is known as a missense mutation.</v>
      </c>
      <c r="C351" s="3" t="str">
        <f>CONCATENATE("            case={  variantCall ",CHAR(40),CHAR(34),K352,CHAR(34),CHAR(41))</f>
        <v xml:space="preserve">            case={  variantCall ("NC_000008.10:g.[27328511G&gt;A];[27328511=]")</v>
      </c>
      <c r="J351" s="3" t="str">
        <f t="shared" si="65"/>
        <v>Wildtype</v>
      </c>
      <c r="K351" s="3" t="str">
        <f t="shared" si="65"/>
        <v>[27328511=]</v>
      </c>
      <c r="L351" s="3" t="str">
        <f t="shared" si="65"/>
        <v>[27326127=]</v>
      </c>
      <c r="M351" s="3" t="str">
        <f t="shared" si="65"/>
        <v>[27324822=]</v>
      </c>
      <c r="N351" s="21" t="str">
        <f t="shared" si="65"/>
        <v>[27321124=]</v>
      </c>
      <c r="O351" s="21" t="str">
        <f t="shared" si="65"/>
        <v>[12727715=]</v>
      </c>
      <c r="P351" s="26" t="s">
        <v>74</v>
      </c>
      <c r="Q351" s="15"/>
      <c r="Y351" s="3" t="str">
        <f t="shared" si="66"/>
        <v>Wildtype</v>
      </c>
      <c r="Z351" s="3" t="str">
        <f t="shared" si="66"/>
        <v>[27321124=]</v>
      </c>
      <c r="AA351" s="3" t="str">
        <f t="shared" si="66"/>
        <v>[12727715=]</v>
      </c>
      <c r="AB351" s="3">
        <f t="shared" si="66"/>
        <v>0</v>
      </c>
    </row>
    <row r="352" spans="1:61" s="21" customFormat="1">
      <c r="A352" s="26" t="s">
        <v>28</v>
      </c>
      <c r="B352" s="15" t="s">
        <v>116</v>
      </c>
      <c r="C352" s="3" t="s">
        <v>70</v>
      </c>
      <c r="D352" s="3"/>
      <c r="E352" s="3"/>
      <c r="F352" s="3"/>
      <c r="G352" s="3"/>
      <c r="H352" s="3"/>
      <c r="I352" s="3"/>
      <c r="J352" s="3" t="str">
        <f t="shared" si="65"/>
        <v>Het</v>
      </c>
      <c r="K352" s="3" t="str">
        <f t="shared" si="65"/>
        <v>NC_000008.10:g.[27328511G&gt;A];[27328511=]</v>
      </c>
      <c r="L352" s="3" t="str">
        <f t="shared" si="65"/>
        <v>NC_000008.10:g.[27326127A&gt;G];[27326127=]</v>
      </c>
      <c r="M352" s="3" t="str">
        <f t="shared" si="65"/>
        <v>NC_000008.10:g.[27324822T&gt;C];[27324822=]</v>
      </c>
      <c r="N352" s="21" t="str">
        <f t="shared" si="65"/>
        <v>NC_000008.10:g.[27321124A&gt;T];[27321124=]</v>
      </c>
      <c r="O352" s="21" t="str">
        <f t="shared" si="65"/>
        <v>NC_000006.11:g.[12727715A&gt;G];[12727715=]</v>
      </c>
      <c r="P352" s="26" t="s">
        <v>28</v>
      </c>
      <c r="Q352" s="15"/>
      <c r="R352" s="3"/>
      <c r="S352" s="3"/>
      <c r="T352" s="3"/>
      <c r="U352" s="3"/>
      <c r="V352" s="3"/>
      <c r="W352" s="3"/>
      <c r="X352" s="3"/>
      <c r="Y352" s="3" t="str">
        <f t="shared" si="66"/>
        <v>Het</v>
      </c>
      <c r="Z352" s="3" t="str">
        <f t="shared" si="66"/>
        <v>NC_000008.10:g.[27321124A&gt;T];[27321124=]</v>
      </c>
      <c r="AA352" s="3" t="str">
        <f t="shared" si="66"/>
        <v>NC_000006.11:g.[12727715A&gt;G];[12727715=]</v>
      </c>
      <c r="AB352" s="3" t="str">
        <f t="shared" si="66"/>
        <v>00;0</v>
      </c>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row>
    <row r="353" spans="1:28">
      <c r="A353" s="26" t="s">
        <v>72</v>
      </c>
      <c r="C353" s="3" t="str">
        <f>CONCATENATE("                    variantCall ",CHAR(40),CHAR(34),L352,CHAR(34),CHAR(41))</f>
        <v xml:space="preserve">                    variantCall ("NC_000008.10:g.[27326127A&gt;G];[27326127=]")</v>
      </c>
      <c r="J353" s="3" t="str">
        <f t="shared" si="65"/>
        <v>Homo</v>
      </c>
      <c r="K353" s="3" t="str">
        <f t="shared" si="65"/>
        <v>NC_000008.10:g.[27328511G&gt;A];[27328511G&gt;A]</v>
      </c>
      <c r="L353" s="3" t="str">
        <f t="shared" si="65"/>
        <v>NC_000008.10:g.[27326127A&gt;G];[27326127A&gt;G]</v>
      </c>
      <c r="M353" s="3" t="str">
        <f t="shared" si="65"/>
        <v>NC_000008.10:g.[27324822T&gt;C];[27324822T&gt;C]</v>
      </c>
      <c r="N353" s="21" t="str">
        <f t="shared" si="65"/>
        <v>NC_000008.10:g.[27321124A&gt;T];[27321124A&gt;T]</v>
      </c>
      <c r="O353" s="21" t="str">
        <f t="shared" si="65"/>
        <v>NC_000006.11:g.[12727715A&gt;G];[12727715A&gt;G]</v>
      </c>
      <c r="P353" s="26" t="s">
        <v>72</v>
      </c>
      <c r="Q353" s="15"/>
      <c r="Y353" s="3" t="str">
        <f t="shared" si="66"/>
        <v>Homo</v>
      </c>
      <c r="Z353" s="3" t="str">
        <f t="shared" si="66"/>
        <v>NC_000008.10:g.[27321124A&gt;T];[27321124A&gt;T]</v>
      </c>
      <c r="AA353" s="3" t="str">
        <f t="shared" si="66"/>
        <v>NC_000006.11:g.[12727715A&gt;G];[12727715A&gt;G]</v>
      </c>
      <c r="AB353" s="3" t="str">
        <f t="shared" si="66"/>
        <v>00;0</v>
      </c>
    </row>
    <row r="354" spans="1:28">
      <c r="A354" s="26"/>
      <c r="C354" s="3" t="s">
        <v>70</v>
      </c>
      <c r="J354" s="3" t="str">
        <f t="shared" si="65"/>
        <v>Wildtype</v>
      </c>
      <c r="K354" s="3" t="str">
        <f t="shared" si="65"/>
        <v>NC_000008.10:g.[27328511=];[27328511=]</v>
      </c>
      <c r="L354" s="3" t="str">
        <f t="shared" si="65"/>
        <v>NC_000008.10:g.[27326127=];[27326127=]</v>
      </c>
      <c r="M354" s="3" t="str">
        <f t="shared" si="65"/>
        <v>NC_000008.10:g.[27324822=];[27324822=]</v>
      </c>
      <c r="N354" s="21" t="str">
        <f t="shared" si="65"/>
        <v>NC_000008.10:g.[27321124=];[27321124=]</v>
      </c>
      <c r="O354" s="21" t="str">
        <f t="shared" si="65"/>
        <v>NC_000006.11:g.[12727715=];[12727715=]</v>
      </c>
      <c r="P354" s="26"/>
      <c r="Q354" s="15"/>
      <c r="Y354" s="3" t="str">
        <f t="shared" si="66"/>
        <v>Wildtype</v>
      </c>
      <c r="Z354" s="3" t="str">
        <f t="shared" si="66"/>
        <v>NC_000008.10:g.[27321124=];[27321124=]</v>
      </c>
      <c r="AA354" s="3" t="str">
        <f t="shared" si="66"/>
        <v>NC_000006.11:g.[12727715=];[12727715=]</v>
      </c>
      <c r="AB354" s="3" t="str">
        <f t="shared" si="66"/>
        <v>00;0</v>
      </c>
    </row>
    <row r="355" spans="1:28">
      <c r="A355" s="26"/>
      <c r="C355" s="3" t="str">
        <f>CONCATENATE("                    variantCall ",CHAR(40),CHAR(34),M352,CHAR(34),CHAR(41))</f>
        <v xml:space="preserve">                    variantCall ("NC_000008.10:g.[27324822T&gt;C];[27324822=]")</v>
      </c>
      <c r="J355" s="3" t="str">
        <f t="shared" si="65"/>
        <v>Het%</v>
      </c>
      <c r="K355" s="3">
        <f t="shared" si="65"/>
        <v>27.5</v>
      </c>
      <c r="L355" s="3">
        <f t="shared" si="65"/>
        <v>48</v>
      </c>
      <c r="M355" s="3">
        <f t="shared" si="65"/>
        <v>49.8</v>
      </c>
      <c r="N355" s="21">
        <f t="shared" si="65"/>
        <v>35.4</v>
      </c>
      <c r="O355" s="21">
        <f t="shared" si="65"/>
        <v>35.6</v>
      </c>
      <c r="P355" s="26"/>
      <c r="Q355" s="15"/>
      <c r="Y355" s="3" t="str">
        <f t="shared" si="66"/>
        <v>Het%</v>
      </c>
      <c r="Z355" s="3">
        <f t="shared" si="66"/>
        <v>43</v>
      </c>
      <c r="AA355" s="3">
        <f t="shared" si="66"/>
        <v>1.8</v>
      </c>
      <c r="AB355" s="3">
        <f t="shared" si="66"/>
        <v>15.8</v>
      </c>
    </row>
    <row r="356" spans="1:28">
      <c r="A356" s="26"/>
      <c r="C356" s="3" t="str">
        <f>CONCATENATE("                  } &gt; ")</f>
        <v xml:space="preserve">                  } &gt; </v>
      </c>
      <c r="J356" s="3" t="str">
        <f t="shared" si="65"/>
        <v>Homo%</v>
      </c>
      <c r="K356" s="3">
        <f t="shared" si="65"/>
        <v>15.2</v>
      </c>
      <c r="L356" s="3">
        <f t="shared" si="65"/>
        <v>48.1</v>
      </c>
      <c r="M356" s="3">
        <f t="shared" si="65"/>
        <v>48.6</v>
      </c>
      <c r="N356" s="21">
        <f t="shared" si="65"/>
        <v>14.1</v>
      </c>
      <c r="O356" s="21">
        <f t="shared" si="65"/>
        <v>14.3</v>
      </c>
      <c r="P356" s="26"/>
      <c r="Q356" s="15"/>
      <c r="Y356" s="3" t="str">
        <f t="shared" si="66"/>
        <v>Homo%</v>
      </c>
      <c r="Z356" s="3">
        <f t="shared" si="66"/>
        <v>19.899999999999999</v>
      </c>
      <c r="AA356" s="3">
        <f t="shared" si="66"/>
        <v>0.5</v>
      </c>
      <c r="AB356" s="3">
        <f t="shared" si="66"/>
        <v>4.7</v>
      </c>
    </row>
    <row r="357" spans="1:28">
      <c r="A357" s="14"/>
      <c r="J357" s="3" t="str">
        <f t="shared" si="65"/>
        <v>Wildtype%</v>
      </c>
      <c r="K357" s="3">
        <f t="shared" si="65"/>
        <v>57.3</v>
      </c>
      <c r="L357" s="3">
        <f t="shared" si="65"/>
        <v>3.9</v>
      </c>
      <c r="M357" s="3">
        <f t="shared" si="65"/>
        <v>1.6</v>
      </c>
      <c r="N357" s="21">
        <f t="shared" si="65"/>
        <v>50.5</v>
      </c>
      <c r="O357" s="21">
        <f t="shared" si="65"/>
        <v>50.1</v>
      </c>
      <c r="P357" s="14"/>
      <c r="Q357" s="15"/>
      <c r="Y357" s="3" t="str">
        <f t="shared" si="66"/>
        <v>Wildtype%</v>
      </c>
      <c r="Z357" s="3">
        <f t="shared" si="66"/>
        <v>37.1</v>
      </c>
      <c r="AA357" s="3">
        <f t="shared" si="66"/>
        <v>97.8</v>
      </c>
      <c r="AB357" s="3">
        <f t="shared" si="66"/>
        <v>79.5</v>
      </c>
    </row>
    <row r="358" spans="1:28">
      <c r="A358" s="14"/>
      <c r="C358" s="3" t="s">
        <v>26</v>
      </c>
      <c r="P358" s="14"/>
      <c r="Q358" s="15"/>
    </row>
    <row r="359" spans="1:28">
      <c r="A359" s="14"/>
      <c r="P359" s="14"/>
      <c r="Q359" s="15"/>
    </row>
    <row r="360" spans="1:28">
      <c r="A360" s="14"/>
      <c r="C360" s="3" t="str">
        <f>CONCATENATE("    ",B351)</f>
        <v xml:space="preserve">    People with this variant have two copies of the [C65T (p.Thr22Ile)](https://www.ncbi.nlm.nih.gov/clinvar/variation/128740/) variant and one copy of the [A373G (p.Thr125Ala)](https://www.ncbi.nlm.nih.gov/clinvar/variation/128739/) variant. This substitution of a single nucleotide is known as a missense mutation.</v>
      </c>
      <c r="P360" s="14"/>
      <c r="Q360" s="15"/>
    </row>
    <row r="361" spans="1:28">
      <c r="A361" s="14"/>
      <c r="P361" s="14"/>
      <c r="Q361" s="15"/>
    </row>
    <row r="362" spans="1:28">
      <c r="A362" s="26"/>
      <c r="C362" s="3" t="s">
        <v>29</v>
      </c>
      <c r="P362" s="26"/>
      <c r="Q362" s="15"/>
    </row>
    <row r="363" spans="1:28">
      <c r="A363" s="26"/>
      <c r="P363" s="26"/>
      <c r="Q363" s="15"/>
    </row>
    <row r="364" spans="1:28">
      <c r="A364" s="26"/>
      <c r="C364" s="3" t="str">
        <f>CONCATENATE(B352)</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64" s="26"/>
      <c r="Q364" s="15"/>
    </row>
    <row r="365" spans="1:28">
      <c r="A365" s="26"/>
      <c r="P365" s="26"/>
      <c r="Q365" s="15"/>
    </row>
    <row r="366" spans="1:28">
      <c r="A366" s="26"/>
      <c r="C366" s="3" t="s">
        <v>30</v>
      </c>
      <c r="P366" s="26"/>
      <c r="Q366" s="15"/>
    </row>
    <row r="367" spans="1:28">
      <c r="A367" s="26"/>
      <c r="P367" s="26"/>
      <c r="Q367" s="15"/>
    </row>
    <row r="368" spans="1:28">
      <c r="A368" s="26"/>
      <c r="C368" s="3" t="str">
        <f>CONCATENATE( "    &lt;piechart percentage=",B353," /&gt;")</f>
        <v xml:space="preserve">    &lt;piechart percentage= /&gt;</v>
      </c>
      <c r="P368" s="26"/>
      <c r="Q368" s="15"/>
    </row>
    <row r="369" spans="1:61">
      <c r="A369" s="26"/>
      <c r="C369" s="3" t="str">
        <f>"  &lt;/Analysis&gt;"</f>
        <v xml:space="preserve">  &lt;/Analysis&gt;</v>
      </c>
      <c r="K369" s="3" t="str">
        <f t="shared" ref="K369:O371" si="67">K347</f>
        <v>rs6691840 TT</v>
      </c>
      <c r="L369" s="3" t="str">
        <f t="shared" si="67"/>
        <v>rs3913434 CC</v>
      </c>
      <c r="M369" s="3" t="str">
        <f t="shared" si="67"/>
        <v>rs270838 CC</v>
      </c>
      <c r="P369" s="26"/>
      <c r="Q369" s="15"/>
      <c r="Z369" s="3">
        <f t="shared" ref="Z369:AB371" si="68">Z347</f>
        <v>0</v>
      </c>
      <c r="AA369" s="3">
        <f t="shared" si="68"/>
        <v>0</v>
      </c>
      <c r="AB369" s="3">
        <f t="shared" si="68"/>
        <v>0</v>
      </c>
    </row>
    <row r="370" spans="1:61">
      <c r="A370" s="28" t="s">
        <v>69</v>
      </c>
      <c r="B370" s="20" t="str">
        <f>CONCATENATE(B142," and ",B192)</f>
        <v xml:space="preserve">T836A (A;A) and </v>
      </c>
      <c r="C370" s="21" t="str">
        <f>CONCATENATE("&lt;# ",B370," #&gt;")</f>
        <v>&lt;# T836A (A;A) and  #&gt;</v>
      </c>
      <c r="D370" s="21"/>
      <c r="E370" s="21"/>
      <c r="F370" s="21"/>
      <c r="G370" s="21"/>
      <c r="H370" s="21"/>
      <c r="I370" s="21"/>
      <c r="J370" s="21"/>
      <c r="K370" s="21" t="str">
        <f t="shared" si="67"/>
        <v>C65T</v>
      </c>
      <c r="L370" s="21" t="str">
        <f t="shared" si="67"/>
        <v>A27468610G</v>
      </c>
      <c r="M370" s="21" t="str">
        <f t="shared" si="67"/>
        <v>A373G</v>
      </c>
      <c r="N370" s="21" t="str">
        <f t="shared" si="67"/>
        <v>T836A</v>
      </c>
      <c r="O370" s="21" t="str">
        <f t="shared" si="67"/>
        <v>T889A</v>
      </c>
      <c r="P370" s="28" t="s">
        <v>69</v>
      </c>
      <c r="Q370" s="20"/>
      <c r="R370" s="21"/>
      <c r="S370" s="21"/>
      <c r="T370" s="21"/>
      <c r="U370" s="21"/>
      <c r="V370" s="21"/>
      <c r="W370" s="21"/>
      <c r="X370" s="21"/>
      <c r="Y370" s="21"/>
      <c r="Z370" s="21" t="str">
        <f t="shared" si="68"/>
        <v>T836A</v>
      </c>
      <c r="AA370" s="21" t="str">
        <f t="shared" si="68"/>
        <v>T889A</v>
      </c>
      <c r="AB370" s="21">
        <f t="shared" si="68"/>
        <v>0</v>
      </c>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row>
    <row r="371" spans="1:61">
      <c r="A371" s="14" t="s">
        <v>21</v>
      </c>
      <c r="B371" s="15" t="str">
        <f>K286</f>
        <v>NC_000008.10:g.[27328511G&gt;A];[27328511=]</v>
      </c>
      <c r="K371" s="3" t="str">
        <f t="shared" si="67"/>
        <v>NC_000008.10:g.</v>
      </c>
      <c r="L371" s="3" t="str">
        <f t="shared" si="67"/>
        <v>NC_000008.10:g.</v>
      </c>
      <c r="M371" s="3" t="str">
        <f t="shared" si="67"/>
        <v>NC_000008.10:g.</v>
      </c>
      <c r="N371" s="21" t="str">
        <f t="shared" si="67"/>
        <v>NC_000008.10:g.</v>
      </c>
      <c r="O371" s="21" t="str">
        <f t="shared" si="67"/>
        <v>NC_000006.11:g.</v>
      </c>
      <c r="P371" s="14" t="s">
        <v>21</v>
      </c>
      <c r="Q371" s="15"/>
      <c r="Z371" s="3" t="str">
        <f t="shared" si="68"/>
        <v>NC_000008.10:g.</v>
      </c>
      <c r="AA371" s="3" t="str">
        <f t="shared" si="68"/>
        <v>NC_000006.11:g.</v>
      </c>
      <c r="AB371" s="3">
        <f t="shared" si="68"/>
        <v>0</v>
      </c>
    </row>
    <row r="372" spans="1:61">
      <c r="A372" s="14" t="s">
        <v>71</v>
      </c>
      <c r="C372" s="3" t="str">
        <f>CONCATENATE("  &lt;Analysis name=",CHAR(34),B370,CHAR(34))</f>
        <v xml:space="preserve">  &lt;Analysis name="T836A (A;A) and "</v>
      </c>
      <c r="J372" s="3" t="str">
        <f t="shared" ref="J372:O379" si="69">J350</f>
        <v>Variant</v>
      </c>
      <c r="K372" s="3" t="str">
        <f t="shared" si="69"/>
        <v>[27328511G&gt;A]</v>
      </c>
      <c r="L372" s="3" t="str">
        <f t="shared" si="69"/>
        <v>[27326127A&gt;G]</v>
      </c>
      <c r="M372" s="3" t="str">
        <f t="shared" si="69"/>
        <v>[27324822T&gt;C]</v>
      </c>
      <c r="N372" s="21" t="str">
        <f t="shared" si="69"/>
        <v>[27321124A&gt;T]</v>
      </c>
      <c r="O372" s="21" t="str">
        <f t="shared" si="69"/>
        <v>[12727715A&gt;G]</v>
      </c>
      <c r="P372" s="14" t="s">
        <v>71</v>
      </c>
      <c r="Q372" s="15"/>
      <c r="Y372" s="3" t="str">
        <f t="shared" ref="Y372:AB379" si="70">Y350</f>
        <v>Variant</v>
      </c>
      <c r="Z372" s="3" t="str">
        <f t="shared" si="70"/>
        <v>[27321124A&gt;T]</v>
      </c>
      <c r="AA372" s="3" t="str">
        <f t="shared" si="70"/>
        <v>[12727715A&gt;G]</v>
      </c>
      <c r="AB372" s="3">
        <f t="shared" si="70"/>
        <v>0</v>
      </c>
    </row>
    <row r="373" spans="1:61">
      <c r="A373" s="26" t="s">
        <v>74</v>
      </c>
      <c r="B373" s="15" t="str">
        <f>CONCATENATE("People with this variant have one copy of the ",B31," and ",B40," variants. This substitution of a single nucleotide is known as a missense mutation.")</f>
        <v>People with this variant have one copy of the [A27468610G](https://www.ncbi.nlm.nih.gov/projects/SNP/snp_ref.cgi?rs=2741343) and [A373G (p.Thr125Ala)](https://www.ncbi.nlm.nih.gov/clinvar/variation/128739/) variants. This substitution of a single nucleotide is known as a missense mutation.</v>
      </c>
      <c r="C373" s="3" t="str">
        <f>CONCATENATE("            case={  variantCall ",CHAR(40),CHAR(34),L374,CHAR(34),CHAR(41))</f>
        <v xml:space="preserve">            case={  variantCall ("NC_000008.10:g.[27326127A&gt;G];[27326127=]")</v>
      </c>
      <c r="J373" s="3" t="str">
        <f t="shared" si="69"/>
        <v>Wildtype</v>
      </c>
      <c r="K373" s="3" t="str">
        <f t="shared" si="69"/>
        <v>[27328511=]</v>
      </c>
      <c r="L373" s="3" t="str">
        <f t="shared" si="69"/>
        <v>[27326127=]</v>
      </c>
      <c r="M373" s="3" t="str">
        <f t="shared" si="69"/>
        <v>[27324822=]</v>
      </c>
      <c r="N373" s="21" t="str">
        <f t="shared" si="69"/>
        <v>[27321124=]</v>
      </c>
      <c r="O373" s="21" t="str">
        <f t="shared" si="69"/>
        <v>[12727715=]</v>
      </c>
      <c r="P373" s="26" t="s">
        <v>74</v>
      </c>
      <c r="Q373" s="15"/>
      <c r="Y373" s="3" t="str">
        <f t="shared" si="70"/>
        <v>Wildtype</v>
      </c>
      <c r="Z373" s="3" t="str">
        <f t="shared" si="70"/>
        <v>[27321124=]</v>
      </c>
      <c r="AA373" s="3" t="str">
        <f t="shared" si="70"/>
        <v>[12727715=]</v>
      </c>
      <c r="AB373" s="3">
        <f t="shared" si="70"/>
        <v>0</v>
      </c>
    </row>
    <row r="374" spans="1:61" s="21" customFormat="1" ht="409.5">
      <c r="A374" s="26" t="s">
        <v>28</v>
      </c>
      <c r="B374" s="36" t="s">
        <v>117</v>
      </c>
      <c r="C374" s="3" t="s">
        <v>70</v>
      </c>
      <c r="D374" s="3"/>
      <c r="E374" s="3"/>
      <c r="F374" s="3"/>
      <c r="G374" s="3"/>
      <c r="H374" s="3"/>
      <c r="I374" s="3"/>
      <c r="J374" s="3" t="str">
        <f t="shared" si="69"/>
        <v>Het</v>
      </c>
      <c r="K374" s="3" t="str">
        <f t="shared" si="69"/>
        <v>NC_000008.10:g.[27328511G&gt;A];[27328511=]</v>
      </c>
      <c r="L374" s="3" t="str">
        <f t="shared" si="69"/>
        <v>NC_000008.10:g.[27326127A&gt;G];[27326127=]</v>
      </c>
      <c r="M374" s="3" t="str">
        <f t="shared" si="69"/>
        <v>NC_000008.10:g.[27324822T&gt;C];[27324822=]</v>
      </c>
      <c r="N374" s="21" t="str">
        <f t="shared" si="69"/>
        <v>NC_000008.10:g.[27321124A&gt;T];[27321124=]</v>
      </c>
      <c r="O374" s="21" t="str">
        <f t="shared" si="69"/>
        <v>NC_000006.11:g.[12727715A&gt;G];[12727715=]</v>
      </c>
      <c r="P374" s="26" t="s">
        <v>28</v>
      </c>
      <c r="Q374" s="15"/>
      <c r="R374" s="3"/>
      <c r="S374" s="3"/>
      <c r="T374" s="3"/>
      <c r="U374" s="3"/>
      <c r="V374" s="3"/>
      <c r="W374" s="3"/>
      <c r="X374" s="3"/>
      <c r="Y374" s="3" t="str">
        <f t="shared" si="70"/>
        <v>Het</v>
      </c>
      <c r="Z374" s="3" t="str">
        <f t="shared" si="70"/>
        <v>NC_000008.10:g.[27321124A&gt;T];[27321124=]</v>
      </c>
      <c r="AA374" s="3" t="str">
        <f t="shared" si="70"/>
        <v>NC_000006.11:g.[12727715A&gt;G];[12727715=]</v>
      </c>
      <c r="AB374" s="3" t="str">
        <f t="shared" si="70"/>
        <v>00;0</v>
      </c>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row>
    <row r="375" spans="1:61">
      <c r="A375" s="26" t="s">
        <v>72</v>
      </c>
      <c r="C375" s="3" t="str">
        <f>CONCATENATE("                    variantCall ",CHAR(40),CHAR(34),M374,CHAR(34),CHAR(41))</f>
        <v xml:space="preserve">                    variantCall ("NC_000008.10:g.[27324822T&gt;C];[27324822=]")</v>
      </c>
      <c r="J375" s="3" t="str">
        <f t="shared" si="69"/>
        <v>Homo</v>
      </c>
      <c r="K375" s="3" t="str">
        <f t="shared" si="69"/>
        <v>NC_000008.10:g.[27328511G&gt;A];[27328511G&gt;A]</v>
      </c>
      <c r="L375" s="3" t="str">
        <f t="shared" si="69"/>
        <v>NC_000008.10:g.[27326127A&gt;G];[27326127A&gt;G]</v>
      </c>
      <c r="M375" s="3" t="str">
        <f t="shared" si="69"/>
        <v>NC_000008.10:g.[27324822T&gt;C];[27324822T&gt;C]</v>
      </c>
      <c r="N375" s="21" t="str">
        <f t="shared" si="69"/>
        <v>NC_000008.10:g.[27321124A&gt;T];[27321124A&gt;T]</v>
      </c>
      <c r="O375" s="21" t="str">
        <f t="shared" si="69"/>
        <v>NC_000006.11:g.[12727715A&gt;G];[12727715A&gt;G]</v>
      </c>
      <c r="P375" s="26" t="s">
        <v>72</v>
      </c>
      <c r="Q375" s="15"/>
      <c r="Y375" s="3" t="str">
        <f t="shared" si="70"/>
        <v>Homo</v>
      </c>
      <c r="Z375" s="3" t="str">
        <f t="shared" si="70"/>
        <v>NC_000008.10:g.[27321124A&gt;T];[27321124A&gt;T]</v>
      </c>
      <c r="AA375" s="3" t="str">
        <f t="shared" si="70"/>
        <v>NC_000006.11:g.[12727715A&gt;G];[12727715A&gt;G]</v>
      </c>
      <c r="AB375" s="3" t="str">
        <f t="shared" si="70"/>
        <v>00;0</v>
      </c>
    </row>
    <row r="376" spans="1:61">
      <c r="A376" s="26"/>
      <c r="J376" s="3" t="str">
        <f t="shared" si="69"/>
        <v>Wildtype</v>
      </c>
      <c r="K376" s="3" t="str">
        <f t="shared" si="69"/>
        <v>NC_000008.10:g.[27328511=];[27328511=]</v>
      </c>
      <c r="L376" s="3" t="str">
        <f t="shared" si="69"/>
        <v>NC_000008.10:g.[27326127=];[27326127=]</v>
      </c>
      <c r="M376" s="3" t="str">
        <f t="shared" si="69"/>
        <v>NC_000008.10:g.[27324822=];[27324822=]</v>
      </c>
      <c r="N376" s="21" t="str">
        <f t="shared" si="69"/>
        <v>NC_000008.10:g.[27321124=];[27321124=]</v>
      </c>
      <c r="O376" s="21" t="str">
        <f t="shared" si="69"/>
        <v>NC_000006.11:g.[12727715=];[12727715=]</v>
      </c>
      <c r="P376" s="26"/>
      <c r="Q376" s="15"/>
      <c r="Y376" s="3" t="str">
        <f t="shared" si="70"/>
        <v>Wildtype</v>
      </c>
      <c r="Z376" s="3" t="str">
        <f t="shared" si="70"/>
        <v>NC_000008.10:g.[27321124=];[27321124=]</v>
      </c>
      <c r="AA376" s="3" t="str">
        <f t="shared" si="70"/>
        <v>NC_000006.11:g.[12727715=];[12727715=]</v>
      </c>
      <c r="AB376" s="3" t="str">
        <f t="shared" si="70"/>
        <v>00;0</v>
      </c>
    </row>
    <row r="377" spans="1:61">
      <c r="A377" s="26"/>
      <c r="J377" s="3" t="str">
        <f t="shared" si="69"/>
        <v>Het%</v>
      </c>
      <c r="K377" s="3">
        <f t="shared" si="69"/>
        <v>27.5</v>
      </c>
      <c r="L377" s="3">
        <f t="shared" si="69"/>
        <v>48</v>
      </c>
      <c r="M377" s="3">
        <f t="shared" si="69"/>
        <v>49.8</v>
      </c>
      <c r="N377" s="21">
        <f t="shared" si="69"/>
        <v>35.4</v>
      </c>
      <c r="O377" s="21">
        <f t="shared" si="69"/>
        <v>35.6</v>
      </c>
      <c r="P377" s="26"/>
      <c r="Q377" s="15"/>
      <c r="Y377" s="3" t="str">
        <f t="shared" si="70"/>
        <v>Het%</v>
      </c>
      <c r="Z377" s="3">
        <f t="shared" si="70"/>
        <v>43</v>
      </c>
      <c r="AA377" s="3">
        <f t="shared" si="70"/>
        <v>1.8</v>
      </c>
      <c r="AB377" s="3">
        <f t="shared" si="70"/>
        <v>15.8</v>
      </c>
    </row>
    <row r="378" spans="1:61">
      <c r="A378" s="26"/>
      <c r="C378" s="3" t="str">
        <f>CONCATENATE("                  } &gt; ")</f>
        <v xml:space="preserve">                  } &gt; </v>
      </c>
      <c r="J378" s="3" t="str">
        <f t="shared" si="69"/>
        <v>Homo%</v>
      </c>
      <c r="K378" s="3">
        <f t="shared" si="69"/>
        <v>15.2</v>
      </c>
      <c r="L378" s="3">
        <f t="shared" si="69"/>
        <v>48.1</v>
      </c>
      <c r="M378" s="3">
        <f t="shared" si="69"/>
        <v>48.6</v>
      </c>
      <c r="N378" s="21">
        <f t="shared" si="69"/>
        <v>14.1</v>
      </c>
      <c r="O378" s="21">
        <f t="shared" si="69"/>
        <v>14.3</v>
      </c>
      <c r="P378" s="26"/>
      <c r="Q378" s="15"/>
      <c r="Y378" s="3" t="str">
        <f t="shared" si="70"/>
        <v>Homo%</v>
      </c>
      <c r="Z378" s="3">
        <f t="shared" si="70"/>
        <v>19.899999999999999</v>
      </c>
      <c r="AA378" s="3">
        <f t="shared" si="70"/>
        <v>0.5</v>
      </c>
      <c r="AB378" s="3">
        <f t="shared" si="70"/>
        <v>4.7</v>
      </c>
    </row>
    <row r="379" spans="1:61">
      <c r="A379" s="14"/>
      <c r="J379" s="3" t="str">
        <f t="shared" si="69"/>
        <v>Wildtype%</v>
      </c>
      <c r="K379" s="3">
        <f t="shared" si="69"/>
        <v>57.3</v>
      </c>
      <c r="L379" s="3">
        <f t="shared" si="69"/>
        <v>3.9</v>
      </c>
      <c r="M379" s="3">
        <f t="shared" si="69"/>
        <v>1.6</v>
      </c>
      <c r="N379" s="21">
        <f t="shared" si="69"/>
        <v>50.5</v>
      </c>
      <c r="O379" s="21">
        <f t="shared" si="69"/>
        <v>50.1</v>
      </c>
      <c r="P379" s="14"/>
      <c r="Q379" s="15"/>
      <c r="Y379" s="3" t="str">
        <f t="shared" si="70"/>
        <v>Wildtype%</v>
      </c>
      <c r="Z379" s="3">
        <f t="shared" si="70"/>
        <v>37.1</v>
      </c>
      <c r="AA379" s="3">
        <f t="shared" si="70"/>
        <v>97.8</v>
      </c>
      <c r="AB379" s="3">
        <f t="shared" si="70"/>
        <v>79.5</v>
      </c>
    </row>
    <row r="380" spans="1:61">
      <c r="A380" s="14"/>
      <c r="C380" s="3" t="s">
        <v>26</v>
      </c>
      <c r="P380" s="14"/>
      <c r="Q380" s="15"/>
    </row>
    <row r="381" spans="1:61">
      <c r="A381" s="14"/>
      <c r="P381" s="14"/>
      <c r="Q381" s="15"/>
    </row>
    <row r="382" spans="1:61">
      <c r="A382" s="14"/>
      <c r="C382" s="3" t="str">
        <f>CONCATENATE("    ",B373)</f>
        <v xml:space="preserve">    People with this variant have one copy of the [A27468610G](https://www.ncbi.nlm.nih.gov/projects/SNP/snp_ref.cgi?rs=2741343) and [A373G (p.Thr125Ala)](https://www.ncbi.nlm.nih.gov/clinvar/variation/128739/) variants. This substitution of a single nucleotide is known as a missense mutation.</v>
      </c>
      <c r="P382" s="14"/>
      <c r="Q382" s="15"/>
    </row>
    <row r="383" spans="1:61">
      <c r="A383" s="14"/>
      <c r="P383" s="14"/>
      <c r="Q383" s="15"/>
    </row>
    <row r="384" spans="1:61">
      <c r="A384" s="26"/>
      <c r="C384" s="3" t="s">
        <v>29</v>
      </c>
      <c r="P384" s="26"/>
      <c r="Q384" s="15"/>
    </row>
    <row r="385" spans="1:28">
      <c r="A385" s="26"/>
      <c r="P385" s="26"/>
      <c r="Q385" s="15"/>
    </row>
    <row r="386" spans="1:28">
      <c r="A386" s="26"/>
      <c r="C386" s="3" t="str">
        <f>CONCATENATE(B374)</f>
        <v xml:space="preserve">    There is currently no data on the interaction between these variants.  However, some information exists on the individual variants.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is the effect of A7783504C?
A7783504C was found was found in [71.4% of ME/CFS patients](https://www.ncbi.nlm.nih.gov/pubmed/26859813), compared with 2.6%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c r="P386" s="26"/>
      <c r="Q386" s="15"/>
    </row>
    <row r="387" spans="1:28">
      <c r="A387" s="26"/>
      <c r="P387" s="26"/>
      <c r="Q387" s="15"/>
    </row>
    <row r="388" spans="1:28">
      <c r="A388" s="26"/>
      <c r="C388" s="3" t="s">
        <v>30</v>
      </c>
      <c r="P388" s="26"/>
      <c r="Q388" s="15"/>
    </row>
    <row r="389" spans="1:28">
      <c r="A389" s="26"/>
      <c r="P389" s="26"/>
      <c r="Q389" s="15"/>
    </row>
    <row r="390" spans="1:28">
      <c r="A390" s="26"/>
      <c r="C390" s="3" t="str">
        <f>CONCATENATE( "    &lt;# piechart percentage=",B375," / #&gt;")</f>
        <v xml:space="preserve">    &lt;# piechart percentage= / #&gt;</v>
      </c>
      <c r="P390" s="26"/>
      <c r="Q390" s="15"/>
    </row>
    <row r="391" spans="1:28">
      <c r="A391" s="26"/>
      <c r="C391" s="3" t="str">
        <f>"  &lt;/Analysis&gt;"</f>
        <v xml:space="preserve">  &lt;/Analysis&gt;</v>
      </c>
      <c r="K391" s="3" t="str">
        <f>K215</f>
        <v>rs6691840 TT</v>
      </c>
      <c r="L391" s="3" t="str">
        <f>L215</f>
        <v>rs3913434 CC</v>
      </c>
      <c r="M391" s="3" t="str">
        <f>M215</f>
        <v>rs270838 CC</v>
      </c>
      <c r="P391" s="26"/>
      <c r="Q391" s="15"/>
      <c r="Z391" s="3">
        <f t="shared" ref="Z391:AB391" si="71">Z215</f>
        <v>0</v>
      </c>
      <c r="AA391" s="3">
        <f t="shared" si="71"/>
        <v>0</v>
      </c>
      <c r="AB391" s="3">
        <f t="shared" si="71"/>
        <v>0</v>
      </c>
    </row>
    <row r="392" spans="1:28" s="21" customFormat="1">
      <c r="A392" s="28" t="s">
        <v>69</v>
      </c>
      <c r="B392" s="20" t="s">
        <v>83</v>
      </c>
      <c r="C392" s="21" t="str">
        <f>CONCATENATE("&lt;# ",B392," #&gt;")</f>
        <v>&lt;# Wild type #&gt;</v>
      </c>
      <c r="K392" s="21" t="str">
        <f t="shared" ref="K392:M393" si="72">K238</f>
        <v>C65T</v>
      </c>
      <c r="L392" s="21" t="str">
        <f t="shared" si="72"/>
        <v>A27468610G</v>
      </c>
      <c r="M392" s="21" t="str">
        <f t="shared" si="72"/>
        <v>A373G</v>
      </c>
      <c r="N392" s="21" t="str">
        <f t="shared" ref="N392:O392" si="73">N370</f>
        <v>T836A</v>
      </c>
      <c r="O392" s="21" t="str">
        <f t="shared" si="73"/>
        <v>T889A</v>
      </c>
      <c r="P392" s="28" t="s">
        <v>69</v>
      </c>
      <c r="Q392" s="20" t="s">
        <v>83</v>
      </c>
      <c r="R392" s="21" t="str">
        <f>CONCATENATE("&lt;# ",Q392," #&gt;")</f>
        <v>&lt;# Wild type #&gt;</v>
      </c>
      <c r="Z392" s="21" t="str">
        <f t="shared" ref="Z392:AB393" si="74">Z238</f>
        <v>T836A</v>
      </c>
      <c r="AA392" s="21" t="str">
        <f t="shared" si="74"/>
        <v>T889A</v>
      </c>
      <c r="AB392" s="21">
        <f t="shared" si="74"/>
        <v>0</v>
      </c>
    </row>
    <row r="393" spans="1:28">
      <c r="A393" s="14" t="s">
        <v>21</v>
      </c>
      <c r="B393" s="15" t="str">
        <f>K97</f>
        <v>NC_000008.10:g.[27328511=];[27328511=]</v>
      </c>
      <c r="K393" s="3" t="str">
        <f t="shared" si="72"/>
        <v>NC_000008.10:g.</v>
      </c>
      <c r="L393" s="3" t="str">
        <f t="shared" si="72"/>
        <v>NC_000008.10:g.</v>
      </c>
      <c r="M393" s="3" t="str">
        <f t="shared" si="72"/>
        <v>NC_000008.10:g.</v>
      </c>
      <c r="N393" s="21" t="str">
        <f t="shared" ref="N393:O393" si="75">N371</f>
        <v>NC_000008.10:g.</v>
      </c>
      <c r="O393" s="21" t="str">
        <f t="shared" si="75"/>
        <v>NC_000006.11:g.</v>
      </c>
      <c r="P393" s="14" t="s">
        <v>21</v>
      </c>
      <c r="Q393" s="15" t="str">
        <f>Z97</f>
        <v>NC_000008.10:g.[27321124=];[27321124=]</v>
      </c>
      <c r="Z393" s="3" t="str">
        <f t="shared" si="74"/>
        <v>NC_000008.10:g.</v>
      </c>
      <c r="AA393" s="3" t="str">
        <f t="shared" si="74"/>
        <v>NC_000006.11:g.</v>
      </c>
      <c r="AB393" s="3">
        <f t="shared" si="74"/>
        <v>0</v>
      </c>
    </row>
    <row r="394" spans="1:28">
      <c r="A394" s="14" t="s">
        <v>71</v>
      </c>
      <c r="B394" s="15" t="str">
        <f>L97</f>
        <v>NC_000008.10:g.[27326127=];[27326127=]</v>
      </c>
      <c r="C394" s="3" t="str">
        <f>CONCATENATE("  &lt;Analysis name=",CHAR(34),B392,CHAR(34))</f>
        <v xml:space="preserve">  &lt;Analysis name="Wild type"</v>
      </c>
      <c r="J394" s="3" t="str">
        <f t="shared" ref="J394:M401" si="76">J240</f>
        <v>Variant</v>
      </c>
      <c r="K394" s="3" t="str">
        <f t="shared" si="76"/>
        <v>[27328511G&gt;A]</v>
      </c>
      <c r="L394" s="3" t="str">
        <f t="shared" si="76"/>
        <v>[27326127A&gt;G]</v>
      </c>
      <c r="M394" s="3" t="str">
        <f t="shared" si="76"/>
        <v>[27324822T&gt;C]</v>
      </c>
      <c r="N394" s="21" t="str">
        <f t="shared" ref="N394:O394" si="77">N372</f>
        <v>[27321124A&gt;T]</v>
      </c>
      <c r="O394" s="21" t="str">
        <f t="shared" si="77"/>
        <v>[12727715A&gt;G]</v>
      </c>
      <c r="P394" s="14" t="s">
        <v>71</v>
      </c>
      <c r="Q394" s="15" t="str">
        <f>AA97</f>
        <v>NC_000006.11:g.[12727715=];[12727715=]</v>
      </c>
      <c r="R394" s="3" t="str">
        <f>CONCATENATE("  &lt;Analysis name=",CHAR(34),Q392,CHAR(34))</f>
        <v xml:space="preserve">  &lt;Analysis name="Wild type"</v>
      </c>
      <c r="Y394" s="3" t="str">
        <f t="shared" ref="Y394:AB401" si="78">Y240</f>
        <v>Variant</v>
      </c>
      <c r="Z394" s="3" t="str">
        <f t="shared" si="78"/>
        <v>[27321124A&gt;T]</v>
      </c>
      <c r="AA394" s="3" t="str">
        <f t="shared" si="78"/>
        <v>[12727715A&gt;G]</v>
      </c>
      <c r="AB394" s="3">
        <f t="shared" si="78"/>
        <v>0</v>
      </c>
    </row>
    <row r="395" spans="1:28">
      <c r="A395" s="26" t="s">
        <v>74</v>
      </c>
      <c r="B395" s="15" t="str">
        <f>CONCATENATE("Your ",B12," gene has no variants. A normal gene is referred to as a ",CHAR(34),"wild-type",CHAR(34)," gene.")</f>
        <v>Your CHRNA2 gene has no variants. A normal gene is referred to as a "wild-type" gene.</v>
      </c>
      <c r="C395" s="3" t="str">
        <f>CONCATENATE("            case={  ",CHAR(40),"variantCall ",CHAR(40),CHAR(34),L396,CHAR(34),CHAR(41)," or variantCall ",CHAR(40),CHAR(34),L398,CHAR(34),CHAR(41),CHAR(41))</f>
        <v xml:space="preserve">            case={  (variantCall ("NC_000008.10:g.[27326127A&gt;G];[27326127=]") or variantCall ("NC_000008.10:g.[27326127=];[27326127=]"))</v>
      </c>
      <c r="J395" s="3" t="str">
        <f t="shared" si="76"/>
        <v>Wildtype</v>
      </c>
      <c r="K395" s="3" t="str">
        <f t="shared" si="76"/>
        <v>[27328511=]</v>
      </c>
      <c r="L395" s="3" t="str">
        <f t="shared" si="76"/>
        <v>[27326127=]</v>
      </c>
      <c r="M395" s="3" t="str">
        <f t="shared" si="76"/>
        <v>[27324822=]</v>
      </c>
      <c r="N395" s="21" t="str">
        <f t="shared" ref="N395:O395" si="79">N373</f>
        <v>[27321124=]</v>
      </c>
      <c r="O395" s="21" t="str">
        <f t="shared" si="79"/>
        <v>[12727715=]</v>
      </c>
      <c r="P395" s="26" t="s">
        <v>74</v>
      </c>
      <c r="Q395" s="15" t="str">
        <f>CONCATENATE("Your ",Q12," gene has no variants. A normal gene is referred to as a ",CHAR(34),"wild-type",CHAR(34)," gene.")</f>
        <v>Your  gene has no variants. A normal gene is referred to as a "wild-type" gene.</v>
      </c>
      <c r="R395" s="3" t="str">
        <f>CONCATENATE("            case={  variantCall ",CHAR(40),CHAR(34),Q393,CHAR(34),CHAR(41))</f>
        <v xml:space="preserve">            case={  variantCall ("NC_000008.10:g.[27321124=];[27321124=]")</v>
      </c>
      <c r="Y395" s="3" t="str">
        <f t="shared" si="78"/>
        <v>Wildtype</v>
      </c>
      <c r="Z395" s="3" t="str">
        <f t="shared" si="78"/>
        <v>[27321124=]</v>
      </c>
      <c r="AA395" s="3" t="str">
        <f t="shared" si="78"/>
        <v>[12727715=]</v>
      </c>
      <c r="AB395" s="3">
        <f t="shared" si="78"/>
        <v>0</v>
      </c>
    </row>
    <row r="396" spans="1:28">
      <c r="A396" s="26" t="s">
        <v>28</v>
      </c>
      <c r="C396" s="3" t="s">
        <v>70</v>
      </c>
      <c r="J396" s="3" t="str">
        <f t="shared" si="76"/>
        <v>Het</v>
      </c>
      <c r="K396" s="3" t="str">
        <f t="shared" si="76"/>
        <v>NC_000008.10:g.[27328511G&gt;A];[27328511=]</v>
      </c>
      <c r="L396" s="3" t="str">
        <f t="shared" si="76"/>
        <v>NC_000008.10:g.[27326127A&gt;G];[27326127=]</v>
      </c>
      <c r="M396" s="3" t="str">
        <f t="shared" si="76"/>
        <v>NC_000008.10:g.[27324822T&gt;C];[27324822=]</v>
      </c>
      <c r="N396" s="21" t="str">
        <f t="shared" ref="N396:O396" si="80">N374</f>
        <v>NC_000008.10:g.[27321124A&gt;T];[27321124=]</v>
      </c>
      <c r="O396" s="21" t="str">
        <f t="shared" si="80"/>
        <v>NC_000006.11:g.[12727715A&gt;G];[12727715=]</v>
      </c>
      <c r="P396" s="26" t="s">
        <v>28</v>
      </c>
      <c r="Q396" s="15"/>
      <c r="R396" s="3" t="s">
        <v>70</v>
      </c>
      <c r="Y396" s="3" t="str">
        <f t="shared" si="78"/>
        <v>Het</v>
      </c>
      <c r="Z396" s="3" t="str">
        <f t="shared" si="78"/>
        <v>NC_000008.10:g.[27321124A&gt;T];[27321124=]</v>
      </c>
      <c r="AA396" s="3" t="str">
        <f t="shared" si="78"/>
        <v>NC_000006.11:g.[12727715A&gt;G];[12727715=]</v>
      </c>
      <c r="AB396" s="3" t="str">
        <f t="shared" si="78"/>
        <v>00;0</v>
      </c>
    </row>
    <row r="397" spans="1:28">
      <c r="A397" s="26" t="s">
        <v>72</v>
      </c>
      <c r="C397" s="3" t="str">
        <f>CONCATENATE("                    ",CHAR(40),"variantCall ",CHAR(40),CHAR(34),L396,CHAR(34),CHAR(41)," or variantCall ",CHAR(40),CHAR(34),L398,CHAR(34),CHAR(41),CHAR(41))</f>
        <v xml:space="preserve">                    (variantCall ("NC_000008.10:g.[27326127A&gt;G];[27326127=]") or variantCall ("NC_000008.10:g.[27326127=];[27326127=]"))</v>
      </c>
      <c r="J397" s="3" t="str">
        <f t="shared" si="76"/>
        <v>Homo</v>
      </c>
      <c r="K397" s="3" t="str">
        <f t="shared" si="76"/>
        <v>NC_000008.10:g.[27328511G&gt;A];[27328511G&gt;A]</v>
      </c>
      <c r="L397" s="3" t="str">
        <f t="shared" si="76"/>
        <v>NC_000008.10:g.[27326127A&gt;G];[27326127A&gt;G]</v>
      </c>
      <c r="M397" s="3" t="str">
        <f t="shared" si="76"/>
        <v>NC_000008.10:g.[27324822T&gt;C];[27324822T&gt;C]</v>
      </c>
      <c r="N397" s="21" t="str">
        <f t="shared" ref="N397:O397" si="81">N375</f>
        <v>NC_000008.10:g.[27321124A&gt;T];[27321124A&gt;T]</v>
      </c>
      <c r="O397" s="21" t="str">
        <f t="shared" si="81"/>
        <v>NC_000006.11:g.[12727715A&gt;G];[12727715A&gt;G]</v>
      </c>
      <c r="P397" s="26" t="s">
        <v>72</v>
      </c>
      <c r="Q397" s="15"/>
      <c r="R397" s="3" t="str">
        <f>CONCATENATE("                    ",CHAR(40),"variantCall ",CHAR(40),CHAR(34),AA397,CHAR(34),CHAR(41)," or variantCall ",CHAR(40),CHAR(34),AA398,CHAR(34),CHAR(41),CHAR(41))</f>
        <v xml:space="preserve">                    (variantCall ("NC_000006.11:g.[12727715A&gt;G];[12727715A&gt;G]") or variantCall ("NC_000006.11:g.[12727715=];[12727715=]"))</v>
      </c>
      <c r="Y397" s="3" t="str">
        <f t="shared" si="78"/>
        <v>Homo</v>
      </c>
      <c r="Z397" s="3" t="str">
        <f t="shared" si="78"/>
        <v>NC_000008.10:g.[27321124A&gt;T];[27321124A&gt;T]</v>
      </c>
      <c r="AA397" s="3" t="str">
        <f t="shared" si="78"/>
        <v>NC_000006.11:g.[12727715A&gt;G];[12727715A&gt;G]</v>
      </c>
      <c r="AB397" s="3" t="str">
        <f t="shared" si="78"/>
        <v>00;0</v>
      </c>
    </row>
    <row r="398" spans="1:28">
      <c r="A398" s="26"/>
      <c r="C398" s="3" t="s">
        <v>70</v>
      </c>
      <c r="J398" s="3" t="str">
        <f t="shared" si="76"/>
        <v>Wildtype</v>
      </c>
      <c r="K398" s="3" t="str">
        <f t="shared" si="76"/>
        <v>NC_000008.10:g.[27328511=];[27328511=]</v>
      </c>
      <c r="L398" s="3" t="str">
        <f t="shared" si="76"/>
        <v>NC_000008.10:g.[27326127=];[27326127=]</v>
      </c>
      <c r="M398" s="3" t="str">
        <f t="shared" si="76"/>
        <v>NC_000008.10:g.[27324822=];[27324822=]</v>
      </c>
      <c r="N398" s="21" t="str">
        <f t="shared" ref="N398:O398" si="82">N376</f>
        <v>NC_000008.10:g.[27321124=];[27321124=]</v>
      </c>
      <c r="O398" s="21" t="str">
        <f t="shared" si="82"/>
        <v>NC_000006.11:g.[12727715=];[12727715=]</v>
      </c>
      <c r="P398" s="26"/>
      <c r="Q398" s="15"/>
      <c r="R398" s="3" t="s">
        <v>70</v>
      </c>
      <c r="Y398" s="3" t="str">
        <f t="shared" si="78"/>
        <v>Wildtype</v>
      </c>
      <c r="Z398" s="3" t="str">
        <f t="shared" si="78"/>
        <v>NC_000008.10:g.[27321124=];[27321124=]</v>
      </c>
      <c r="AA398" s="3" t="str">
        <f t="shared" si="78"/>
        <v>NC_000006.11:g.[12727715=];[12727715=]</v>
      </c>
      <c r="AB398" s="3" t="str">
        <f t="shared" si="78"/>
        <v>00;0</v>
      </c>
    </row>
    <row r="399" spans="1:28">
      <c r="A399" s="26"/>
      <c r="C399" s="3" t="str">
        <f>CONCATENATE("                    ",CHAR(40),"variantCall ",CHAR(40),CHAR(34),M396,CHAR(34),CHAR(41)," or variantCall ",CHAR(40),CHAR(34),M398,CHAR(34),CHAR(41),CHAR(41))</f>
        <v xml:space="preserve">                    (variantCall ("NC_000008.10:g.[27324822T&gt;C];[27324822=]") or variantCall ("NC_000008.10:g.[27324822=];[27324822=]"))</v>
      </c>
      <c r="J399" s="3" t="str">
        <f t="shared" si="76"/>
        <v>Het%</v>
      </c>
      <c r="K399" s="3">
        <f t="shared" si="76"/>
        <v>27.5</v>
      </c>
      <c r="L399" s="3">
        <f t="shared" si="76"/>
        <v>48</v>
      </c>
      <c r="M399" s="3">
        <f t="shared" si="76"/>
        <v>49.8</v>
      </c>
      <c r="N399" s="21">
        <f t="shared" ref="N399:O399" si="83">N377</f>
        <v>35.4</v>
      </c>
      <c r="O399" s="21">
        <f t="shared" si="83"/>
        <v>35.6</v>
      </c>
      <c r="P399" s="26"/>
      <c r="Q399" s="15"/>
      <c r="R399" s="3" t="str">
        <f>CONCATENATE("                    ",CHAR(40),"variantCall ",CHAR(40),CHAR(34),AB397,CHAR(34),CHAR(41)," or variantCall ",CHAR(40),CHAR(34),AB398,CHAR(34),CHAR(41),CHAR(41))</f>
        <v xml:space="preserve">                    (variantCall ("00;0") or variantCall ("00;0"))</v>
      </c>
      <c r="Y399" s="3" t="str">
        <f t="shared" si="78"/>
        <v>Het%</v>
      </c>
      <c r="Z399" s="3">
        <f t="shared" si="78"/>
        <v>43</v>
      </c>
      <c r="AA399" s="3">
        <f t="shared" si="78"/>
        <v>1.8</v>
      </c>
      <c r="AB399" s="3">
        <f t="shared" si="78"/>
        <v>15.8</v>
      </c>
    </row>
    <row r="400" spans="1:28">
      <c r="A400" s="26"/>
      <c r="C400" s="3" t="s">
        <v>70</v>
      </c>
      <c r="J400" s="3" t="str">
        <f t="shared" si="76"/>
        <v>Homo%</v>
      </c>
      <c r="K400" s="3">
        <f t="shared" si="76"/>
        <v>15.2</v>
      </c>
      <c r="L400" s="3">
        <f t="shared" si="76"/>
        <v>48.1</v>
      </c>
      <c r="M400" s="3">
        <f t="shared" si="76"/>
        <v>48.6</v>
      </c>
      <c r="N400" s="21">
        <f t="shared" ref="N400:O400" si="84">N378</f>
        <v>14.1</v>
      </c>
      <c r="O400" s="21">
        <f t="shared" si="84"/>
        <v>14.3</v>
      </c>
      <c r="P400" s="26"/>
      <c r="Q400" s="15"/>
      <c r="R400" s="3" t="str">
        <f>CONCATENATE("                  } &gt; ")</f>
        <v xml:space="preserve">                  } &gt; </v>
      </c>
      <c r="Y400" s="3" t="str">
        <f t="shared" si="78"/>
        <v>Homo%</v>
      </c>
      <c r="Z400" s="3">
        <f t="shared" si="78"/>
        <v>19.899999999999999</v>
      </c>
      <c r="AA400" s="3">
        <f t="shared" si="78"/>
        <v>0.5</v>
      </c>
      <c r="AB400" s="3">
        <f t="shared" si="78"/>
        <v>4.7</v>
      </c>
    </row>
    <row r="401" spans="1:61">
      <c r="A401" s="14"/>
      <c r="C401" s="3" t="str">
        <f>CONCATENATE("                    ",CHAR(40),"variantCall ",CHAR(40),CHAR(34),N396,CHAR(34),CHAR(41)," or variantCall ",CHAR(40),CHAR(34),N398,CHAR(34),CHAR(41),CHAR(41))</f>
        <v xml:space="preserve">                    (variantCall ("NC_000008.10:g.[27321124A&gt;T];[27321124=]") or variantCall ("NC_000008.10:g.[27321124=];[27321124=]"))</v>
      </c>
      <c r="J401" s="3" t="str">
        <f t="shared" si="76"/>
        <v>Wildtype%</v>
      </c>
      <c r="K401" s="3">
        <f t="shared" si="76"/>
        <v>57.3</v>
      </c>
      <c r="L401" s="3">
        <f t="shared" si="76"/>
        <v>3.9</v>
      </c>
      <c r="M401" s="3">
        <f t="shared" si="76"/>
        <v>1.6</v>
      </c>
      <c r="N401" s="21">
        <f t="shared" ref="N401:O401" si="85">N379</f>
        <v>50.5</v>
      </c>
      <c r="O401" s="21">
        <f t="shared" si="85"/>
        <v>50.1</v>
      </c>
      <c r="P401" s="14"/>
      <c r="Q401" s="15"/>
      <c r="Y401" s="3" t="str">
        <f t="shared" si="78"/>
        <v>Wildtype%</v>
      </c>
      <c r="Z401" s="3">
        <f t="shared" si="78"/>
        <v>37.1</v>
      </c>
      <c r="AA401" s="3">
        <f t="shared" si="78"/>
        <v>97.8</v>
      </c>
      <c r="AB401" s="3">
        <f t="shared" si="78"/>
        <v>79.5</v>
      </c>
    </row>
    <row r="402" spans="1:61">
      <c r="A402" s="14"/>
      <c r="C402" s="3" t="s">
        <v>70</v>
      </c>
      <c r="N402" s="21"/>
      <c r="O402" s="21"/>
      <c r="P402" s="14"/>
      <c r="Q402" s="15"/>
    </row>
    <row r="403" spans="1:61">
      <c r="A403" s="14"/>
      <c r="C403" s="3" t="str">
        <f>CONCATENATE("                    ",CHAR(40),"variantCall ",CHAR(40),CHAR(34),O396,CHAR(34),CHAR(41)," or variantCall ",CHAR(40),CHAR(34),O398,CHAR(34),CHAR(41),CHAR(41))</f>
        <v xml:space="preserve">                    (variantCall ("NC_000006.11:g.[12727715A&gt;G];[12727715=]") or variantCall ("NC_000006.11:g.[12727715=];[12727715=]"))</v>
      </c>
      <c r="N403" s="21"/>
      <c r="O403" s="21"/>
      <c r="P403" s="14"/>
      <c r="Q403" s="15"/>
    </row>
    <row r="404" spans="1:61">
      <c r="A404" s="14"/>
      <c r="C404" s="3" t="str">
        <f>CONCATENATE("                  } &gt; ")</f>
        <v xml:space="preserve">                  } &gt; </v>
      </c>
      <c r="N404" s="21"/>
      <c r="O404" s="21"/>
      <c r="P404" s="14"/>
      <c r="Q404" s="15"/>
    </row>
    <row r="405" spans="1:61">
      <c r="A405" s="14"/>
      <c r="N405" s="21"/>
      <c r="O405" s="21"/>
      <c r="P405" s="14"/>
      <c r="Q405" s="15"/>
    </row>
    <row r="406" spans="1:61" s="21" customFormat="1">
      <c r="A406" s="14"/>
      <c r="B406" s="15"/>
      <c r="C406" s="3" t="s">
        <v>26</v>
      </c>
      <c r="D406" s="3"/>
      <c r="E406" s="3"/>
      <c r="F406" s="3"/>
      <c r="G406" s="3"/>
      <c r="H406" s="3"/>
      <c r="I406" s="3"/>
      <c r="J406" s="3"/>
      <c r="K406" s="3"/>
      <c r="L406" s="3"/>
      <c r="M406" s="3"/>
      <c r="N406" s="3"/>
      <c r="O406" s="3"/>
      <c r="P406" s="14"/>
      <c r="Q406" s="15"/>
      <c r="R406" s="3" t="s">
        <v>26</v>
      </c>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row>
    <row r="407" spans="1:61">
      <c r="A407" s="14"/>
      <c r="P407" s="14"/>
      <c r="Q407" s="15"/>
    </row>
    <row r="408" spans="1:61">
      <c r="A408" s="26"/>
      <c r="C408" s="3" t="str">
        <f>CONCATENATE("    ",B395)</f>
        <v xml:space="preserve">    Your CHRNA2 gene has no variants. A normal gene is referred to as a "wild-type" gene.</v>
      </c>
      <c r="P408" s="26"/>
      <c r="Q408" s="15"/>
      <c r="R408" s="3" t="str">
        <f>CONCATENATE("    ",Q395)</f>
        <v xml:space="preserve">    Your  gene has no variants. A normal gene is referred to as a "wild-type" gene.</v>
      </c>
    </row>
    <row r="409" spans="1:61">
      <c r="A409" s="26"/>
      <c r="P409" s="26"/>
      <c r="Q409" s="15"/>
    </row>
    <row r="410" spans="1:61">
      <c r="A410" s="26"/>
      <c r="C410" s="3" t="s">
        <v>30</v>
      </c>
      <c r="P410" s="26"/>
      <c r="Q410" s="15"/>
      <c r="R410" s="3" t="s">
        <v>30</v>
      </c>
    </row>
    <row r="411" spans="1:61">
      <c r="A411" s="26"/>
      <c r="P411" s="26"/>
      <c r="Q411" s="15"/>
    </row>
    <row r="412" spans="1:61">
      <c r="A412" s="26"/>
      <c r="C412" s="3" t="str">
        <f>CONCATENATE( "    &lt;# piechart percentage=",B393," / #&gt;")</f>
        <v xml:space="preserve">    &lt;# piechart percentage=NC_000008.10:g.[27328511=];[27328511=] / #&gt;</v>
      </c>
      <c r="P412" s="26"/>
      <c r="Q412" s="15"/>
      <c r="R412" s="3" t="str">
        <f>CONCATENATE( "    &lt;piechart percentage=",Q397," /&gt;")</f>
        <v xml:space="preserve">    &lt;piechart percentage= /&gt;</v>
      </c>
    </row>
    <row r="413" spans="1:61">
      <c r="A413" s="26"/>
      <c r="C413" s="3" t="str">
        <f>"  &lt;/Analysis&gt;"</f>
        <v xml:space="preserve">  &lt;/Analysis&gt;</v>
      </c>
      <c r="P413" s="26"/>
      <c r="Q413" s="15"/>
      <c r="R413" s="3" t="str">
        <f>"  &lt;/Analysis&gt;"</f>
        <v xml:space="preserve">  &lt;/Analysis&gt;</v>
      </c>
    </row>
    <row r="414" spans="1:61">
      <c r="A414" s="28" t="s">
        <v>69</v>
      </c>
      <c r="B414" s="20" t="s">
        <v>84</v>
      </c>
      <c r="C414" s="21" t="str">
        <f>CONCATENATE("&lt;# ",B414," #&gt;")</f>
        <v>&lt;# Unknown #&gt;</v>
      </c>
      <c r="D414" s="21"/>
      <c r="E414" s="21"/>
      <c r="F414" s="21"/>
      <c r="G414" s="21"/>
      <c r="H414" s="21"/>
      <c r="I414" s="21"/>
      <c r="J414" s="21"/>
      <c r="K414" s="21"/>
      <c r="L414" s="21"/>
      <c r="M414" s="21"/>
      <c r="N414" s="21"/>
      <c r="O414" s="21"/>
      <c r="P414" s="28" t="s">
        <v>69</v>
      </c>
      <c r="Q414" s="20" t="s">
        <v>84</v>
      </c>
      <c r="R414" s="21" t="str">
        <f>CONCATENATE("&lt;# ",Q414," #&gt;")</f>
        <v>&lt;# Unknown #&gt;</v>
      </c>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row>
    <row r="415" spans="1:61">
      <c r="A415" s="14" t="s">
        <v>21</v>
      </c>
      <c r="B415" s="15" t="str">
        <f>K119</f>
        <v>[27328511G&gt;A]</v>
      </c>
      <c r="P415" s="14" t="s">
        <v>21</v>
      </c>
      <c r="Q415" s="15" t="str">
        <f>Z119</f>
        <v>[27321124A&gt;T]</v>
      </c>
    </row>
    <row r="416" spans="1:61">
      <c r="A416" s="14" t="s">
        <v>71</v>
      </c>
      <c r="C416" s="3" t="str">
        <f>CONCATENATE("  &lt;Analysis name=",CHAR(34),B414,CHAR(34), " case=true&gt;")</f>
        <v xml:space="preserve">  &lt;Analysis name="Unknown" case=true&gt;</v>
      </c>
      <c r="P416" s="14" t="s">
        <v>71</v>
      </c>
      <c r="Q416" s="15"/>
      <c r="R416" s="3" t="str">
        <f>CONCATENATE("  &lt;Analysis name=",CHAR(34),Q414,CHAR(34), " case=true&gt;")</f>
        <v xml:space="preserve">  &lt;Analysis name="Unknown" case=true&gt;</v>
      </c>
    </row>
    <row r="417" spans="1:61">
      <c r="A417" s="26" t="s">
        <v>74</v>
      </c>
      <c r="B417" s="15" t="s">
        <v>31</v>
      </c>
      <c r="P417" s="26" t="s">
        <v>74</v>
      </c>
      <c r="Q417" s="15" t="s">
        <v>31</v>
      </c>
    </row>
    <row r="418" spans="1:61">
      <c r="A418" s="26" t="s">
        <v>72</v>
      </c>
      <c r="C418" s="3" t="s">
        <v>26</v>
      </c>
      <c r="P418" s="26" t="s">
        <v>72</v>
      </c>
      <c r="Q418" s="15">
        <v>0</v>
      </c>
      <c r="R418" s="3" t="s">
        <v>26</v>
      </c>
    </row>
    <row r="419" spans="1:61" s="21" customFormat="1">
      <c r="A419" s="26"/>
      <c r="B419" s="15"/>
      <c r="C419" s="3"/>
      <c r="D419" s="3"/>
      <c r="E419" s="3"/>
      <c r="F419" s="3"/>
      <c r="G419" s="3"/>
      <c r="H419" s="3"/>
      <c r="I419" s="3"/>
      <c r="J419" s="3"/>
      <c r="K419" s="3"/>
      <c r="L419" s="3"/>
      <c r="M419" s="3"/>
      <c r="N419" s="3"/>
      <c r="O419" s="3"/>
      <c r="P419" s="26"/>
      <c r="Q419" s="15"/>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row>
    <row r="420" spans="1:61">
      <c r="A420" s="14"/>
      <c r="C420" s="3" t="str">
        <f>CONCATENATE("    ",B417)</f>
        <v xml:space="preserve">    The effect is unknown.</v>
      </c>
      <c r="P420" s="14"/>
      <c r="Q420" s="15"/>
      <c r="R420" s="3" t="str">
        <f>CONCATENATE("    ",Q417)</f>
        <v xml:space="preserve">    The effect is unknown.</v>
      </c>
    </row>
    <row r="421" spans="1:61">
      <c r="A421" s="14"/>
      <c r="P421" s="14"/>
      <c r="Q421" s="15"/>
    </row>
    <row r="422" spans="1:61">
      <c r="A422" s="26"/>
      <c r="C422" s="3" t="str">
        <f>"  &lt;/Analysis&gt;"</f>
        <v xml:space="preserve">  &lt;/Analysis&gt;</v>
      </c>
      <c r="P422" s="26"/>
      <c r="Q422" s="15"/>
      <c r="R422" s="3" t="str">
        <f>"  &lt;/Analysis&gt;"</f>
        <v xml:space="preserve">  &lt;/Analysis&gt;</v>
      </c>
    </row>
    <row r="423" spans="1:61">
      <c r="A423" s="14"/>
      <c r="C423" s="31" t="s">
        <v>369</v>
      </c>
      <c r="P423" s="14"/>
      <c r="Q423" s="15"/>
      <c r="R423" s="31" t="s">
        <v>369</v>
      </c>
    </row>
    <row r="424" spans="1:61">
      <c r="A424" s="19"/>
      <c r="B424" s="20"/>
      <c r="C424" s="35"/>
      <c r="D424" s="21"/>
      <c r="E424" s="21"/>
      <c r="F424" s="21"/>
      <c r="G424" s="21"/>
      <c r="H424" s="21"/>
      <c r="I424" s="21"/>
      <c r="J424" s="21"/>
      <c r="K424" s="21"/>
      <c r="L424" s="21"/>
      <c r="M424" s="21"/>
      <c r="N424" s="21"/>
      <c r="O424" s="21"/>
      <c r="P424" s="19"/>
      <c r="Q424" s="20"/>
      <c r="R424" s="35"/>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row>
    <row r="425" spans="1:61">
      <c r="A425" s="14" t="s">
        <v>77</v>
      </c>
      <c r="B425" s="15" t="s">
        <v>347</v>
      </c>
      <c r="C425" s="10" t="str">
        <f>CONCATENATE("&lt;# ",A425," ",B425," #&gt;")</f>
        <v>&lt;# Tissues male tissue; brain; #&gt;</v>
      </c>
      <c r="P425" s="14" t="s">
        <v>77</v>
      </c>
      <c r="Q425" s="15" t="s">
        <v>123</v>
      </c>
      <c r="R425" s="10" t="str">
        <f>CONCATENATE("&lt;# ",P425," ",Q425," #&gt;")</f>
        <v>&lt;# Tissues brain D001921 #&gt;</v>
      </c>
    </row>
    <row r="426" spans="1:61">
      <c r="A426" s="14"/>
      <c r="P426" s="14"/>
      <c r="Q426" s="15"/>
    </row>
    <row r="427" spans="1:61">
      <c r="A427" s="14"/>
      <c r="B427" s="15" t="s">
        <v>348</v>
      </c>
      <c r="C427" s="31" t="str">
        <f>CONCATENATE("&lt;TopicBar ",B427," /&gt;")</f>
        <v>&lt;TopicBar male-tissue brain /&gt;</v>
      </c>
      <c r="P427" s="14"/>
      <c r="Q427" s="15" t="s">
        <v>124</v>
      </c>
      <c r="R427" s="31" t="str">
        <f>CONCATENATE("&lt;TopicBar ",Q427," /&gt;")</f>
        <v>&lt;TopicBar brain /&gt;</v>
      </c>
    </row>
    <row r="428" spans="1:61">
      <c r="A428" s="14"/>
      <c r="P428" s="14"/>
      <c r="Q428" s="15"/>
    </row>
    <row r="429" spans="1:61">
      <c r="A429" s="14" t="s">
        <v>32</v>
      </c>
      <c r="B429" s="15" t="s">
        <v>349</v>
      </c>
      <c r="C429" s="10" t="str">
        <f>CONCATENATE("&lt;# ",A429," ",B429," #&gt;")</f>
        <v>&lt;# Symptoms anxiety D001007 inflammation D007249 #&gt;</v>
      </c>
      <c r="P429" s="14" t="s">
        <v>32</v>
      </c>
      <c r="Q429" s="15" t="s">
        <v>119</v>
      </c>
      <c r="R429" s="10" t="str">
        <f>CONCATENATE("&lt;# ",P429," ",Q429," #&gt;")</f>
        <v>&lt;# Symptoms depression, stress, problems with thinking or memory, brain fog, pain #&gt;</v>
      </c>
    </row>
    <row r="430" spans="1:61">
      <c r="A430" s="14"/>
      <c r="P430" s="14"/>
      <c r="Q430" s="15"/>
    </row>
    <row r="431" spans="1:61">
      <c r="A431" s="14"/>
      <c r="B431" s="15" t="s">
        <v>350</v>
      </c>
      <c r="C431" s="31" t="str">
        <f>CONCATENATE("&lt;TopicBar ",B431," /&gt;")</f>
        <v>&lt;TopicBar anxiety inflammation sleep-problems /&gt;</v>
      </c>
      <c r="P431" s="14"/>
      <c r="Q431" s="15" t="s">
        <v>120</v>
      </c>
      <c r="R431" s="31" t="str">
        <f>CONCATENATE("&lt;TopicBar ",Q431," /&gt;")</f>
        <v>&lt;TopicBar mesh_D003863 mesh_D040701 mesh_D008569 mesh_D010146 /&gt;</v>
      </c>
    </row>
    <row r="432" spans="1:61">
      <c r="A432" s="14"/>
      <c r="C432" s="31"/>
      <c r="P432" s="14"/>
      <c r="Q432" s="15"/>
      <c r="R432" s="31"/>
    </row>
    <row r="433" spans="1:61">
      <c r="A433" s="14" t="s">
        <v>48</v>
      </c>
      <c r="B433" s="3" t="s">
        <v>346</v>
      </c>
      <c r="C433" s="10" t="str">
        <f>CONCATENATE("&lt;# ",A433," ",B433," #&gt;")</f>
        <v>&lt;# Diseases epilepsy  D004827; febrile seizures D003294; ME/CFS D015673; nicotine dependency D014029; #&gt;</v>
      </c>
      <c r="P433" s="14" t="s">
        <v>48</v>
      </c>
      <c r="Q433" s="15" t="s">
        <v>121</v>
      </c>
      <c r="R433" s="10" t="str">
        <f>CONCATENATE("&lt;# ",P433," ",Q433," #&gt;")</f>
        <v>&lt;# Diseases schizophrenia D012559; major depressive disorder D003866; ME/CFS D015673;  #&gt;</v>
      </c>
    </row>
    <row r="434" spans="1:61">
      <c r="A434" s="14"/>
      <c r="P434" s="14"/>
      <c r="Q434" s="15"/>
    </row>
    <row r="435" spans="1:61">
      <c r="A435" s="14"/>
      <c r="B435" s="3" t="s">
        <v>351</v>
      </c>
      <c r="C435" s="31" t="str">
        <f>CONCATENATE("&lt;TopicBar ",B435," /&gt;")</f>
        <v>&lt;TopicBar epilepsy seizures ME-CFS nicotine-dependency /&gt;</v>
      </c>
      <c r="P435" s="14"/>
      <c r="Q435" s="15" t="s">
        <v>122</v>
      </c>
      <c r="R435" s="31" t="str">
        <f>CONCATENATE("&lt;TopicBar ",Q435," /&gt;")</f>
        <v>&lt;TopicBar mesh_D012559 mesh_D003866 mesh_D015673 /&gt;</v>
      </c>
    </row>
    <row r="436" spans="1:61">
      <c r="A436" s="14"/>
      <c r="P436" s="14"/>
      <c r="Q436" s="15"/>
    </row>
    <row r="437" spans="1:61">
      <c r="A437" s="28"/>
      <c r="B437" s="20"/>
      <c r="C437" s="21"/>
      <c r="D437" s="21"/>
      <c r="E437" s="21"/>
      <c r="F437" s="21"/>
      <c r="G437" s="21"/>
      <c r="H437" s="21"/>
      <c r="I437" s="21"/>
      <c r="J437" s="21"/>
      <c r="K437" s="21"/>
      <c r="L437" s="21"/>
      <c r="M437" s="21"/>
      <c r="N437" s="21"/>
      <c r="O437" s="21"/>
      <c r="P437" s="28"/>
      <c r="Q437" s="20"/>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row>
    <row r="438" spans="1:61">
      <c r="B438" s="30"/>
    </row>
    <row r="440" spans="1:61">
      <c r="B440" s="30"/>
    </row>
    <row r="442" spans="1:61">
      <c r="B442" s="30"/>
    </row>
    <row r="444" spans="1:61">
      <c r="B444" s="30"/>
    </row>
    <row r="446" spans="1:61">
      <c r="B446" s="3"/>
    </row>
    <row r="448" spans="1:61">
      <c r="B448" s="3"/>
    </row>
    <row r="1120" spans="3:3">
      <c r="C1120" s="3" t="str">
        <f>CONCATENATE("    This variant is a change at a specific point in the ",B1111," gene from ",B1120," to ",B1121," resulting in incorrect ",B1114,"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26" spans="3:3">
      <c r="C1126" s="3" t="str">
        <f>CONCATENATE("    This variant is a change at a specific point in the ",B1111," gene from ",B1126," to ",B1127," resulting in incorrect ",B1114,"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56" spans="3:3">
      <c r="C1256" s="3" t="str">
        <f>CONCATENATE("    This variant is a change at a specific point in the ",B1247," gene from ",B1256," to ",B1257," resulting in incorrect ",B1250,"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62" spans="3:3">
      <c r="C1262" s="3" t="str">
        <f>CONCATENATE("    This variant is a change at a specific point in the ",B1247," gene from ",B1262," to ",B1263," resulting in incorrect ",B1250,"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4" spans="3:3">
      <c r="C1664" s="3" t="str">
        <f>CONCATENATE("    This variant is a change at a specific point in the ",B1655," gene from ",B1664," to ",B1665," resulting in incorrect ",B1658,"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0" spans="3:3">
      <c r="C1670" s="3" t="str">
        <f>CONCATENATE("    This variant is a change at a specific point in the ",B1655," gene from ",B1670," to ",B1671," resulting in incorrect ",B1658,"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0" spans="3:3">
      <c r="C1800" s="3" t="str">
        <f>CONCATENATE("    This variant is a change at a specific point in the ",B1791," gene from ",B1800," to ",B1801," resulting in incorrect ",B1794,"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6" spans="3:3">
      <c r="C1806" s="3" t="str">
        <f>CONCATENATE("    This variant is a change at a specific point in the ",B1791," gene from ",B1806," to ",B1807," resulting in incorrect ",B1794,"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6" spans="3:3">
      <c r="C1936" s="3" t="str">
        <f>CONCATENATE("    This variant is a change at a specific point in the ",B1927," gene from ",B1936," to ",B1937," resulting in incorrect ",B1930,"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2" spans="3:3">
      <c r="C1942" s="3" t="str">
        <f>CONCATENATE("    This variant is a change at a specific point in the ",B1927," gene from ",B1942," to ",B1943," resulting in incorrect ",B1930,"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2" spans="3:3">
      <c r="C2072" s="3" t="str">
        <f>CONCATENATE("    This variant is a change at a specific point in the ",B2063," gene from ",B2072," to ",B2073," resulting in incorrect ",B2066,"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8" spans="3:3">
      <c r="C2078" s="3" t="str">
        <f>CONCATENATE("    This variant is a change at a specific point in the ",B2063," gene from ",B2078," to ",B2079," resulting in incorrect ",B2066,"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8" spans="3:3">
      <c r="C2208" s="3" t="str">
        <f>CONCATENATE("    This variant is a change at a specific point in the ",B2199," gene from ",B2208," to ",B2209," resulting in incorrect ",B2202,"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4" spans="3:3">
      <c r="C2214" s="3" t="str">
        <f>CONCATENATE("    This variant is a change at a specific point in the ",B2199," gene from ",B2214," to ",B2215," resulting in incorrect ",B2202,"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4" spans="3:3">
      <c r="C2344" s="3" t="str">
        <f>CONCATENATE("    This variant is a change at a specific point in the ",B2335," gene from ",B2344," to ",B2345," resulting in incorrect ",B2338,"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0" spans="3:3">
      <c r="C2350" s="3" t="str">
        <f>CONCATENATE("    This variant is a change at a specific point in the ",B2335," gene from ",B2350," to ",B2351," resulting in incorrect ",B2338,"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80" spans="3:3">
      <c r="C2480" s="3" t="str">
        <f>CONCATENATE("    This variant is a change at a specific point in the ",B2471," gene from ",B2480," to ",B2481," resulting in incorrect ",B2474,"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86" spans="3:3">
      <c r="C2486" s="3" t="str">
        <f>CONCATENATE("    This variant is a change at a specific point in the ",B2471," gene from ",B2486," to ",B2487," resulting in incorrect ",B2474,"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16" spans="3:3">
      <c r="C2616" s="3" t="str">
        <f>CONCATENATE("    This variant is a change at a specific point in the ",B2607," gene from ",B2616," to ",B2617," resulting in incorrect ",B2610,"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22" spans="3:3">
      <c r="C2622" s="3" t="str">
        <f>CONCATENATE("    This variant is a change at a specific point in the ",B2607," gene from ",B2622," to ",B2623," resulting in incorrect ",B2610,"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72913-4D6D-48FF-8B0A-1F43D27DCA12}">
  <dimension ref="A1:AJ2510"/>
  <sheetViews>
    <sheetView topLeftCell="A280" workbookViewId="0">
      <selection activeCell="B46" sqref="B46"/>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t="s">
        <v>85</v>
      </c>
      <c r="C2" s="3" t="str">
        <f>CONCATENATE("&lt;",A2," ",B2," /&gt;")</f>
        <v>&lt;Gene_Name GRIK3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86</v>
      </c>
      <c r="C4" s="3" t="str">
        <f>CONCATENATE("&lt;",A4," ",B4," /&gt;")</f>
        <v>&lt;GeneName_full Glutamate receptor ionotropic, kainate 3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GRIK3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87</v>
      </c>
      <c r="C8" s="3" t="str">
        <f>CONCATENATE(B8," This gene is located on chromosome ",B9,".")</f>
        <v>The GRIK3 gene creates a protein that helps form receptors for the neurotransmitter [glutamate](https://www.nimh.nih.gov/health/educational-resources/brain-basics/brain-basics.shtml). It increases the chance neurons will fire and enhances the electrical flow among brain cells, but elevated levels of glutamate are toxic to neurons. Problems creating or absorbing glutamate are linked to ME/CFS, [major](https://www.ncbi.nlm.nih.gov/pubmed/16958029) [depressive disorder](https://www.ncbi.nlm.nih.gov/pubmed/19221446/), [schizophrenia](https://www.ncbi.nlm.nih.gov/pubmed/19921975/), [and memory problems](https://www.nimh.nih.gov/health/educational-resources/brain-basics/brain-basics.shtml). This gene is located on chromosome 1.</v>
      </c>
      <c r="I8" s="17"/>
      <c r="X8" s="18"/>
      <c r="Y8" s="16"/>
      <c r="Z8" s="16"/>
      <c r="AA8" s="16"/>
      <c r="AC8" s="16"/>
    </row>
    <row r="9" spans="1:36">
      <c r="A9" s="14" t="s">
        <v>6</v>
      </c>
      <c r="B9" s="2">
        <v>1</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t="s">
        <v>85</v>
      </c>
      <c r="C12" s="3" t="str">
        <f>CONCATENATE("&lt;GeneMap name= ",CHAR(34),B12,CHAR(34)," interval=",CHAR(34),B13,"=",CHAR(34),"&gt;")</f>
        <v>&lt;GeneMap name= "GRIK3" interval="NC000001_1.11:g.1111_9999="&gt;</v>
      </c>
      <c r="J12" s="23"/>
      <c r="K12" s="23"/>
      <c r="L12" s="23"/>
      <c r="M12" s="23"/>
      <c r="N12" s="23"/>
      <c r="O12" s="24"/>
      <c r="P12" s="25"/>
      <c r="Q12" s="24"/>
      <c r="R12" s="24"/>
      <c r="S12" s="25"/>
      <c r="T12" s="25"/>
      <c r="U12" s="24"/>
      <c r="V12" s="24"/>
      <c r="W12" s="25"/>
      <c r="X12" s="25"/>
      <c r="Y12" s="25"/>
      <c r="Z12" s="25"/>
    </row>
    <row r="13" spans="1:36">
      <c r="A13" s="14" t="s">
        <v>9</v>
      </c>
      <c r="B13" t="s">
        <v>88</v>
      </c>
      <c r="J13" s="15"/>
      <c r="K13" s="15"/>
      <c r="L13" s="15"/>
      <c r="M13" s="15"/>
      <c r="N13" s="15"/>
      <c r="O13" s="15"/>
      <c r="P13" s="15"/>
      <c r="Q13" s="15"/>
      <c r="R13" s="15"/>
      <c r="S13" s="15"/>
      <c r="T13" s="15"/>
      <c r="U13" s="15"/>
      <c r="V13" s="15"/>
      <c r="W13" s="15"/>
      <c r="X13" s="15"/>
      <c r="Y13" s="15"/>
      <c r="Z13" s="15"/>
    </row>
    <row r="14" spans="1:36">
      <c r="A14" s="14" t="s">
        <v>11</v>
      </c>
      <c r="B14" t="s">
        <v>12</v>
      </c>
      <c r="C14" s="3" t="str">
        <f>CONCATENATE("# What are some common variants of ",B12,"?")</f>
        <v># What are some common variants of GRIK3?</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GRIK3: [T928G](https://www.ncbi.nlm.nih.gov/projects/SNP/snp_ref.cgi?rs=6691840)[(Ser310Ala)](https://www.ncbi.nlm.nih.gov/pubmed/11986986) and [C36983994T](https://www.ncbi.nlm.nih.gov/projects/SNP/snp_ref.cgi?rs=3913434).</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6" t="s">
        <v>96</v>
      </c>
      <c r="C18" s="3" t="str">
        <f>CONCATENATE("&lt;# ",B19," #&gt;")</f>
        <v>&lt;# T928G #&gt;</v>
      </c>
      <c r="J18" s="15"/>
      <c r="K18" s="15"/>
      <c r="L18" s="15"/>
      <c r="M18" s="15"/>
      <c r="N18" s="15"/>
      <c r="O18" s="15"/>
      <c r="P18" s="15"/>
      <c r="Q18" s="15"/>
      <c r="R18" s="15"/>
      <c r="S18" s="15"/>
      <c r="T18" s="15"/>
      <c r="U18" s="15"/>
      <c r="V18" s="15"/>
      <c r="W18" s="15"/>
      <c r="X18" s="15"/>
      <c r="Y18" s="15"/>
      <c r="Z18" s="15"/>
    </row>
    <row r="19" spans="1:26">
      <c r="A19" s="26" t="s">
        <v>15</v>
      </c>
      <c r="B19" t="s">
        <v>90</v>
      </c>
      <c r="J19" s="6"/>
      <c r="K19" s="15"/>
      <c r="L19" s="15"/>
      <c r="M19" s="15"/>
      <c r="N19" s="15"/>
      <c r="O19" s="15"/>
      <c r="P19" s="15"/>
      <c r="Q19" s="15"/>
      <c r="R19" s="15"/>
      <c r="S19" s="15"/>
      <c r="T19" s="15"/>
      <c r="U19" s="15"/>
      <c r="V19" s="15"/>
      <c r="W19" s="15"/>
      <c r="X19" s="15"/>
      <c r="Y19" s="15"/>
      <c r="Z19" s="15"/>
    </row>
    <row r="20" spans="1:26">
      <c r="A20" s="26" t="s">
        <v>17</v>
      </c>
      <c r="B20" t="s">
        <v>20</v>
      </c>
      <c r="C20" s="3" t="str">
        <f>CONCATENATE("  &lt;Variant hgvs=",CHAR(34),B18,CHAR(34)," name=",CHAR(34),B19,CHAR(34),"&gt; ")</f>
        <v xml:space="preserve">  &lt;Variant hgvs="NC_000001.10:g.37325477A&gt;G" name="T928G"&gt; </v>
      </c>
      <c r="J20" s="2"/>
      <c r="K20" s="15"/>
      <c r="L20" s="15"/>
      <c r="M20" s="15"/>
      <c r="N20" s="15"/>
      <c r="O20" s="15"/>
      <c r="P20" s="15"/>
      <c r="Q20" s="15"/>
      <c r="R20" s="15"/>
      <c r="S20" s="15"/>
      <c r="T20" s="15"/>
      <c r="U20" s="15"/>
      <c r="V20" s="15"/>
      <c r="W20" s="15"/>
      <c r="X20" s="15"/>
      <c r="Y20" s="15"/>
      <c r="Z20" s="15"/>
    </row>
    <row r="21" spans="1:26">
      <c r="A21" s="26" t="s">
        <v>19</v>
      </c>
      <c r="B21" t="s">
        <v>44</v>
      </c>
      <c r="H21" s="15"/>
      <c r="I21" s="15"/>
      <c r="J21" s="2"/>
      <c r="K21" s="15"/>
      <c r="L21" s="15"/>
      <c r="M21" s="15"/>
      <c r="N21" s="15"/>
      <c r="O21" s="15"/>
      <c r="P21" s="15"/>
      <c r="Q21" s="15"/>
      <c r="R21" s="15"/>
      <c r="S21" s="15"/>
      <c r="T21" s="15"/>
      <c r="U21" s="15"/>
      <c r="V21" s="15"/>
      <c r="W21" s="15"/>
      <c r="X21" s="15"/>
      <c r="Y21" s="15"/>
      <c r="Z21" s="15"/>
    </row>
    <row r="22" spans="1:26">
      <c r="A22" s="26" t="s">
        <v>21</v>
      </c>
      <c r="B22" t="s">
        <v>91</v>
      </c>
      <c r="C22" s="3" t="str">
        <f>CONCATENATE("    Instead of ",B20,", there is a ",B21," nucleotide.")</f>
        <v xml:space="preserve">    Instead of thymine (T), there is a guanine (G) nucleotide.</v>
      </c>
      <c r="H22" s="15"/>
      <c r="I22" s="15"/>
      <c r="J22" s="7"/>
      <c r="K22" s="15"/>
      <c r="L22" s="15"/>
      <c r="M22" s="15"/>
      <c r="N22" s="15"/>
      <c r="O22" s="15"/>
      <c r="P22" s="15"/>
      <c r="Q22" s="15"/>
      <c r="R22" s="15"/>
      <c r="S22" s="15"/>
      <c r="T22" s="15"/>
      <c r="U22" s="15"/>
      <c r="V22" s="15"/>
      <c r="W22" s="15"/>
      <c r="X22" s="15"/>
      <c r="Y22" s="15"/>
      <c r="Z22" s="15"/>
    </row>
    <row r="23" spans="1:26">
      <c r="A23" s="3" t="s">
        <v>64</v>
      </c>
      <c r="B23" s="3" t="s">
        <v>65</v>
      </c>
      <c r="H23" s="2"/>
      <c r="I23" s="2"/>
      <c r="J23" s="15"/>
      <c r="K23" s="15"/>
      <c r="L23" s="15"/>
      <c r="M23" s="15"/>
      <c r="N23" s="15"/>
      <c r="O23" s="15"/>
      <c r="P23" s="15"/>
      <c r="Q23" s="15"/>
      <c r="R23" s="15"/>
      <c r="S23" s="15"/>
      <c r="T23" s="15"/>
      <c r="U23" s="15"/>
      <c r="V23" s="15"/>
      <c r="W23" s="15"/>
      <c r="X23" s="15"/>
      <c r="Y23" s="15"/>
      <c r="Z23" s="15"/>
    </row>
    <row r="24" spans="1:26">
      <c r="A24" s="3" t="s">
        <v>51</v>
      </c>
      <c r="B24" s="7" t="s">
        <v>97</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98</v>
      </c>
      <c r="J25" s="6"/>
    </row>
    <row r="26" spans="1:26">
      <c r="A26" s="26"/>
      <c r="B26" s="7"/>
      <c r="J26" s="6"/>
    </row>
    <row r="27" spans="1:26">
      <c r="A27" s="14" t="s">
        <v>14</v>
      </c>
      <c r="B27" s="6" t="s">
        <v>100</v>
      </c>
      <c r="C27" s="3" t="str">
        <f>CONCATENATE("&lt;# ",B28," #&gt;")</f>
        <v>&lt;# C36983994T #&gt;</v>
      </c>
      <c r="J27" s="6"/>
    </row>
    <row r="28" spans="1:26">
      <c r="A28" s="26" t="s">
        <v>15</v>
      </c>
      <c r="B28" t="s">
        <v>92</v>
      </c>
      <c r="J28" s="2"/>
    </row>
    <row r="29" spans="1:26">
      <c r="A29" s="26" t="s">
        <v>17</v>
      </c>
      <c r="B29" t="str">
        <f>"cytosine (C)"</f>
        <v>cytosine (C)</v>
      </c>
      <c r="C29" s="3" t="str">
        <f>CONCATENATE("  &lt;Variant hgvs=",CHAR(34),B27,CHAR(34)," name=",CHAR(34),B28,CHAR(34),"&gt; ")</f>
        <v xml:space="preserve">  &lt;Variant hgvs="NC_000001.10:g.37449595C&gt;T" name="C36983994T"&gt; </v>
      </c>
      <c r="J29" s="2"/>
    </row>
    <row r="30" spans="1:26">
      <c r="A30" s="26" t="s">
        <v>19</v>
      </c>
      <c r="B30" t="s">
        <v>20</v>
      </c>
      <c r="J30" s="7"/>
    </row>
    <row r="31" spans="1:26">
      <c r="A31" s="26" t="s">
        <v>21</v>
      </c>
      <c r="B31" t="s">
        <v>93</v>
      </c>
      <c r="C31" s="3" t="str">
        <f>CONCATENATE("    Instead of ",B29,", there is a ",B30," nucleotide.")</f>
        <v xml:space="preserve">    Instead of cytosine (C), there is a thymine (T) nucleotide.</v>
      </c>
    </row>
    <row r="32" spans="1:26">
      <c r="A32" s="3" t="s">
        <v>64</v>
      </c>
      <c r="B32" s="3" t="s">
        <v>65</v>
      </c>
      <c r="J32" s="7"/>
    </row>
    <row r="33" spans="1:13">
      <c r="A33" s="3" t="s">
        <v>51</v>
      </c>
      <c r="B33" s="3" t="s">
        <v>101</v>
      </c>
      <c r="C33" s="3" t="str">
        <f>"  &lt;/Variant&gt;"</f>
        <v xml:space="preserve">  &lt;/Variant&gt;</v>
      </c>
      <c r="J33" s="7"/>
    </row>
    <row r="34" spans="1:13">
      <c r="A34" s="26" t="s">
        <v>52</v>
      </c>
      <c r="B34" s="7" t="s">
        <v>102</v>
      </c>
    </row>
    <row r="35" spans="1:13">
      <c r="B35" s="3"/>
    </row>
    <row r="36" spans="1:13" s="21" customFormat="1">
      <c r="A36" s="28"/>
      <c r="B36" s="20"/>
    </row>
    <row r="37" spans="1:13" s="10" customFormat="1">
      <c r="A37" s="32"/>
      <c r="B37" s="33"/>
      <c r="C37" s="34" t="s">
        <v>368</v>
      </c>
      <c r="L37" s="38"/>
    </row>
    <row r="38" spans="1:13" s="10" customFormat="1">
      <c r="A38" s="32"/>
      <c r="B38" s="33"/>
      <c r="K38" s="10" t="s">
        <v>106</v>
      </c>
      <c r="L38" s="38" t="s">
        <v>108</v>
      </c>
      <c r="M38" s="11" t="s">
        <v>107</v>
      </c>
    </row>
    <row r="39" spans="1:13" s="21" customFormat="1">
      <c r="A39" s="28" t="s">
        <v>69</v>
      </c>
      <c r="B39" s="20" t="str">
        <f>CONCATENATE(B19," (T;G)")</f>
        <v>T928G (T;G)</v>
      </c>
      <c r="C39" s="21" t="str">
        <f>CONCATENATE("&lt;# ",B39," #&gt;")</f>
        <v>&lt;# T928G (T;G) #&gt;</v>
      </c>
      <c r="K39" s="21" t="str">
        <f>B19</f>
        <v>T928G</v>
      </c>
      <c r="L39" s="21" t="str">
        <f>B28</f>
        <v>C36983994T</v>
      </c>
      <c r="M39" s="21" t="e">
        <f>#REF!</f>
        <v>#REF!</v>
      </c>
    </row>
    <row r="40" spans="1:13" s="10" customFormat="1">
      <c r="A40" s="3" t="s">
        <v>21</v>
      </c>
      <c r="B40" s="29" t="str">
        <f>K43</f>
        <v>NC_000001.10:g.[37325477A&gt;G];[37325477=]</v>
      </c>
      <c r="J40" s="3"/>
      <c r="K40" s="22" t="str">
        <f>B23</f>
        <v>NC_000001.10:g.</v>
      </c>
      <c r="L40" s="22" t="str">
        <f>B32</f>
        <v>NC_000001.10:g.</v>
      </c>
      <c r="M40" s="10" t="e">
        <f>#REF!</f>
        <v>#REF!</v>
      </c>
    </row>
    <row r="41" spans="1:13">
      <c r="B41" s="29"/>
      <c r="C41" s="3" t="str">
        <f>CONCATENATE("  &lt;Analysis name=",CHAR(34),B39,CHAR(34))</f>
        <v xml:space="preserve">  &lt;Analysis name="T928G (T;G)"</v>
      </c>
      <c r="J41" s="3" t="s">
        <v>21</v>
      </c>
      <c r="K41" s="15" t="str">
        <f>B24</f>
        <v>[37325477A&gt;G]</v>
      </c>
      <c r="L41" s="22" t="str">
        <f>B33</f>
        <v>[37449595C&gt;T]</v>
      </c>
      <c r="M41" s="10" t="e">
        <f>#REF!</f>
        <v>#REF!</v>
      </c>
    </row>
    <row r="42" spans="1:13">
      <c r="A42" s="5" t="s">
        <v>27</v>
      </c>
      <c r="B42" s="2" t="str">
        <f>CONCATENATE("People with this variant have one copy of the ",B22," variant. This substitution of a single nucleotide is known as a missense mutation.")</f>
        <v>People with this variant have one copy of the [T928G](https://www.ncbi.nlm.nih.gov/projects/SNP/snp_ref.cgi?rs=6691840)[(Ser310Ala)](https://www.ncbi.nlm.nih.gov/pubmed/11986986) variant. This substitution of a single nucleotide is known as a missense mutation.</v>
      </c>
      <c r="C42" s="3" t="str">
        <f>CONCATENATE("            case={  variantCall ",CHAR(40),CHAR(34),K43,CHAR(34),CHAR(41))</f>
        <v xml:space="preserve">            case={  variantCall ("NC_000001.10:g.[37325477A&gt;G];[37325477=]")</v>
      </c>
      <c r="J42" s="3" t="s">
        <v>52</v>
      </c>
      <c r="K42" s="15" t="str">
        <f>B25</f>
        <v>[37325477=]</v>
      </c>
      <c r="L42" s="22" t="str">
        <f>B34</f>
        <v>[37449595=]</v>
      </c>
      <c r="M42" s="10" t="e">
        <f>#REF!</f>
        <v>#REF!</v>
      </c>
    </row>
    <row r="43" spans="1:13">
      <c r="A43" s="1" t="s">
        <v>28</v>
      </c>
      <c r="B43" s="29" t="s">
        <v>110</v>
      </c>
      <c r="C43" s="3" t="s">
        <v>70</v>
      </c>
      <c r="J43" s="3" t="s">
        <v>62</v>
      </c>
      <c r="K43" s="15" t="str">
        <f>CONCATENATE(K40,K41,";",K42)</f>
        <v>NC_000001.10:g.[37325477A&gt;G];[37325477=]</v>
      </c>
      <c r="L43" s="15" t="str">
        <f>CONCATENATE(L40,L41,";",L42)</f>
        <v>NC_000001.10:g.[37449595C&gt;T];[37449595=]</v>
      </c>
      <c r="M43" s="15" t="e">
        <f>CONCATENATE(M40,M41,";",M42)</f>
        <v>#REF!</v>
      </c>
    </row>
    <row r="44" spans="1:13">
      <c r="A44" s="3" t="s">
        <v>72</v>
      </c>
      <c r="B44" s="29">
        <f>K46</f>
        <v>43</v>
      </c>
      <c r="C44" s="3" t="str">
        <f>CONCATENATE("                    ",CHAR(40),"variantCall ",CHAR(40),CHAR(34),L44,CHAR(34),CHAR(41)," or variantCall ",CHAR(40),CHAR(34),L45,CHAR(34),CHAR(41),CHAR(41))</f>
        <v xml:space="preserve">                    (variantCall ("NC_000001.10:g.[37449595C&gt;T];[37449595C&gt;T]") or variantCall ("NC_000001.10:g.[37449595=];[37449595=]"))</v>
      </c>
      <c r="J44" s="3" t="s">
        <v>63</v>
      </c>
      <c r="K44" s="15" t="str">
        <f>CONCATENATE(K40,K41,";",K41)</f>
        <v>NC_000001.10:g.[37325477A&gt;G];[37325477A&gt;G]</v>
      </c>
      <c r="L44" s="15" t="str">
        <f>CONCATENATE(L40,L41,";",L41)</f>
        <v>NC_000001.10:g.[37449595C&gt;T];[37449595C&gt;T]</v>
      </c>
      <c r="M44" s="15" t="e">
        <f>CONCATENATE(M40,M41,";",M41)</f>
        <v>#REF!</v>
      </c>
    </row>
    <row r="45" spans="1:13">
      <c r="J45" s="3" t="s">
        <v>52</v>
      </c>
      <c r="K45" s="2" t="str">
        <f>CONCATENATE(K40,K42,";",K42)</f>
        <v>NC_000001.10:g.[37325477=];[37325477=]</v>
      </c>
      <c r="L45" s="2" t="str">
        <f>CONCATENATE(L40,L42,";",L42)</f>
        <v>NC_000001.10:g.[37449595=];[37449595=]</v>
      </c>
      <c r="M45" s="2" t="e">
        <f>CONCATENATE(M40,M42,";",M42)</f>
        <v>#REF!</v>
      </c>
    </row>
    <row r="46" spans="1:13">
      <c r="J46" s="3" t="s">
        <v>66</v>
      </c>
      <c r="K46">
        <v>43</v>
      </c>
      <c r="L46" s="2">
        <v>1.8</v>
      </c>
      <c r="M46" s="2">
        <v>15.8</v>
      </c>
    </row>
    <row r="47" spans="1:13">
      <c r="A47" s="14"/>
      <c r="C47" s="3" t="str">
        <f>CONCATENATE("                  } &gt; ")</f>
        <v xml:space="preserve">                  } &gt; </v>
      </c>
      <c r="J47" s="3" t="s">
        <v>67</v>
      </c>
      <c r="K47">
        <v>19.899999999999999</v>
      </c>
      <c r="L47" s="2">
        <v>0.5</v>
      </c>
      <c r="M47" s="2">
        <v>4.7</v>
      </c>
    </row>
    <row r="48" spans="1:13">
      <c r="A48" s="26"/>
      <c r="J48" s="3" t="s">
        <v>68</v>
      </c>
      <c r="K48" s="2">
        <v>37.1</v>
      </c>
      <c r="L48" s="2">
        <v>97.8</v>
      </c>
      <c r="M48" s="2">
        <v>79.5</v>
      </c>
    </row>
    <row r="49" spans="1:13">
      <c r="A49" s="14"/>
      <c r="C49" s="3" t="s">
        <v>26</v>
      </c>
      <c r="K49"/>
      <c r="L49" s="2"/>
      <c r="M49" s="2"/>
    </row>
    <row r="50" spans="1:13">
      <c r="A50" s="14"/>
      <c r="K50" s="15"/>
      <c r="L50" s="15"/>
      <c r="M50" s="15"/>
    </row>
    <row r="51" spans="1:13">
      <c r="A51" s="26"/>
      <c r="C51" s="3" t="str">
        <f>CONCATENATE("    ",B42)</f>
        <v xml:space="preserve">    People with this variant have one copy of the [T928G](https://www.ncbi.nlm.nih.gov/projects/SNP/snp_ref.cgi?rs=6691840)[(Ser310Ala)](https://www.ncbi.nlm.nih.gov/pubmed/11986986) variant. This substitution of a single nucleotide is known as a missense mutation.</v>
      </c>
      <c r="K51" s="15"/>
      <c r="L51" s="15"/>
      <c r="M51" s="15"/>
    </row>
    <row r="52" spans="1:13">
      <c r="A52" s="14"/>
      <c r="K52" s="2"/>
      <c r="L52" s="2"/>
      <c r="M52" s="2"/>
    </row>
    <row r="53" spans="1:13">
      <c r="A53" s="14"/>
      <c r="C53" s="3" t="s">
        <v>29</v>
      </c>
    </row>
    <row r="54" spans="1:13">
      <c r="A54" s="14"/>
    </row>
    <row r="55" spans="1:13">
      <c r="A55" s="14"/>
      <c r="C55" s="3" t="str">
        <f>CONCATENATE(B43)</f>
        <v>Having one copy of this variant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56" spans="1:13">
      <c r="A56" s="26"/>
    </row>
    <row r="57" spans="1:13">
      <c r="A57" s="26"/>
      <c r="C57" s="3" t="s">
        <v>30</v>
      </c>
    </row>
    <row r="58" spans="1:13">
      <c r="A58" s="26"/>
    </row>
    <row r="59" spans="1:13">
      <c r="A59" s="26"/>
      <c r="C59" s="3" t="str">
        <f>CONCATENATE( "    &lt;piechart percentage=",B44," /&gt;")</f>
        <v xml:space="preserve">    &lt;piechart percentage=43 /&gt;</v>
      </c>
    </row>
    <row r="60" spans="1:13">
      <c r="A60" s="26"/>
      <c r="C60" s="3" t="str">
        <f>"  &lt;/Analysis&gt;"</f>
        <v xml:space="preserve">  &lt;/Analysis&gt;</v>
      </c>
      <c r="K60" s="3" t="str">
        <f t="shared" ref="K60:M60" si="0">K38</f>
        <v>rs6691840</v>
      </c>
      <c r="L60" s="3" t="str">
        <f t="shared" si="0"/>
        <v>rs3913434</v>
      </c>
      <c r="M60" s="3" t="str">
        <f t="shared" si="0"/>
        <v>rs270838</v>
      </c>
    </row>
    <row r="61" spans="1:13" s="21" customFormat="1">
      <c r="A61" s="28" t="s">
        <v>69</v>
      </c>
      <c r="B61" s="20" t="str">
        <f>CONCATENATE(B19," (G;G)")</f>
        <v>T928G (G;G)</v>
      </c>
      <c r="C61" s="21" t="str">
        <f>CONCATENATE("&lt;# ",B61," #&gt;")</f>
        <v>&lt;# T928G (G;G) #&gt;</v>
      </c>
      <c r="K61" s="21" t="str">
        <f t="shared" ref="K61:M62" si="1">K39</f>
        <v>T928G</v>
      </c>
      <c r="L61" s="21" t="str">
        <f t="shared" si="1"/>
        <v>C36983994T</v>
      </c>
      <c r="M61" s="21" t="e">
        <f t="shared" si="1"/>
        <v>#REF!</v>
      </c>
    </row>
    <row r="62" spans="1:13">
      <c r="A62" s="3" t="s">
        <v>21</v>
      </c>
      <c r="B62" s="29" t="str">
        <f>K44</f>
        <v>NC_000001.10:g.[37325477A&gt;G];[37325477A&gt;G]</v>
      </c>
      <c r="C62" s="10"/>
      <c r="K62" s="3" t="str">
        <f t="shared" si="1"/>
        <v>NC_000001.10:g.</v>
      </c>
      <c r="L62" s="3" t="str">
        <f t="shared" si="1"/>
        <v>NC_000001.10:g.</v>
      </c>
      <c r="M62" s="3" t="e">
        <f t="shared" si="1"/>
        <v>#REF!</v>
      </c>
    </row>
    <row r="63" spans="1:13">
      <c r="B63" s="29"/>
      <c r="C63" s="3" t="str">
        <f>CONCATENATE("  &lt;Analysis name=",CHAR(34),B61,CHAR(34))</f>
        <v xml:space="preserve">  &lt;Analysis name="T928G (G;G)"</v>
      </c>
      <c r="J63" s="3" t="str">
        <f t="shared" ref="J63:M70" si="2">J41</f>
        <v>Variant</v>
      </c>
      <c r="K63" s="3" t="str">
        <f t="shared" si="2"/>
        <v>[37325477A&gt;G]</v>
      </c>
      <c r="L63" s="3" t="str">
        <f t="shared" si="2"/>
        <v>[37449595C&gt;T]</v>
      </c>
      <c r="M63" s="3" t="e">
        <f t="shared" si="2"/>
        <v>#REF!</v>
      </c>
    </row>
    <row r="64" spans="1:13">
      <c r="A64" s="5" t="s">
        <v>74</v>
      </c>
      <c r="B64" s="2" t="str">
        <f>CONCATENATE("People with this variant have two copies of the ",B22," variant. This substitution of a single nucleotide is known as a missense mutation.")</f>
        <v>People with this variant have two copies of the [T928G](https://www.ncbi.nlm.nih.gov/projects/SNP/snp_ref.cgi?rs=6691840)[(Ser310Ala)](https://www.ncbi.nlm.nih.gov/pubmed/11986986) variant. This substitution of a single nucleotide is known as a missense mutation.</v>
      </c>
      <c r="C64" s="3" t="str">
        <f>CONCATENATE("            case={  variantCall ",CHAR(40),CHAR(34),B62,CHAR(34),CHAR(41))</f>
        <v xml:space="preserve">            case={  variantCall ("NC_000001.10:g.[37325477A&gt;G];[37325477A&gt;G]")</v>
      </c>
      <c r="J64" s="3" t="str">
        <f t="shared" si="2"/>
        <v>Wildtype</v>
      </c>
      <c r="K64" s="3" t="str">
        <f t="shared" si="2"/>
        <v>[37325477=]</v>
      </c>
      <c r="L64" s="3" t="str">
        <f t="shared" si="2"/>
        <v>[37449595=]</v>
      </c>
      <c r="M64" s="3" t="e">
        <f t="shared" si="2"/>
        <v>#REF!</v>
      </c>
    </row>
    <row r="65" spans="1:13">
      <c r="A65" s="1" t="s">
        <v>28</v>
      </c>
      <c r="B65" s="29" t="s">
        <v>109</v>
      </c>
      <c r="C65" s="3" t="s">
        <v>70</v>
      </c>
      <c r="J65" s="3" t="str">
        <f t="shared" si="2"/>
        <v>Het</v>
      </c>
      <c r="K65" s="3" t="str">
        <f t="shared" si="2"/>
        <v>NC_000001.10:g.[37325477A&gt;G];[37325477=]</v>
      </c>
      <c r="L65" s="3" t="str">
        <f t="shared" si="2"/>
        <v>NC_000001.10:g.[37449595C&gt;T];[37449595=]</v>
      </c>
      <c r="M65" s="3" t="e">
        <f t="shared" si="2"/>
        <v>#REF!</v>
      </c>
    </row>
    <row r="66" spans="1:13">
      <c r="A66" s="3" t="s">
        <v>72</v>
      </c>
      <c r="B66" s="29">
        <f>K47</f>
        <v>19.899999999999999</v>
      </c>
      <c r="C66" s="3" t="str">
        <f>CONCATENATE("                    ",CHAR(40),"variantCall ",CHAR(40),CHAR(34),L66,CHAR(34),CHAR(41)," or variantCall ",CHAR(40),CHAR(34),L67,CHAR(34),CHAR(41),CHAR(41))</f>
        <v xml:space="preserve">                    (variantCall ("NC_000001.10:g.[37449595C&gt;T];[37449595C&gt;T]") or variantCall ("NC_000001.10:g.[37449595=];[37449595=]"))</v>
      </c>
      <c r="J66" s="3" t="str">
        <f t="shared" si="2"/>
        <v>Homo</v>
      </c>
      <c r="K66" s="3" t="str">
        <f t="shared" si="2"/>
        <v>NC_000001.10:g.[37325477A&gt;G];[37325477A&gt;G]</v>
      </c>
      <c r="L66" s="3" t="str">
        <f t="shared" si="2"/>
        <v>NC_000001.10:g.[37449595C&gt;T];[37449595C&gt;T]</v>
      </c>
      <c r="M66" s="3" t="e">
        <f t="shared" si="2"/>
        <v>#REF!</v>
      </c>
    </row>
    <row r="67" spans="1:13">
      <c r="J67" s="3" t="str">
        <f t="shared" si="2"/>
        <v>Wildtype</v>
      </c>
      <c r="K67" s="3" t="str">
        <f t="shared" si="2"/>
        <v>NC_000001.10:g.[37325477=];[37325477=]</v>
      </c>
      <c r="L67" s="3" t="str">
        <f t="shared" si="2"/>
        <v>NC_000001.10:g.[37449595=];[37449595=]</v>
      </c>
      <c r="M67" s="3" t="e">
        <f t="shared" si="2"/>
        <v>#REF!</v>
      </c>
    </row>
    <row r="68" spans="1:13">
      <c r="J68" s="3" t="str">
        <f t="shared" si="2"/>
        <v>Het%</v>
      </c>
      <c r="K68" s="3">
        <f t="shared" si="2"/>
        <v>43</v>
      </c>
      <c r="L68" s="3">
        <f t="shared" si="2"/>
        <v>1.8</v>
      </c>
      <c r="M68" s="3">
        <f t="shared" si="2"/>
        <v>15.8</v>
      </c>
    </row>
    <row r="69" spans="1:13">
      <c r="A69" s="14"/>
      <c r="C69" s="3" t="str">
        <f>CONCATENATE("                  } &gt; ")</f>
        <v xml:space="preserve">                  } &gt; </v>
      </c>
      <c r="J69" s="3" t="str">
        <f t="shared" si="2"/>
        <v>Homo%</v>
      </c>
      <c r="K69" s="3">
        <f t="shared" si="2"/>
        <v>19.899999999999999</v>
      </c>
      <c r="L69" s="3">
        <f t="shared" si="2"/>
        <v>0.5</v>
      </c>
      <c r="M69" s="3">
        <f t="shared" si="2"/>
        <v>4.7</v>
      </c>
    </row>
    <row r="70" spans="1:13">
      <c r="A70" s="26"/>
      <c r="J70" s="3" t="str">
        <f t="shared" si="2"/>
        <v>Wildtype%</v>
      </c>
      <c r="K70" s="3">
        <f t="shared" si="2"/>
        <v>37.1</v>
      </c>
      <c r="L70" s="3">
        <f t="shared" si="2"/>
        <v>97.8</v>
      </c>
      <c r="M70" s="3">
        <f t="shared" si="2"/>
        <v>79.5</v>
      </c>
    </row>
    <row r="71" spans="1:13">
      <c r="A71" s="14"/>
      <c r="C71" s="3" t="s">
        <v>26</v>
      </c>
    </row>
    <row r="72" spans="1:13">
      <c r="A72" s="14"/>
    </row>
    <row r="73" spans="1:13">
      <c r="A73" s="26"/>
      <c r="C73" s="3" t="str">
        <f>CONCATENATE("    ",B64)</f>
        <v xml:space="preserve">    People with this variant have two copies of the [T928G](https://www.ncbi.nlm.nih.gov/projects/SNP/snp_ref.cgi?rs=6691840)[(Ser310Ala)](https://www.ncbi.nlm.nih.gov/pubmed/11986986) variant. This substitution of a single nucleotide is known as a missense mutation.</v>
      </c>
    </row>
    <row r="74" spans="1:13">
      <c r="A74" s="14"/>
    </row>
    <row r="75" spans="1:13">
      <c r="A75" s="14"/>
      <c r="C75" s="3" t="s">
        <v>29</v>
      </c>
    </row>
    <row r="76" spans="1:13">
      <c r="A76" s="14"/>
    </row>
    <row r="77" spans="1:13">
      <c r="A77" s="14"/>
      <c r="C77" s="3" t="str">
        <f>CONCATENATE(B65)</f>
        <v>This variant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v>
      </c>
    </row>
    <row r="78" spans="1:13">
      <c r="A78" s="26"/>
    </row>
    <row r="79" spans="1:13">
      <c r="A79" s="26"/>
      <c r="C79" s="3" t="s">
        <v>30</v>
      </c>
    </row>
    <row r="80" spans="1:13">
      <c r="A80" s="26"/>
    </row>
    <row r="81" spans="1:13">
      <c r="A81" s="26"/>
      <c r="C81" s="3" t="str">
        <f>CONCATENATE( "    &lt;piechart percentage=",B66," /&gt;")</f>
        <v xml:space="preserve">    &lt;piechart percentage=19.9 /&gt;</v>
      </c>
    </row>
    <row r="82" spans="1:13">
      <c r="A82" s="26"/>
      <c r="C82" s="3" t="str">
        <f>"  &lt;/Analysis&gt;"</f>
        <v xml:space="preserve">  &lt;/Analysis&gt;</v>
      </c>
      <c r="K82" s="3" t="str">
        <f t="shared" ref="K82:M84" si="3">K60</f>
        <v>rs6691840</v>
      </c>
      <c r="L82" s="3" t="str">
        <f t="shared" si="3"/>
        <v>rs3913434</v>
      </c>
      <c r="M82" s="3" t="str">
        <f t="shared" si="3"/>
        <v>rs270838</v>
      </c>
    </row>
    <row r="83" spans="1:13" s="21" customFormat="1">
      <c r="A83" s="28" t="s">
        <v>69</v>
      </c>
      <c r="B83" s="20" t="str">
        <f>CONCATENATE(B28," (C;T)")</f>
        <v>C36983994T (C;T)</v>
      </c>
      <c r="C83" s="21" t="str">
        <f>CONCATENATE("&lt;# ",B83," #&gt;")</f>
        <v>&lt;# C36983994T (C;T) #&gt;</v>
      </c>
      <c r="K83" s="21" t="str">
        <f t="shared" si="3"/>
        <v>T928G</v>
      </c>
      <c r="L83" s="21" t="str">
        <f t="shared" si="3"/>
        <v>C36983994T</v>
      </c>
      <c r="M83" s="21" t="e">
        <f t="shared" si="3"/>
        <v>#REF!</v>
      </c>
    </row>
    <row r="84" spans="1:13" s="10" customFormat="1">
      <c r="A84" s="3" t="s">
        <v>21</v>
      </c>
      <c r="B84" s="29" t="str">
        <f>L87</f>
        <v>NC_000001.10:g.[37449595C&gt;T];[37449595=]</v>
      </c>
      <c r="J84" s="3"/>
      <c r="K84" s="22" t="str">
        <f t="shared" si="3"/>
        <v>NC_000001.10:g.</v>
      </c>
      <c r="L84" s="22" t="str">
        <f t="shared" si="3"/>
        <v>NC_000001.10:g.</v>
      </c>
      <c r="M84" s="10" t="e">
        <f t="shared" si="3"/>
        <v>#REF!</v>
      </c>
    </row>
    <row r="85" spans="1:13">
      <c r="A85" s="3" t="s">
        <v>71</v>
      </c>
      <c r="B85" s="29"/>
      <c r="C85" s="3" t="str">
        <f>CONCATENATE("  &lt;Analysis name=",CHAR(34),B83,CHAR(34))</f>
        <v xml:space="preserve">  &lt;Analysis name="C36983994T (C;T)"</v>
      </c>
      <c r="J85" s="3" t="str">
        <f t="shared" ref="J85:M88" si="4">J63</f>
        <v>Variant</v>
      </c>
      <c r="K85" s="15" t="str">
        <f t="shared" si="4"/>
        <v>[37325477A&gt;G]</v>
      </c>
      <c r="L85" s="22" t="str">
        <f t="shared" si="4"/>
        <v>[37449595C&gt;T]</v>
      </c>
      <c r="M85" s="3" t="e">
        <f t="shared" si="4"/>
        <v>#REF!</v>
      </c>
    </row>
    <row r="86" spans="1:13">
      <c r="A86" s="5" t="s">
        <v>27</v>
      </c>
      <c r="B86" s="2"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C86" s="3" t="str">
        <f>CONCATENATE("            case={  variantCall ",CHAR(40),CHAR(34),L87,CHAR(34),CHAR(41))</f>
        <v xml:space="preserve">            case={  variantCall ("NC_000001.10:g.[37449595C&gt;T];[37449595=]")</v>
      </c>
      <c r="J86" s="3" t="str">
        <f t="shared" si="4"/>
        <v>Wildtype</v>
      </c>
      <c r="K86" s="15" t="str">
        <f t="shared" si="4"/>
        <v>[37325477=]</v>
      </c>
      <c r="L86" s="22" t="str">
        <f t="shared" si="4"/>
        <v>[37449595=]</v>
      </c>
      <c r="M86" s="3" t="e">
        <f t="shared" si="4"/>
        <v>#REF!</v>
      </c>
    </row>
    <row r="87" spans="1:13">
      <c r="A87" s="1" t="s">
        <v>28</v>
      </c>
      <c r="B87" s="15" t="s">
        <v>111</v>
      </c>
      <c r="J87" s="3" t="str">
        <f t="shared" si="4"/>
        <v>Het</v>
      </c>
      <c r="K87" s="15" t="str">
        <f t="shared" si="4"/>
        <v>NC_000001.10:g.[37325477A&gt;G];[37325477=]</v>
      </c>
      <c r="L87" s="15" t="str">
        <f t="shared" si="4"/>
        <v>NC_000001.10:g.[37449595C&gt;T];[37449595=]</v>
      </c>
      <c r="M87" s="3" t="e">
        <f t="shared" si="4"/>
        <v>#REF!</v>
      </c>
    </row>
    <row r="88" spans="1:13">
      <c r="A88" s="3" t="s">
        <v>72</v>
      </c>
      <c r="B88" s="29">
        <f>L46</f>
        <v>1.8</v>
      </c>
      <c r="J88" s="3" t="str">
        <f t="shared" si="4"/>
        <v>Homo</v>
      </c>
      <c r="K88" s="15" t="str">
        <f t="shared" si="4"/>
        <v>NC_000001.10:g.[37325477A&gt;G];[37325477A&gt;G]</v>
      </c>
      <c r="L88" s="15" t="str">
        <f t="shared" si="4"/>
        <v>NC_000001.10:g.[37449595C&gt;T];[37449595C&gt;T]</v>
      </c>
      <c r="M88" s="3" t="e">
        <f t="shared" si="4"/>
        <v>#REF!</v>
      </c>
    </row>
    <row r="89" spans="1:13">
      <c r="B89" s="29"/>
      <c r="C89" s="3" t="s">
        <v>70</v>
      </c>
      <c r="J89" s="3" t="str">
        <f t="shared" ref="J89:M92" si="5">J67</f>
        <v>Wildtype</v>
      </c>
      <c r="K89" s="2" t="str">
        <f t="shared" si="5"/>
        <v>NC_000001.10:g.[37325477=];[37325477=]</v>
      </c>
      <c r="L89" s="2" t="str">
        <f t="shared" si="5"/>
        <v>NC_000001.10:g.[37449595=];[37449595=]</v>
      </c>
      <c r="M89" s="3" t="e">
        <f t="shared" si="5"/>
        <v>#REF!</v>
      </c>
    </row>
    <row r="90" spans="1:13">
      <c r="B90" s="29"/>
      <c r="C90" s="3" t="str">
        <f>CONCATENATE("                    variantCall ",CHAR(40),CHAR(34),K89,CHAR(34),CHAR(41))</f>
        <v xml:space="preserve">                    variantCall ("NC_000001.10:g.[37325477=];[37325477=]")</v>
      </c>
      <c r="J90" s="3" t="str">
        <f t="shared" si="5"/>
        <v>Het%</v>
      </c>
      <c r="K90" s="15">
        <f t="shared" si="5"/>
        <v>43</v>
      </c>
      <c r="L90" s="15">
        <f t="shared" si="5"/>
        <v>1.8</v>
      </c>
      <c r="M90" s="3">
        <f t="shared" si="5"/>
        <v>15.8</v>
      </c>
    </row>
    <row r="91" spans="1:13">
      <c r="C91" s="3" t="str">
        <f>CONCATENATE("                  } &gt; ")</f>
        <v xml:space="preserve">                  } &gt; </v>
      </c>
      <c r="J91" s="3" t="str">
        <f t="shared" si="5"/>
        <v>Homo%</v>
      </c>
      <c r="K91" s="2">
        <f t="shared" si="5"/>
        <v>19.899999999999999</v>
      </c>
      <c r="L91" s="2">
        <f t="shared" si="5"/>
        <v>0.5</v>
      </c>
      <c r="M91" s="3">
        <f t="shared" si="5"/>
        <v>4.7</v>
      </c>
    </row>
    <row r="92" spans="1:13">
      <c r="J92" s="3" t="str">
        <f t="shared" si="5"/>
        <v>Wildtype%</v>
      </c>
      <c r="K92" s="2">
        <f t="shared" si="5"/>
        <v>37.1</v>
      </c>
      <c r="L92" s="2">
        <f t="shared" si="5"/>
        <v>97.8</v>
      </c>
      <c r="M92" s="3">
        <f t="shared" si="5"/>
        <v>79.5</v>
      </c>
    </row>
    <row r="93" spans="1:13">
      <c r="A93" s="14"/>
      <c r="C93" s="3" t="s">
        <v>26</v>
      </c>
    </row>
    <row r="94" spans="1:13">
      <c r="A94" s="26"/>
    </row>
    <row r="95" spans="1:13">
      <c r="A95" s="14"/>
      <c r="C95" s="3" t="str">
        <f>CONCATENATE("    ",B86)</f>
        <v xml:space="preserve">    People with this variant have one copy of the [C36983994T](https://www.ncbi.nlm.nih.gov/projects/SNP/snp_ref.cgi?rs=3913434) variant. This substitution of a single nucleotide is known as a missense mutation.</v>
      </c>
    </row>
    <row r="96" spans="1:13">
      <c r="A96" s="14"/>
    </row>
    <row r="97" spans="1:13">
      <c r="A97" s="26"/>
      <c r="C97" s="3" t="s">
        <v>29</v>
      </c>
    </row>
    <row r="98" spans="1:13">
      <c r="A98" s="14"/>
    </row>
    <row r="99" spans="1:13">
      <c r="A99" s="14"/>
      <c r="C99" s="3" t="str">
        <f>CONCATENATE(B87)</f>
        <v>This variant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00" spans="1:13">
      <c r="A100" s="14"/>
    </row>
    <row r="101" spans="1:13">
      <c r="A101" s="14"/>
      <c r="C101" s="3" t="s">
        <v>30</v>
      </c>
    </row>
    <row r="102" spans="1:13">
      <c r="A102" s="26"/>
    </row>
    <row r="103" spans="1:13">
      <c r="A103" s="26"/>
      <c r="C103" s="3" t="str">
        <f>CONCATENATE( "    &lt;piechart percentage=",B88," /&gt;")</f>
        <v xml:space="preserve">    &lt;piechart percentage=1.8 /&gt;</v>
      </c>
    </row>
    <row r="104" spans="1:13">
      <c r="A104" s="26"/>
      <c r="C104" s="3" t="str">
        <f>"  &lt;/Analysis&gt;"</f>
        <v xml:space="preserve">  &lt;/Analysis&gt;</v>
      </c>
      <c r="K104" s="3" t="str">
        <f t="shared" ref="K104:M114" si="6">K82</f>
        <v>rs6691840</v>
      </c>
      <c r="L104" s="3" t="str">
        <f t="shared" si="6"/>
        <v>rs3913434</v>
      </c>
      <c r="M104" s="3" t="str">
        <f t="shared" si="6"/>
        <v>rs270838</v>
      </c>
    </row>
    <row r="105" spans="1:13" s="21" customFormat="1">
      <c r="A105" s="28"/>
      <c r="B105" s="20"/>
      <c r="K105" s="21" t="str">
        <f t="shared" si="6"/>
        <v>T928G</v>
      </c>
      <c r="L105" s="21" t="str">
        <f t="shared" si="6"/>
        <v>C36983994T</v>
      </c>
      <c r="M105" s="21" t="e">
        <f t="shared" si="6"/>
        <v>#REF!</v>
      </c>
    </row>
    <row r="106" spans="1:13">
      <c r="B106" s="29"/>
      <c r="C106" s="10"/>
      <c r="K106" s="3" t="str">
        <f t="shared" si="6"/>
        <v>NC_000001.10:g.</v>
      </c>
      <c r="L106" s="3" t="str">
        <f t="shared" si="6"/>
        <v>NC_000001.10:g.</v>
      </c>
      <c r="M106" s="3" t="e">
        <f t="shared" si="6"/>
        <v>#REF!</v>
      </c>
    </row>
    <row r="107" spans="1:13">
      <c r="B107" s="29"/>
      <c r="J107" s="3" t="str">
        <f t="shared" ref="J107:J114" si="7">J85</f>
        <v>Variant</v>
      </c>
      <c r="K107" s="3" t="str">
        <f t="shared" si="6"/>
        <v>[37325477A&gt;G]</v>
      </c>
      <c r="L107" s="3" t="str">
        <f t="shared" si="6"/>
        <v>[37449595C&gt;T]</v>
      </c>
      <c r="M107" s="3" t="e">
        <f t="shared" si="6"/>
        <v>#REF!</v>
      </c>
    </row>
    <row r="108" spans="1:13">
      <c r="A108" s="5"/>
      <c r="B108" s="2"/>
      <c r="J108" s="3" t="str">
        <f t="shared" si="7"/>
        <v>Wildtype</v>
      </c>
      <c r="K108" s="3" t="str">
        <f t="shared" si="6"/>
        <v>[37325477=]</v>
      </c>
      <c r="L108" s="3" t="str">
        <f t="shared" si="6"/>
        <v>[37449595=]</v>
      </c>
      <c r="M108" s="3" t="e">
        <f t="shared" si="6"/>
        <v>#REF!</v>
      </c>
    </row>
    <row r="109" spans="1:13">
      <c r="A109" s="1"/>
      <c r="J109" s="3" t="str">
        <f t="shared" si="7"/>
        <v>Het</v>
      </c>
      <c r="K109" s="3" t="str">
        <f t="shared" si="6"/>
        <v>NC_000001.10:g.[37325477A&gt;G];[37325477=]</v>
      </c>
      <c r="L109" s="3" t="str">
        <f t="shared" si="6"/>
        <v>NC_000001.10:g.[37449595C&gt;T];[37449595=]</v>
      </c>
      <c r="M109" s="3" t="e">
        <f t="shared" si="6"/>
        <v>#REF!</v>
      </c>
    </row>
    <row r="110" spans="1:13">
      <c r="B110" s="29"/>
      <c r="J110" s="3" t="str">
        <f t="shared" si="7"/>
        <v>Homo</v>
      </c>
      <c r="K110" s="3" t="str">
        <f t="shared" si="6"/>
        <v>NC_000001.10:g.[37325477A&gt;G];[37325477A&gt;G]</v>
      </c>
      <c r="L110" s="3" t="str">
        <f t="shared" si="6"/>
        <v>NC_000001.10:g.[37449595C&gt;T];[37449595C&gt;T]</v>
      </c>
      <c r="M110" s="3" t="e">
        <f t="shared" si="6"/>
        <v>#REF!</v>
      </c>
    </row>
    <row r="111" spans="1:13">
      <c r="J111" s="3" t="str">
        <f t="shared" si="7"/>
        <v>Wildtype</v>
      </c>
      <c r="K111" s="3" t="str">
        <f t="shared" si="6"/>
        <v>NC_000001.10:g.[37325477=];[37325477=]</v>
      </c>
      <c r="L111" s="3" t="str">
        <f t="shared" si="6"/>
        <v>NC_000001.10:g.[37449595=];[37449595=]</v>
      </c>
      <c r="M111" s="3" t="e">
        <f t="shared" si="6"/>
        <v>#REF!</v>
      </c>
    </row>
    <row r="112" spans="1:13">
      <c r="J112" s="3" t="str">
        <f t="shared" si="7"/>
        <v>Het%</v>
      </c>
      <c r="K112" s="3">
        <f t="shared" si="6"/>
        <v>43</v>
      </c>
      <c r="L112" s="3">
        <f t="shared" si="6"/>
        <v>1.8</v>
      </c>
      <c r="M112" s="3">
        <f t="shared" si="6"/>
        <v>15.8</v>
      </c>
    </row>
    <row r="113" spans="1:13">
      <c r="A113" s="14"/>
      <c r="J113" s="3" t="str">
        <f t="shared" si="7"/>
        <v>Homo%</v>
      </c>
      <c r="K113" s="3">
        <f t="shared" si="6"/>
        <v>19.899999999999999</v>
      </c>
      <c r="L113" s="3">
        <f t="shared" si="6"/>
        <v>0.5</v>
      </c>
      <c r="M113" s="3">
        <f t="shared" si="6"/>
        <v>4.7</v>
      </c>
    </row>
    <row r="114" spans="1:13">
      <c r="A114" s="26"/>
      <c r="J114" s="3" t="str">
        <f t="shared" si="7"/>
        <v>Wildtype%</v>
      </c>
      <c r="K114" s="3">
        <f t="shared" si="6"/>
        <v>37.1</v>
      </c>
      <c r="L114" s="3">
        <f t="shared" si="6"/>
        <v>97.8</v>
      </c>
      <c r="M114" s="3">
        <f t="shared" si="6"/>
        <v>79.5</v>
      </c>
    </row>
    <row r="115" spans="1:13">
      <c r="A115" s="14"/>
    </row>
    <row r="116" spans="1:13">
      <c r="A116" s="14"/>
    </row>
    <row r="117" spans="1:13">
      <c r="A117" s="26"/>
    </row>
    <row r="118" spans="1:13">
      <c r="A118" s="14"/>
    </row>
    <row r="119" spans="1:13">
      <c r="A119" s="14"/>
    </row>
    <row r="120" spans="1:13">
      <c r="A120" s="14"/>
    </row>
    <row r="121" spans="1:13">
      <c r="A121" s="14"/>
    </row>
    <row r="122" spans="1:13">
      <c r="A122" s="26"/>
    </row>
    <row r="123" spans="1:13">
      <c r="A123" s="26"/>
    </row>
    <row r="124" spans="1:13">
      <c r="A124" s="26"/>
    </row>
    <row r="125" spans="1:13">
      <c r="A125" s="26"/>
    </row>
    <row r="126" spans="1:13">
      <c r="A126" s="26"/>
      <c r="K126" s="3" t="str">
        <f t="shared" ref="K126:M136" si="8">K104</f>
        <v>rs6691840</v>
      </c>
      <c r="L126" s="3" t="str">
        <f t="shared" si="8"/>
        <v>rs3913434</v>
      </c>
      <c r="M126" s="3" t="str">
        <f t="shared" si="8"/>
        <v>rs270838</v>
      </c>
    </row>
    <row r="127" spans="1:13" s="21" customFormat="1">
      <c r="A127" s="28"/>
      <c r="B127" s="20"/>
      <c r="K127" s="21" t="str">
        <f t="shared" si="8"/>
        <v>T928G</v>
      </c>
      <c r="L127" s="21" t="str">
        <f t="shared" si="8"/>
        <v>C36983994T</v>
      </c>
      <c r="M127" s="21" t="e">
        <f t="shared" si="8"/>
        <v>#REF!</v>
      </c>
    </row>
    <row r="128" spans="1:13">
      <c r="A128" s="14"/>
      <c r="K128" s="3" t="str">
        <f t="shared" si="8"/>
        <v>NC_000001.10:g.</v>
      </c>
      <c r="L128" s="3" t="str">
        <f t="shared" si="8"/>
        <v>NC_000001.10:g.</v>
      </c>
      <c r="M128" s="3" t="e">
        <f t="shared" si="8"/>
        <v>#REF!</v>
      </c>
    </row>
    <row r="129" spans="1:13">
      <c r="A129" s="14"/>
      <c r="J129" s="3" t="str">
        <f t="shared" ref="J129:J136" si="9">J107</f>
        <v>Variant</v>
      </c>
      <c r="K129" s="3" t="str">
        <f t="shared" si="8"/>
        <v>[37325477A&gt;G]</v>
      </c>
      <c r="L129" s="3" t="str">
        <f t="shared" si="8"/>
        <v>[37449595C&gt;T]</v>
      </c>
      <c r="M129" s="3" t="e">
        <f t="shared" si="8"/>
        <v>#REF!</v>
      </c>
    </row>
    <row r="130" spans="1:13">
      <c r="A130" s="26"/>
      <c r="J130" s="3" t="str">
        <f t="shared" si="9"/>
        <v>Wildtype</v>
      </c>
      <c r="K130" s="3" t="str">
        <f t="shared" si="8"/>
        <v>[37325477=]</v>
      </c>
      <c r="L130" s="3" t="str">
        <f t="shared" si="8"/>
        <v>[37449595=]</v>
      </c>
      <c r="M130" s="3" t="e">
        <f t="shared" si="8"/>
        <v>#REF!</v>
      </c>
    </row>
    <row r="131" spans="1:13">
      <c r="A131" s="26"/>
      <c r="J131" s="3" t="str">
        <f t="shared" si="9"/>
        <v>Het</v>
      </c>
      <c r="K131" s="3" t="str">
        <f t="shared" si="8"/>
        <v>NC_000001.10:g.[37325477A&gt;G];[37325477=]</v>
      </c>
      <c r="L131" s="3" t="str">
        <f t="shared" si="8"/>
        <v>NC_000001.10:g.[37449595C&gt;T];[37449595=]</v>
      </c>
      <c r="M131" s="3" t="e">
        <f t="shared" si="8"/>
        <v>#REF!</v>
      </c>
    </row>
    <row r="132" spans="1:13">
      <c r="A132" s="26"/>
      <c r="J132" s="3" t="str">
        <f t="shared" si="9"/>
        <v>Homo</v>
      </c>
      <c r="K132" s="3" t="str">
        <f t="shared" si="8"/>
        <v>NC_000001.10:g.[37325477A&gt;G];[37325477A&gt;G]</v>
      </c>
      <c r="L132" s="3" t="str">
        <f t="shared" si="8"/>
        <v>NC_000001.10:g.[37449595C&gt;T];[37449595C&gt;T]</v>
      </c>
      <c r="M132" s="3" t="e">
        <f t="shared" si="8"/>
        <v>#REF!</v>
      </c>
    </row>
    <row r="133" spans="1:13">
      <c r="A133" s="26"/>
      <c r="J133" s="3" t="str">
        <f t="shared" si="9"/>
        <v>Wildtype</v>
      </c>
      <c r="K133" s="3" t="str">
        <f t="shared" si="8"/>
        <v>NC_000001.10:g.[37325477=];[37325477=]</v>
      </c>
      <c r="L133" s="3" t="str">
        <f t="shared" si="8"/>
        <v>NC_000001.10:g.[37449595=];[37449595=]</v>
      </c>
      <c r="M133" s="3" t="e">
        <f t="shared" si="8"/>
        <v>#REF!</v>
      </c>
    </row>
    <row r="134" spans="1:13">
      <c r="A134" s="26"/>
      <c r="J134" s="3" t="str">
        <f t="shared" si="9"/>
        <v>Het%</v>
      </c>
      <c r="K134" s="3">
        <f t="shared" si="8"/>
        <v>43</v>
      </c>
      <c r="L134" s="3">
        <f t="shared" si="8"/>
        <v>1.8</v>
      </c>
      <c r="M134" s="3">
        <f t="shared" si="8"/>
        <v>15.8</v>
      </c>
    </row>
    <row r="135" spans="1:13">
      <c r="A135" s="26"/>
      <c r="J135" s="3" t="str">
        <f t="shared" si="9"/>
        <v>Homo%</v>
      </c>
      <c r="K135" s="3">
        <f t="shared" si="8"/>
        <v>19.899999999999999</v>
      </c>
      <c r="L135" s="3">
        <f t="shared" si="8"/>
        <v>0.5</v>
      </c>
      <c r="M135" s="3">
        <f t="shared" si="8"/>
        <v>4.7</v>
      </c>
    </row>
    <row r="136" spans="1:13">
      <c r="A136" s="14"/>
      <c r="J136" s="3" t="str">
        <f t="shared" si="9"/>
        <v>Wildtype%</v>
      </c>
      <c r="K136" s="3">
        <f t="shared" si="8"/>
        <v>37.1</v>
      </c>
      <c r="L136" s="3">
        <f t="shared" si="8"/>
        <v>97.8</v>
      </c>
      <c r="M136" s="3">
        <f t="shared" si="8"/>
        <v>79.5</v>
      </c>
    </row>
    <row r="137" spans="1:13">
      <c r="A137" s="14"/>
    </row>
    <row r="138" spans="1:13">
      <c r="A138" s="14"/>
    </row>
    <row r="139" spans="1:13">
      <c r="A139" s="14"/>
    </row>
    <row r="140" spans="1:13">
      <c r="A140" s="14"/>
    </row>
    <row r="141" spans="1:13">
      <c r="A141" s="26"/>
    </row>
    <row r="142" spans="1:13">
      <c r="A142" s="26"/>
    </row>
    <row r="143" spans="1:13">
      <c r="A143" s="26"/>
    </row>
    <row r="144" spans="1:13">
      <c r="A144" s="26"/>
    </row>
    <row r="145" spans="1:13">
      <c r="A145" s="26"/>
    </row>
    <row r="146" spans="1:13">
      <c r="A146" s="26"/>
    </row>
    <row r="147" spans="1:13">
      <c r="A147" s="26"/>
    </row>
    <row r="148" spans="1:13">
      <c r="A148" s="26"/>
      <c r="K148" s="3" t="str">
        <f t="shared" ref="K148:M152" si="10">K126</f>
        <v>rs6691840</v>
      </c>
      <c r="L148" s="3" t="str">
        <f t="shared" si="10"/>
        <v>rs3913434</v>
      </c>
      <c r="M148" s="3" t="str">
        <f t="shared" si="10"/>
        <v>rs270838</v>
      </c>
    </row>
    <row r="149" spans="1:13" s="21" customFormat="1">
      <c r="A149" s="28"/>
      <c r="B149" s="20"/>
      <c r="K149" s="21" t="str">
        <f t="shared" si="10"/>
        <v>T928G</v>
      </c>
      <c r="L149" s="21" t="str">
        <f t="shared" si="10"/>
        <v>C36983994T</v>
      </c>
      <c r="M149" s="21" t="e">
        <f t="shared" si="10"/>
        <v>#REF!</v>
      </c>
    </row>
    <row r="150" spans="1:13">
      <c r="A150" s="14"/>
      <c r="K150" s="3" t="str">
        <f t="shared" si="10"/>
        <v>NC_000001.10:g.</v>
      </c>
      <c r="L150" s="3" t="str">
        <f t="shared" si="10"/>
        <v>NC_000001.10:g.</v>
      </c>
      <c r="M150" s="3" t="e">
        <f t="shared" si="10"/>
        <v>#REF!</v>
      </c>
    </row>
    <row r="151" spans="1:13">
      <c r="A151" s="14"/>
      <c r="J151" s="3" t="str">
        <f>J129</f>
        <v>Variant</v>
      </c>
      <c r="K151" s="3" t="str">
        <f t="shared" si="10"/>
        <v>[37325477A&gt;G]</v>
      </c>
      <c r="L151" s="3" t="str">
        <f t="shared" si="10"/>
        <v>[37449595C&gt;T]</v>
      </c>
      <c r="M151" s="3" t="e">
        <f t="shared" si="10"/>
        <v>#REF!</v>
      </c>
    </row>
    <row r="152" spans="1:13">
      <c r="A152" s="26"/>
      <c r="J152" s="3" t="str">
        <f>J130</f>
        <v>Wildtype</v>
      </c>
      <c r="K152" s="3" t="str">
        <f t="shared" si="10"/>
        <v>[37325477=]</v>
      </c>
      <c r="L152" s="3" t="str">
        <f t="shared" si="10"/>
        <v>[37449595=]</v>
      </c>
      <c r="M152" s="3" t="e">
        <f t="shared" si="10"/>
        <v>#REF!</v>
      </c>
    </row>
    <row r="153" spans="1:13">
      <c r="A153" s="26"/>
      <c r="B153" s="36"/>
      <c r="J153" s="3" t="str">
        <f t="shared" ref="J153:M158" si="11">J131</f>
        <v>Het</v>
      </c>
      <c r="K153" s="3" t="str">
        <f t="shared" si="11"/>
        <v>NC_000001.10:g.[37325477A&gt;G];[37325477=]</v>
      </c>
      <c r="L153" s="3" t="str">
        <f t="shared" si="11"/>
        <v>NC_000001.10:g.[37449595C&gt;T];[37449595=]</v>
      </c>
      <c r="M153" s="3" t="e">
        <f t="shared" si="11"/>
        <v>#REF!</v>
      </c>
    </row>
    <row r="154" spans="1:13">
      <c r="A154" s="26"/>
      <c r="J154" s="3" t="str">
        <f t="shared" si="11"/>
        <v>Homo</v>
      </c>
      <c r="K154" s="3" t="str">
        <f t="shared" si="11"/>
        <v>NC_000001.10:g.[37325477A&gt;G];[37325477A&gt;G]</v>
      </c>
      <c r="L154" s="3" t="str">
        <f t="shared" si="11"/>
        <v>NC_000001.10:g.[37449595C&gt;T];[37449595C&gt;T]</v>
      </c>
      <c r="M154" s="3" t="e">
        <f t="shared" si="11"/>
        <v>#REF!</v>
      </c>
    </row>
    <row r="155" spans="1:13">
      <c r="A155" s="26"/>
      <c r="J155" s="3" t="str">
        <f t="shared" si="11"/>
        <v>Wildtype</v>
      </c>
      <c r="K155" s="3" t="str">
        <f t="shared" si="11"/>
        <v>NC_000001.10:g.[37325477=];[37325477=]</v>
      </c>
      <c r="L155" s="3" t="str">
        <f t="shared" si="11"/>
        <v>NC_000001.10:g.[37449595=];[37449595=]</v>
      </c>
      <c r="M155" s="3" t="e">
        <f t="shared" si="11"/>
        <v>#REF!</v>
      </c>
    </row>
    <row r="156" spans="1:13">
      <c r="A156" s="26"/>
      <c r="J156" s="3" t="str">
        <f t="shared" si="11"/>
        <v>Het%</v>
      </c>
      <c r="K156" s="3">
        <f t="shared" si="11"/>
        <v>43</v>
      </c>
      <c r="L156" s="3">
        <f t="shared" si="11"/>
        <v>1.8</v>
      </c>
      <c r="M156" s="3">
        <f t="shared" si="11"/>
        <v>15.8</v>
      </c>
    </row>
    <row r="157" spans="1:13">
      <c r="A157" s="26"/>
      <c r="J157" s="3" t="str">
        <f t="shared" si="11"/>
        <v>Homo%</v>
      </c>
      <c r="K157" s="3">
        <f t="shared" si="11"/>
        <v>19.899999999999999</v>
      </c>
      <c r="L157" s="3">
        <f t="shared" si="11"/>
        <v>0.5</v>
      </c>
      <c r="M157" s="3">
        <f t="shared" si="11"/>
        <v>4.7</v>
      </c>
    </row>
    <row r="158" spans="1:13">
      <c r="A158" s="14"/>
      <c r="J158" s="3" t="str">
        <f t="shared" si="11"/>
        <v>Wildtype%</v>
      </c>
      <c r="K158" s="3">
        <f t="shared" si="11"/>
        <v>37.1</v>
      </c>
      <c r="L158" s="3">
        <f t="shared" si="11"/>
        <v>97.8</v>
      </c>
      <c r="M158" s="3">
        <f t="shared" si="11"/>
        <v>79.5</v>
      </c>
    </row>
    <row r="159" spans="1:13">
      <c r="A159" s="14"/>
    </row>
    <row r="160" spans="1:13">
      <c r="A160" s="14"/>
    </row>
    <row r="161" spans="1:13">
      <c r="A161" s="14"/>
    </row>
    <row r="162" spans="1:13">
      <c r="A162" s="14"/>
    </row>
    <row r="163" spans="1:13">
      <c r="A163" s="26"/>
    </row>
    <row r="164" spans="1:13">
      <c r="A164" s="26"/>
    </row>
    <row r="165" spans="1:13">
      <c r="A165" s="26"/>
    </row>
    <row r="166" spans="1:13">
      <c r="A166" s="26"/>
    </row>
    <row r="167" spans="1:13">
      <c r="A167" s="26"/>
    </row>
    <row r="168" spans="1:13">
      <c r="A168" s="26"/>
    </row>
    <row r="169" spans="1:13">
      <c r="A169" s="26"/>
    </row>
    <row r="170" spans="1:13">
      <c r="A170" s="26"/>
      <c r="K170" s="3" t="str">
        <f t="shared" ref="K170:M172" si="12">K148</f>
        <v>rs6691840</v>
      </c>
      <c r="L170" s="3" t="str">
        <f t="shared" si="12"/>
        <v>rs3913434</v>
      </c>
      <c r="M170" s="3" t="str">
        <f t="shared" si="12"/>
        <v>rs270838</v>
      </c>
    </row>
    <row r="171" spans="1:13" s="21" customFormat="1">
      <c r="A171" s="28" t="s">
        <v>69</v>
      </c>
      <c r="B171" s="20" t="str">
        <f>CONCATENATE(B39," and ",B83)</f>
        <v>T928G (T;G) and C36983994T (C;T)</v>
      </c>
      <c r="C171" s="21" t="str">
        <f>CONCATENATE("&lt;# ",B171," #&gt;")</f>
        <v>&lt;# T928G (T;G) and C36983994T (C;T) #&gt;</v>
      </c>
      <c r="K171" s="21" t="str">
        <f t="shared" si="12"/>
        <v>T928G</v>
      </c>
      <c r="L171" s="21" t="str">
        <f t="shared" si="12"/>
        <v>C36983994T</v>
      </c>
      <c r="M171" s="21" t="e">
        <f t="shared" si="12"/>
        <v>#REF!</v>
      </c>
    </row>
    <row r="172" spans="1:13">
      <c r="A172" s="14" t="s">
        <v>21</v>
      </c>
      <c r="B172" s="15" t="str">
        <f>K87</f>
        <v>NC_000001.10:g.[37325477A&gt;G];[37325477=]</v>
      </c>
      <c r="K172" s="3" t="str">
        <f t="shared" si="12"/>
        <v>NC_000001.10:g.</v>
      </c>
      <c r="L172" s="3" t="str">
        <f t="shared" si="12"/>
        <v>NC_000001.10:g.</v>
      </c>
      <c r="M172" s="3" t="e">
        <f t="shared" si="12"/>
        <v>#REF!</v>
      </c>
    </row>
    <row r="173" spans="1:13">
      <c r="A173" s="14" t="s">
        <v>71</v>
      </c>
      <c r="C173" s="3" t="str">
        <f>CONCATENATE("  &lt;Analysis name=",CHAR(34),B171,CHAR(34))</f>
        <v xml:space="preserve">  &lt;Analysis name="T928G (T;G) and C36983994T (C;T)"</v>
      </c>
      <c r="J173" s="3" t="str">
        <f t="shared" ref="J173:M180" si="13">J151</f>
        <v>Variant</v>
      </c>
      <c r="K173" s="3" t="str">
        <f t="shared" si="13"/>
        <v>[37325477A&gt;G]</v>
      </c>
      <c r="L173" s="3" t="str">
        <f t="shared" si="13"/>
        <v>[37449595C&gt;T]</v>
      </c>
      <c r="M173" s="3" t="e">
        <f t="shared" si="13"/>
        <v>#REF!</v>
      </c>
    </row>
    <row r="174" spans="1:13">
      <c r="A174" s="26" t="s">
        <v>74</v>
      </c>
      <c r="B174" s="15" t="str">
        <f>CONCATENATE("People with this variant have one copy of the ",B22, ", and ",B31," variants. This substitution of a single nucleotide is known as a missense mutation.")</f>
        <v>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c r="C174" s="3" t="str">
        <f>CONCATENATE("            case={  variantCall ",CHAR(40),CHAR(34),K175,CHAR(34),CHAR(41))</f>
        <v xml:space="preserve">            case={  variantCall ("NC_000001.10:g.[37325477A&gt;G];[37325477=]")</v>
      </c>
      <c r="J174" s="3" t="str">
        <f t="shared" si="13"/>
        <v>Wildtype</v>
      </c>
      <c r="K174" s="3" t="str">
        <f t="shared" si="13"/>
        <v>[37325477=]</v>
      </c>
      <c r="L174" s="3" t="str">
        <f t="shared" si="13"/>
        <v>[37449595=]</v>
      </c>
      <c r="M174" s="3" t="e">
        <f t="shared" si="13"/>
        <v>#REF!</v>
      </c>
    </row>
    <row r="175" spans="1:13">
      <c r="A175" s="26" t="s">
        <v>28</v>
      </c>
      <c r="B175" s="15" t="s">
        <v>113</v>
      </c>
      <c r="C175" s="3" t="s">
        <v>70</v>
      </c>
      <c r="J175" s="3" t="str">
        <f t="shared" si="13"/>
        <v>Het</v>
      </c>
      <c r="K175" s="3" t="str">
        <f t="shared" si="13"/>
        <v>NC_000001.10:g.[37325477A&gt;G];[37325477=]</v>
      </c>
      <c r="L175" s="3" t="str">
        <f t="shared" si="13"/>
        <v>NC_000001.10:g.[37449595C&gt;T];[37449595=]</v>
      </c>
      <c r="M175" s="3" t="e">
        <f t="shared" si="13"/>
        <v>#REF!</v>
      </c>
    </row>
    <row r="176" spans="1:13">
      <c r="A176" s="26" t="s">
        <v>72</v>
      </c>
      <c r="C176" s="3" t="str">
        <f>CONCATENATE("                    variantCall ",CHAR(40),CHAR(34),L175,CHAR(34),CHAR(41))</f>
        <v xml:space="preserve">                    variantCall ("NC_000001.10:g.[37449595C&gt;T];[37449595=]")</v>
      </c>
      <c r="J176" s="3" t="str">
        <f t="shared" si="13"/>
        <v>Homo</v>
      </c>
      <c r="K176" s="3" t="str">
        <f t="shared" si="13"/>
        <v>NC_000001.10:g.[37325477A&gt;G];[37325477A&gt;G]</v>
      </c>
      <c r="L176" s="3" t="str">
        <f t="shared" si="13"/>
        <v>NC_000001.10:g.[37449595C&gt;T];[37449595C&gt;T]</v>
      </c>
      <c r="M176" s="3" t="e">
        <f t="shared" si="13"/>
        <v>#REF!</v>
      </c>
    </row>
    <row r="177" spans="1:13">
      <c r="A177" s="26"/>
      <c r="J177" s="3" t="str">
        <f t="shared" si="13"/>
        <v>Wildtype</v>
      </c>
      <c r="K177" s="3" t="str">
        <f t="shared" si="13"/>
        <v>NC_000001.10:g.[37325477=];[37325477=]</v>
      </c>
      <c r="L177" s="3" t="str">
        <f t="shared" si="13"/>
        <v>NC_000001.10:g.[37449595=];[37449595=]</v>
      </c>
      <c r="M177" s="3" t="e">
        <f t="shared" si="13"/>
        <v>#REF!</v>
      </c>
    </row>
    <row r="178" spans="1:13">
      <c r="A178" s="26"/>
      <c r="J178" s="3" t="str">
        <f t="shared" si="13"/>
        <v>Het%</v>
      </c>
      <c r="K178" s="3">
        <f t="shared" si="13"/>
        <v>43</v>
      </c>
      <c r="L178" s="3">
        <f t="shared" si="13"/>
        <v>1.8</v>
      </c>
      <c r="M178" s="3">
        <f t="shared" si="13"/>
        <v>15.8</v>
      </c>
    </row>
    <row r="179" spans="1:13">
      <c r="A179" s="26"/>
      <c r="C179" s="3" t="str">
        <f>CONCATENATE("                  } &gt; ")</f>
        <v xml:space="preserve">                  } &gt; </v>
      </c>
      <c r="J179" s="3" t="str">
        <f t="shared" si="13"/>
        <v>Homo%</v>
      </c>
      <c r="K179" s="3">
        <f t="shared" si="13"/>
        <v>19.899999999999999</v>
      </c>
      <c r="L179" s="3">
        <f t="shared" si="13"/>
        <v>0.5</v>
      </c>
      <c r="M179" s="3">
        <f t="shared" si="13"/>
        <v>4.7</v>
      </c>
    </row>
    <row r="180" spans="1:13">
      <c r="A180" s="14"/>
      <c r="J180" s="3" t="str">
        <f t="shared" si="13"/>
        <v>Wildtype%</v>
      </c>
      <c r="K180" s="3">
        <f t="shared" si="13"/>
        <v>37.1</v>
      </c>
      <c r="L180" s="3">
        <f t="shared" si="13"/>
        <v>97.8</v>
      </c>
      <c r="M180" s="3">
        <f t="shared" si="13"/>
        <v>79.5</v>
      </c>
    </row>
    <row r="181" spans="1:13">
      <c r="A181" s="14"/>
      <c r="C181" s="3" t="s">
        <v>26</v>
      </c>
    </row>
    <row r="182" spans="1:13">
      <c r="A182" s="14"/>
    </row>
    <row r="183" spans="1:13">
      <c r="A183" s="14"/>
      <c r="C183" s="3" t="str">
        <f>CONCATENATE("    ",B174)</f>
        <v xml:space="preserve">    People with this variant have one copy of the [T928G](https://www.ncbi.nlm.nih.gov/projects/SNP/snp_ref.cgi?rs=6691840)[(Ser310Ala)](https://www.ncbi.nlm.nih.gov/pubmed/11986986), and [C36983994T](https://www.ncbi.nlm.nih.gov/projects/SNP/snp_ref.cgi?rs=3913434) variants. This substitution of a single nucleotide is known as a missense mutation.</v>
      </c>
    </row>
    <row r="184" spans="1:13">
      <c r="A184" s="14"/>
    </row>
    <row r="185" spans="1:13">
      <c r="A185" s="26"/>
      <c r="C185" s="3" t="s">
        <v>29</v>
      </c>
    </row>
    <row r="186" spans="1:13">
      <c r="A186" s="26"/>
    </row>
    <row r="187" spans="1:13">
      <c r="A187" s="26"/>
      <c r="C187" s="3" t="str">
        <f>CONCATENATE(B175)</f>
        <v xml:space="preserve">    There is currently no data on the interaction between these variants.  However, some information exists on the individual variants. 
    # What is the effect of T928G?
    Having one copy of T928G has been linked [recurrent major depressive disorder](https://www.ncbi.nlm.nih.gov/pubmed/16958029) and was found to increase the risk of [schizophrenia](https://www.ncbi.nlm.nih.gov/pubmed/19921975/) by [30%](https://www.ncbi.nlm.nih.gov/pubmed/25054019?dopt=Abstract).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188" spans="1:13">
      <c r="A188" s="26"/>
    </row>
    <row r="189" spans="1:13">
      <c r="A189" s="26"/>
      <c r="C189" s="3" t="s">
        <v>30</v>
      </c>
    </row>
    <row r="190" spans="1:13">
      <c r="A190" s="26"/>
    </row>
    <row r="191" spans="1:13">
      <c r="A191" s="26"/>
      <c r="C191" s="3" t="str">
        <f>CONCATENATE( "    &lt;piechart percentage=",B176," /&gt;")</f>
        <v xml:space="preserve">    &lt;piechart percentage= /&gt;</v>
      </c>
    </row>
    <row r="192" spans="1:13">
      <c r="A192" s="26"/>
      <c r="C192" s="3" t="str">
        <f>"  &lt;/Analysis&gt;"</f>
        <v xml:space="preserve">  &lt;/Analysis&gt;</v>
      </c>
      <c r="K192" s="3" t="str">
        <f t="shared" ref="K192:M194" si="14">K170</f>
        <v>rs6691840</v>
      </c>
      <c r="L192" s="3" t="str">
        <f t="shared" si="14"/>
        <v>rs3913434</v>
      </c>
      <c r="M192" s="3" t="str">
        <f t="shared" si="14"/>
        <v>rs270838</v>
      </c>
    </row>
    <row r="193" spans="1:13" s="21" customFormat="1">
      <c r="A193" s="28"/>
      <c r="B193" s="20"/>
      <c r="K193" s="21" t="str">
        <f t="shared" si="14"/>
        <v>T928G</v>
      </c>
      <c r="L193" s="21" t="str">
        <f t="shared" si="14"/>
        <v>C36983994T</v>
      </c>
      <c r="M193" s="21" t="e">
        <f t="shared" si="14"/>
        <v>#REF!</v>
      </c>
    </row>
    <row r="194" spans="1:13">
      <c r="A194" s="14"/>
      <c r="K194" s="3" t="str">
        <f t="shared" si="14"/>
        <v>NC_000001.10:g.</v>
      </c>
      <c r="L194" s="3" t="str">
        <f t="shared" si="14"/>
        <v>NC_000001.10:g.</v>
      </c>
      <c r="M194" s="3" t="e">
        <f t="shared" si="14"/>
        <v>#REF!</v>
      </c>
    </row>
    <row r="195" spans="1:13">
      <c r="A195" s="14"/>
      <c r="J195" s="3" t="str">
        <f t="shared" ref="J195:M202" si="15">J173</f>
        <v>Variant</v>
      </c>
      <c r="K195" s="3" t="str">
        <f t="shared" si="15"/>
        <v>[37325477A&gt;G]</v>
      </c>
      <c r="L195" s="3" t="str">
        <f t="shared" si="15"/>
        <v>[37449595C&gt;T]</v>
      </c>
      <c r="M195" s="3" t="e">
        <f t="shared" si="15"/>
        <v>#REF!</v>
      </c>
    </row>
    <row r="196" spans="1:13">
      <c r="A196" s="26"/>
      <c r="J196" s="3" t="str">
        <f t="shared" si="15"/>
        <v>Wildtype</v>
      </c>
      <c r="K196" s="3" t="str">
        <f t="shared" si="15"/>
        <v>[37325477=]</v>
      </c>
      <c r="L196" s="3" t="str">
        <f t="shared" si="15"/>
        <v>[37449595=]</v>
      </c>
      <c r="M196" s="3" t="e">
        <f t="shared" si="15"/>
        <v>#REF!</v>
      </c>
    </row>
    <row r="197" spans="1:13">
      <c r="A197" s="26"/>
      <c r="J197" s="3" t="str">
        <f t="shared" si="15"/>
        <v>Het</v>
      </c>
      <c r="K197" s="3" t="str">
        <f t="shared" si="15"/>
        <v>NC_000001.10:g.[37325477A&gt;G];[37325477=]</v>
      </c>
      <c r="L197" s="3" t="str">
        <f t="shared" si="15"/>
        <v>NC_000001.10:g.[37449595C&gt;T];[37449595=]</v>
      </c>
      <c r="M197" s="3" t="e">
        <f t="shared" si="15"/>
        <v>#REF!</v>
      </c>
    </row>
    <row r="198" spans="1:13">
      <c r="A198" s="26"/>
      <c r="J198" s="3" t="str">
        <f t="shared" si="15"/>
        <v>Homo</v>
      </c>
      <c r="K198" s="3" t="str">
        <f t="shared" si="15"/>
        <v>NC_000001.10:g.[37325477A&gt;G];[37325477A&gt;G]</v>
      </c>
      <c r="L198" s="3" t="str">
        <f t="shared" si="15"/>
        <v>NC_000001.10:g.[37449595C&gt;T];[37449595C&gt;T]</v>
      </c>
      <c r="M198" s="3" t="e">
        <f t="shared" si="15"/>
        <v>#REF!</v>
      </c>
    </row>
    <row r="199" spans="1:13">
      <c r="A199" s="26"/>
      <c r="J199" s="3" t="str">
        <f t="shared" si="15"/>
        <v>Wildtype</v>
      </c>
      <c r="K199" s="3" t="str">
        <f t="shared" si="15"/>
        <v>NC_000001.10:g.[37325477=];[37325477=]</v>
      </c>
      <c r="L199" s="3" t="str">
        <f t="shared" si="15"/>
        <v>NC_000001.10:g.[37449595=];[37449595=]</v>
      </c>
      <c r="M199" s="3" t="e">
        <f t="shared" si="15"/>
        <v>#REF!</v>
      </c>
    </row>
    <row r="200" spans="1:13">
      <c r="A200" s="26"/>
      <c r="J200" s="3" t="str">
        <f t="shared" si="15"/>
        <v>Het%</v>
      </c>
      <c r="K200" s="3">
        <f t="shared" si="15"/>
        <v>43</v>
      </c>
      <c r="L200" s="3">
        <f t="shared" si="15"/>
        <v>1.8</v>
      </c>
      <c r="M200" s="3">
        <f t="shared" si="15"/>
        <v>15.8</v>
      </c>
    </row>
    <row r="201" spans="1:13">
      <c r="A201" s="26"/>
      <c r="J201" s="3" t="str">
        <f t="shared" si="15"/>
        <v>Homo%</v>
      </c>
      <c r="K201" s="3">
        <f t="shared" si="15"/>
        <v>19.899999999999999</v>
      </c>
      <c r="L201" s="3">
        <f t="shared" si="15"/>
        <v>0.5</v>
      </c>
      <c r="M201" s="3">
        <f t="shared" si="15"/>
        <v>4.7</v>
      </c>
    </row>
    <row r="202" spans="1:13">
      <c r="A202" s="14"/>
      <c r="J202" s="3" t="str">
        <f t="shared" si="15"/>
        <v>Wildtype%</v>
      </c>
      <c r="K202" s="3">
        <f t="shared" si="15"/>
        <v>37.1</v>
      </c>
      <c r="L202" s="3">
        <f t="shared" si="15"/>
        <v>97.8</v>
      </c>
      <c r="M202" s="3">
        <f t="shared" si="15"/>
        <v>79.5</v>
      </c>
    </row>
    <row r="203" spans="1:13">
      <c r="A203" s="14"/>
    </row>
    <row r="204" spans="1:13">
      <c r="A204" s="14"/>
    </row>
    <row r="205" spans="1:13">
      <c r="A205" s="14"/>
    </row>
    <row r="206" spans="1:13">
      <c r="A206" s="14"/>
    </row>
    <row r="207" spans="1:13">
      <c r="A207" s="26"/>
    </row>
    <row r="208" spans="1:13">
      <c r="A208" s="26"/>
    </row>
    <row r="209" spans="1:13">
      <c r="A209" s="26"/>
    </row>
    <row r="210" spans="1:13">
      <c r="A210" s="26"/>
    </row>
    <row r="211" spans="1:13">
      <c r="A211" s="26"/>
    </row>
    <row r="212" spans="1:13">
      <c r="A212" s="26"/>
    </row>
    <row r="213" spans="1:13">
      <c r="A213" s="26"/>
    </row>
    <row r="214" spans="1:13">
      <c r="A214" s="26"/>
      <c r="K214" s="3" t="str">
        <f t="shared" ref="K214:M216" si="16">K192</f>
        <v>rs6691840</v>
      </c>
      <c r="L214" s="3" t="str">
        <f t="shared" si="16"/>
        <v>rs3913434</v>
      </c>
      <c r="M214" s="3" t="str">
        <f t="shared" si="16"/>
        <v>rs270838</v>
      </c>
    </row>
    <row r="215" spans="1:13" s="21" customFormat="1">
      <c r="A215" s="28" t="s">
        <v>69</v>
      </c>
      <c r="B215" s="20" t="str">
        <f>CONCATENATE(B61," and ",B83)</f>
        <v>T928G (G;G) and C36983994T (C;T)</v>
      </c>
      <c r="C215" s="21" t="str">
        <f>CONCATENATE("&lt;# ",B215," #&gt;")</f>
        <v>&lt;# T928G (G;G) and C36983994T (C;T) #&gt;</v>
      </c>
      <c r="K215" s="21" t="str">
        <f t="shared" si="16"/>
        <v>T928G</v>
      </c>
      <c r="L215" s="21" t="str">
        <f t="shared" si="16"/>
        <v>C36983994T</v>
      </c>
      <c r="M215" s="21" t="e">
        <f t="shared" si="16"/>
        <v>#REF!</v>
      </c>
    </row>
    <row r="216" spans="1:13">
      <c r="A216" s="14" t="s">
        <v>21</v>
      </c>
      <c r="B216" s="15" t="str">
        <f>K131</f>
        <v>NC_000001.10:g.[37325477A&gt;G];[37325477=]</v>
      </c>
      <c r="K216" s="3" t="str">
        <f t="shared" si="16"/>
        <v>NC_000001.10:g.</v>
      </c>
      <c r="L216" s="3" t="str">
        <f t="shared" si="16"/>
        <v>NC_000001.10:g.</v>
      </c>
      <c r="M216" s="3" t="e">
        <f t="shared" si="16"/>
        <v>#REF!</v>
      </c>
    </row>
    <row r="217" spans="1:13">
      <c r="A217" s="14" t="s">
        <v>71</v>
      </c>
      <c r="C217" s="3" t="str">
        <f>CONCATENATE("  &lt;Analysis name=",CHAR(34),B215,CHAR(34))</f>
        <v xml:space="preserve">  &lt;Analysis name="T928G (G;G) and C36983994T (C;T)"</v>
      </c>
      <c r="J217" s="3" t="str">
        <f t="shared" ref="J217:M224" si="17">J195</f>
        <v>Variant</v>
      </c>
      <c r="K217" s="3" t="str">
        <f t="shared" si="17"/>
        <v>[37325477A&gt;G]</v>
      </c>
      <c r="L217" s="3" t="str">
        <f t="shared" si="17"/>
        <v>[37449595C&gt;T]</v>
      </c>
      <c r="M217" s="3" t="e">
        <f t="shared" si="17"/>
        <v>#REF!</v>
      </c>
    </row>
    <row r="218" spans="1:13">
      <c r="A218" s="26" t="s">
        <v>74</v>
      </c>
      <c r="B218" s="15" t="str">
        <f>CONCATENATE("People with this variant have two copies of the ",B22," variant and one copy of the ",B31," variant. This substitution of a single nucleotide is known as a missense mutation.")</f>
        <v>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c r="C218" s="3" t="str">
        <f>CONCATENATE("            case={  variantCall ",CHAR(40),CHAR(34),K219,CHAR(34),CHAR(41))</f>
        <v xml:space="preserve">            case={  variantCall ("NC_000001.10:g.[37325477A&gt;G];[37325477=]")</v>
      </c>
      <c r="J218" s="3" t="str">
        <f t="shared" si="17"/>
        <v>Wildtype</v>
      </c>
      <c r="K218" s="3" t="str">
        <f t="shared" si="17"/>
        <v>[37325477=]</v>
      </c>
      <c r="L218" s="3" t="str">
        <f t="shared" si="17"/>
        <v>[37449595=]</v>
      </c>
      <c r="M218" s="3" t="e">
        <f t="shared" si="17"/>
        <v>#REF!</v>
      </c>
    </row>
    <row r="219" spans="1:13">
      <c r="A219" s="26" t="s">
        <v>28</v>
      </c>
      <c r="B219" s="3" t="s">
        <v>115</v>
      </c>
      <c r="C219" s="3" t="s">
        <v>70</v>
      </c>
      <c r="J219" s="3" t="str">
        <f t="shared" si="17"/>
        <v>Het</v>
      </c>
      <c r="K219" s="3" t="str">
        <f t="shared" si="17"/>
        <v>NC_000001.10:g.[37325477A&gt;G];[37325477=]</v>
      </c>
      <c r="L219" s="3" t="str">
        <f t="shared" si="17"/>
        <v>NC_000001.10:g.[37449595C&gt;T];[37449595=]</v>
      </c>
      <c r="M219" s="3" t="e">
        <f t="shared" si="17"/>
        <v>#REF!</v>
      </c>
    </row>
    <row r="220" spans="1:13">
      <c r="A220" s="26" t="s">
        <v>72</v>
      </c>
      <c r="C220" s="3" t="str">
        <f>CONCATENATE("                    variantCall ",CHAR(40),CHAR(34),L219,CHAR(34),CHAR(41))</f>
        <v xml:space="preserve">                    variantCall ("NC_000001.10:g.[37449595C&gt;T];[37449595=]")</v>
      </c>
      <c r="J220" s="3" t="str">
        <f t="shared" si="17"/>
        <v>Homo</v>
      </c>
      <c r="K220" s="3" t="str">
        <f t="shared" si="17"/>
        <v>NC_000001.10:g.[37325477A&gt;G];[37325477A&gt;G]</v>
      </c>
      <c r="L220" s="3" t="str">
        <f t="shared" si="17"/>
        <v>NC_000001.10:g.[37449595C&gt;T];[37449595C&gt;T]</v>
      </c>
      <c r="M220" s="3" t="e">
        <f t="shared" si="17"/>
        <v>#REF!</v>
      </c>
    </row>
    <row r="221" spans="1:13">
      <c r="A221" s="26"/>
      <c r="J221" s="3" t="str">
        <f t="shared" si="17"/>
        <v>Wildtype</v>
      </c>
      <c r="K221" s="3" t="str">
        <f t="shared" si="17"/>
        <v>NC_000001.10:g.[37325477=];[37325477=]</v>
      </c>
      <c r="L221" s="3" t="str">
        <f t="shared" si="17"/>
        <v>NC_000001.10:g.[37449595=];[37449595=]</v>
      </c>
      <c r="M221" s="3" t="e">
        <f t="shared" si="17"/>
        <v>#REF!</v>
      </c>
    </row>
    <row r="222" spans="1:13">
      <c r="A222" s="26"/>
      <c r="J222" s="3" t="str">
        <f t="shared" si="17"/>
        <v>Het%</v>
      </c>
      <c r="K222" s="3">
        <f t="shared" si="17"/>
        <v>43</v>
      </c>
      <c r="L222" s="3">
        <f t="shared" si="17"/>
        <v>1.8</v>
      </c>
      <c r="M222" s="3">
        <f t="shared" si="17"/>
        <v>15.8</v>
      </c>
    </row>
    <row r="223" spans="1:13">
      <c r="A223" s="26"/>
      <c r="C223" s="3" t="str">
        <f>CONCATENATE("                  } &gt; ")</f>
        <v xml:space="preserve">                  } &gt; </v>
      </c>
      <c r="J223" s="3" t="str">
        <f t="shared" si="17"/>
        <v>Homo%</v>
      </c>
      <c r="K223" s="3">
        <f t="shared" si="17"/>
        <v>19.899999999999999</v>
      </c>
      <c r="L223" s="3">
        <f t="shared" si="17"/>
        <v>0.5</v>
      </c>
      <c r="M223" s="3">
        <f t="shared" si="17"/>
        <v>4.7</v>
      </c>
    </row>
    <row r="224" spans="1:13">
      <c r="A224" s="14"/>
      <c r="J224" s="3" t="str">
        <f t="shared" si="17"/>
        <v>Wildtype%</v>
      </c>
      <c r="K224" s="3">
        <f t="shared" si="17"/>
        <v>37.1</v>
      </c>
      <c r="L224" s="3">
        <f t="shared" si="17"/>
        <v>97.8</v>
      </c>
      <c r="M224" s="3">
        <f t="shared" si="17"/>
        <v>79.5</v>
      </c>
    </row>
    <row r="225" spans="1:13">
      <c r="A225" s="14"/>
      <c r="C225" s="3" t="s">
        <v>26</v>
      </c>
    </row>
    <row r="226" spans="1:13">
      <c r="A226" s="14"/>
    </row>
    <row r="227" spans="1:13">
      <c r="A227" s="14"/>
      <c r="C227" s="3" t="str">
        <f>CONCATENATE("    ",B218)</f>
        <v xml:space="preserve">    People with this variant have two copies of the [T928G](https://www.ncbi.nlm.nih.gov/projects/SNP/snp_ref.cgi?rs=6691840)[(Ser310Ala)](https://www.ncbi.nlm.nih.gov/pubmed/11986986) variant and one copy of the [C36983994T](https://www.ncbi.nlm.nih.gov/projects/SNP/snp_ref.cgi?rs=3913434) variant. This substitution of a single nucleotide is known as a missense mutation.</v>
      </c>
    </row>
    <row r="228" spans="1:13">
      <c r="A228" s="14"/>
    </row>
    <row r="229" spans="1:13">
      <c r="A229" s="26"/>
      <c r="C229" s="3" t="s">
        <v>29</v>
      </c>
    </row>
    <row r="230" spans="1:13">
      <c r="A230" s="26"/>
    </row>
    <row r="231" spans="1:13">
      <c r="A231" s="26"/>
      <c r="C231" s="3" t="str">
        <f>CONCATENATE(B219)</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32" spans="1:13">
      <c r="A232" s="26"/>
    </row>
    <row r="233" spans="1:13">
      <c r="A233" s="26"/>
      <c r="C233" s="3" t="s">
        <v>30</v>
      </c>
    </row>
    <row r="234" spans="1:13">
      <c r="A234" s="26"/>
    </row>
    <row r="235" spans="1:13">
      <c r="A235" s="26"/>
      <c r="C235" s="3" t="str">
        <f>CONCATENATE( "    &lt;piechart percentage=",B220," /&gt;")</f>
        <v xml:space="preserve">    &lt;piechart percentage= /&gt;</v>
      </c>
    </row>
    <row r="236" spans="1:13">
      <c r="A236" s="26"/>
      <c r="C236" s="3" t="str">
        <f>"  &lt;/Analysis&gt;"</f>
        <v xml:space="preserve">  &lt;/Analysis&gt;</v>
      </c>
      <c r="K236" s="3" t="str">
        <f t="shared" ref="K236:M238" si="18">K214</f>
        <v>rs6691840</v>
      </c>
      <c r="L236" s="3" t="str">
        <f t="shared" si="18"/>
        <v>rs3913434</v>
      </c>
      <c r="M236" s="3" t="str">
        <f t="shared" si="18"/>
        <v>rs270838</v>
      </c>
    </row>
    <row r="237" spans="1:13" s="21" customFormat="1">
      <c r="A237" s="28"/>
      <c r="B237" s="20"/>
      <c r="K237" s="21" t="str">
        <f t="shared" si="18"/>
        <v>T928G</v>
      </c>
      <c r="L237" s="21" t="str">
        <f t="shared" si="18"/>
        <v>C36983994T</v>
      </c>
      <c r="M237" s="21" t="e">
        <f t="shared" si="18"/>
        <v>#REF!</v>
      </c>
    </row>
    <row r="238" spans="1:13">
      <c r="A238" s="14"/>
      <c r="K238" s="3" t="str">
        <f t="shared" si="18"/>
        <v>NC_000001.10:g.</v>
      </c>
      <c r="L238" s="3" t="str">
        <f t="shared" si="18"/>
        <v>NC_000001.10:g.</v>
      </c>
      <c r="M238" s="3" t="e">
        <f t="shared" si="18"/>
        <v>#REF!</v>
      </c>
    </row>
    <row r="239" spans="1:13">
      <c r="A239" s="14"/>
      <c r="J239" s="3" t="str">
        <f t="shared" ref="J239:M246" si="19">J217</f>
        <v>Variant</v>
      </c>
      <c r="K239" s="3" t="str">
        <f t="shared" si="19"/>
        <v>[37325477A&gt;G]</v>
      </c>
      <c r="L239" s="3" t="str">
        <f t="shared" si="19"/>
        <v>[37449595C&gt;T]</v>
      </c>
      <c r="M239" s="3" t="e">
        <f t="shared" si="19"/>
        <v>#REF!</v>
      </c>
    </row>
    <row r="240" spans="1:13">
      <c r="A240" s="26"/>
      <c r="J240" s="3" t="str">
        <f t="shared" si="19"/>
        <v>Wildtype</v>
      </c>
      <c r="K240" s="3" t="str">
        <f t="shared" si="19"/>
        <v>[37325477=]</v>
      </c>
      <c r="L240" s="3" t="str">
        <f t="shared" si="19"/>
        <v>[37449595=]</v>
      </c>
      <c r="M240" s="3" t="e">
        <f t="shared" si="19"/>
        <v>#REF!</v>
      </c>
    </row>
    <row r="241" spans="1:13">
      <c r="A241" s="26"/>
      <c r="J241" s="3" t="str">
        <f t="shared" si="19"/>
        <v>Het</v>
      </c>
      <c r="K241" s="3" t="str">
        <f t="shared" si="19"/>
        <v>NC_000001.10:g.[37325477A&gt;G];[37325477=]</v>
      </c>
      <c r="L241" s="3" t="str">
        <f t="shared" si="19"/>
        <v>NC_000001.10:g.[37449595C&gt;T];[37449595=]</v>
      </c>
      <c r="M241" s="3" t="e">
        <f t="shared" si="19"/>
        <v>#REF!</v>
      </c>
    </row>
    <row r="242" spans="1:13">
      <c r="A242" s="26"/>
      <c r="J242" s="3" t="str">
        <f t="shared" si="19"/>
        <v>Homo</v>
      </c>
      <c r="K242" s="3" t="str">
        <f t="shared" si="19"/>
        <v>NC_000001.10:g.[37325477A&gt;G];[37325477A&gt;G]</v>
      </c>
      <c r="L242" s="3" t="str">
        <f t="shared" si="19"/>
        <v>NC_000001.10:g.[37449595C&gt;T];[37449595C&gt;T]</v>
      </c>
      <c r="M242" s="3" t="e">
        <f t="shared" si="19"/>
        <v>#REF!</v>
      </c>
    </row>
    <row r="243" spans="1:13">
      <c r="A243" s="26"/>
      <c r="J243" s="3" t="str">
        <f t="shared" si="19"/>
        <v>Wildtype</v>
      </c>
      <c r="K243" s="3" t="str">
        <f t="shared" si="19"/>
        <v>NC_000001.10:g.[37325477=];[37325477=]</v>
      </c>
      <c r="L243" s="3" t="str">
        <f t="shared" si="19"/>
        <v>NC_000001.10:g.[37449595=];[37449595=]</v>
      </c>
      <c r="M243" s="3" t="e">
        <f t="shared" si="19"/>
        <v>#REF!</v>
      </c>
    </row>
    <row r="244" spans="1:13">
      <c r="A244" s="26"/>
      <c r="J244" s="3" t="str">
        <f t="shared" si="19"/>
        <v>Het%</v>
      </c>
      <c r="K244" s="3">
        <f t="shared" si="19"/>
        <v>43</v>
      </c>
      <c r="L244" s="3">
        <f t="shared" si="19"/>
        <v>1.8</v>
      </c>
      <c r="M244" s="3">
        <f t="shared" si="19"/>
        <v>15.8</v>
      </c>
    </row>
    <row r="245" spans="1:13">
      <c r="A245" s="26"/>
      <c r="J245" s="3" t="str">
        <f t="shared" si="19"/>
        <v>Homo%</v>
      </c>
      <c r="K245" s="3">
        <f t="shared" si="19"/>
        <v>19.899999999999999</v>
      </c>
      <c r="L245" s="3">
        <f t="shared" si="19"/>
        <v>0.5</v>
      </c>
      <c r="M245" s="3">
        <f t="shared" si="19"/>
        <v>4.7</v>
      </c>
    </row>
    <row r="246" spans="1:13">
      <c r="A246" s="14"/>
      <c r="J246" s="3" t="str">
        <f t="shared" si="19"/>
        <v>Wildtype%</v>
      </c>
      <c r="K246" s="3">
        <f t="shared" si="19"/>
        <v>37.1</v>
      </c>
      <c r="L246" s="3">
        <f t="shared" si="19"/>
        <v>97.8</v>
      </c>
      <c r="M246" s="3">
        <f t="shared" si="19"/>
        <v>79.5</v>
      </c>
    </row>
    <row r="247" spans="1:13">
      <c r="A247" s="14"/>
    </row>
    <row r="248" spans="1:13">
      <c r="A248" s="14"/>
    </row>
    <row r="249" spans="1:13">
      <c r="A249" s="14"/>
    </row>
    <row r="250" spans="1:13">
      <c r="A250" s="14"/>
    </row>
    <row r="251" spans="1:13">
      <c r="A251" s="26"/>
    </row>
    <row r="252" spans="1:13">
      <c r="A252" s="26"/>
    </row>
    <row r="253" spans="1:13">
      <c r="A253" s="26"/>
    </row>
    <row r="254" spans="1:13">
      <c r="A254" s="26"/>
    </row>
    <row r="255" spans="1:13">
      <c r="A255" s="26"/>
    </row>
    <row r="256" spans="1:13">
      <c r="A256" s="26"/>
    </row>
    <row r="257" spans="1:13">
      <c r="A257" s="26"/>
    </row>
    <row r="258" spans="1:13">
      <c r="A258" s="26"/>
      <c r="K258" s="3" t="str">
        <f t="shared" ref="K258:M260" si="20">K236</f>
        <v>rs6691840</v>
      </c>
      <c r="L258" s="3" t="str">
        <f t="shared" si="20"/>
        <v>rs3913434</v>
      </c>
      <c r="M258" s="3" t="str">
        <f t="shared" si="20"/>
        <v>rs270838</v>
      </c>
    </row>
    <row r="259" spans="1:13" s="21" customFormat="1">
      <c r="A259" s="28"/>
      <c r="B259" s="20"/>
      <c r="K259" s="21" t="str">
        <f t="shared" si="20"/>
        <v>T928G</v>
      </c>
      <c r="L259" s="21" t="str">
        <f t="shared" si="20"/>
        <v>C36983994T</v>
      </c>
      <c r="M259" s="21" t="e">
        <f t="shared" si="20"/>
        <v>#REF!</v>
      </c>
    </row>
    <row r="260" spans="1:13">
      <c r="A260" s="14"/>
      <c r="K260" s="3" t="str">
        <f t="shared" si="20"/>
        <v>NC_000001.10:g.</v>
      </c>
      <c r="L260" s="3" t="str">
        <f t="shared" si="20"/>
        <v>NC_000001.10:g.</v>
      </c>
      <c r="M260" s="3" t="e">
        <f t="shared" si="20"/>
        <v>#REF!</v>
      </c>
    </row>
    <row r="261" spans="1:13">
      <c r="A261" s="14"/>
      <c r="J261" s="3" t="str">
        <f t="shared" ref="J261:M268" si="21">J239</f>
        <v>Variant</v>
      </c>
      <c r="K261" s="3" t="str">
        <f t="shared" si="21"/>
        <v>[37325477A&gt;G]</v>
      </c>
      <c r="L261" s="3" t="str">
        <f t="shared" si="21"/>
        <v>[37449595C&gt;T]</v>
      </c>
      <c r="M261" s="3" t="e">
        <f t="shared" si="21"/>
        <v>#REF!</v>
      </c>
    </row>
    <row r="262" spans="1:13">
      <c r="A262" s="26"/>
      <c r="J262" s="3" t="str">
        <f t="shared" si="21"/>
        <v>Wildtype</v>
      </c>
      <c r="K262" s="3" t="str">
        <f t="shared" si="21"/>
        <v>[37325477=]</v>
      </c>
      <c r="L262" s="3" t="str">
        <f t="shared" si="21"/>
        <v>[37449595=]</v>
      </c>
      <c r="M262" s="3" t="e">
        <f t="shared" si="21"/>
        <v>#REF!</v>
      </c>
    </row>
    <row r="263" spans="1:13">
      <c r="A263" s="26"/>
      <c r="J263" s="3" t="str">
        <f t="shared" si="21"/>
        <v>Het</v>
      </c>
      <c r="K263" s="3" t="str">
        <f t="shared" si="21"/>
        <v>NC_000001.10:g.[37325477A&gt;G];[37325477=]</v>
      </c>
      <c r="L263" s="3" t="str">
        <f t="shared" si="21"/>
        <v>NC_000001.10:g.[37449595C&gt;T];[37449595=]</v>
      </c>
      <c r="M263" s="3" t="e">
        <f t="shared" si="21"/>
        <v>#REF!</v>
      </c>
    </row>
    <row r="264" spans="1:13">
      <c r="A264" s="26"/>
      <c r="J264" s="3" t="str">
        <f t="shared" si="21"/>
        <v>Homo</v>
      </c>
      <c r="K264" s="3" t="str">
        <f t="shared" si="21"/>
        <v>NC_000001.10:g.[37325477A&gt;G];[37325477A&gt;G]</v>
      </c>
      <c r="L264" s="3" t="str">
        <f t="shared" si="21"/>
        <v>NC_000001.10:g.[37449595C&gt;T];[37449595C&gt;T]</v>
      </c>
      <c r="M264" s="3" t="e">
        <f t="shared" si="21"/>
        <v>#REF!</v>
      </c>
    </row>
    <row r="265" spans="1:13">
      <c r="A265" s="26"/>
      <c r="J265" s="3" t="str">
        <f t="shared" si="21"/>
        <v>Wildtype</v>
      </c>
      <c r="K265" s="3" t="str">
        <f t="shared" si="21"/>
        <v>NC_000001.10:g.[37325477=];[37325477=]</v>
      </c>
      <c r="L265" s="3" t="str">
        <f t="shared" si="21"/>
        <v>NC_000001.10:g.[37449595=];[37449595=]</v>
      </c>
      <c r="M265" s="3" t="e">
        <f t="shared" si="21"/>
        <v>#REF!</v>
      </c>
    </row>
    <row r="266" spans="1:13">
      <c r="A266" s="26"/>
      <c r="J266" s="3" t="str">
        <f t="shared" si="21"/>
        <v>Het%</v>
      </c>
      <c r="K266" s="3">
        <f t="shared" si="21"/>
        <v>43</v>
      </c>
      <c r="L266" s="3">
        <f t="shared" si="21"/>
        <v>1.8</v>
      </c>
      <c r="M266" s="3">
        <f t="shared" si="21"/>
        <v>15.8</v>
      </c>
    </row>
    <row r="267" spans="1:13">
      <c r="A267" s="26"/>
      <c r="J267" s="3" t="str">
        <f t="shared" si="21"/>
        <v>Homo%</v>
      </c>
      <c r="K267" s="3">
        <f t="shared" si="21"/>
        <v>19.899999999999999</v>
      </c>
      <c r="L267" s="3">
        <f t="shared" si="21"/>
        <v>0.5</v>
      </c>
      <c r="M267" s="3">
        <f t="shared" si="21"/>
        <v>4.7</v>
      </c>
    </row>
    <row r="268" spans="1:13">
      <c r="A268" s="14"/>
      <c r="J268" s="3" t="str">
        <f t="shared" si="21"/>
        <v>Wildtype%</v>
      </c>
      <c r="K268" s="3">
        <f t="shared" si="21"/>
        <v>37.1</v>
      </c>
      <c r="L268" s="3">
        <f t="shared" si="21"/>
        <v>97.8</v>
      </c>
      <c r="M268" s="3">
        <f t="shared" si="21"/>
        <v>79.5</v>
      </c>
    </row>
    <row r="269" spans="1:13">
      <c r="A269" s="14"/>
    </row>
    <row r="270" spans="1:13">
      <c r="A270" s="14"/>
    </row>
    <row r="271" spans="1:13">
      <c r="A271" s="14"/>
    </row>
    <row r="272" spans="1:13">
      <c r="A272" s="14"/>
    </row>
    <row r="273" spans="1:13">
      <c r="A273" s="26"/>
    </row>
    <row r="274" spans="1:13">
      <c r="A274" s="26"/>
    </row>
    <row r="275" spans="1:13">
      <c r="A275" s="26"/>
    </row>
    <row r="276" spans="1:13">
      <c r="A276" s="26"/>
    </row>
    <row r="277" spans="1:13">
      <c r="A277" s="26"/>
    </row>
    <row r="278" spans="1:13">
      <c r="A278" s="26"/>
    </row>
    <row r="279" spans="1:13">
      <c r="A279" s="26"/>
    </row>
    <row r="280" spans="1:13">
      <c r="A280" s="26"/>
      <c r="K280" s="3" t="str">
        <f t="shared" ref="K280:M284" si="22">K126</f>
        <v>rs6691840</v>
      </c>
      <c r="L280" s="3" t="str">
        <f t="shared" si="22"/>
        <v>rs3913434</v>
      </c>
      <c r="M280" s="3" t="str">
        <f t="shared" si="22"/>
        <v>rs270838</v>
      </c>
    </row>
    <row r="281" spans="1:13" s="21" customFormat="1">
      <c r="A281" s="28" t="s">
        <v>69</v>
      </c>
      <c r="B281" s="20" t="s">
        <v>83</v>
      </c>
      <c r="C281" s="21" t="str">
        <f>CONCATENATE("&lt;# ",B281," #&gt;")</f>
        <v>&lt;# Wild type #&gt;</v>
      </c>
      <c r="K281" s="21" t="str">
        <f t="shared" si="22"/>
        <v>T928G</v>
      </c>
      <c r="L281" s="21" t="str">
        <f t="shared" si="22"/>
        <v>C36983994T</v>
      </c>
      <c r="M281" s="21" t="e">
        <f t="shared" si="22"/>
        <v>#REF!</v>
      </c>
    </row>
    <row r="282" spans="1:13">
      <c r="A282" s="14" t="s">
        <v>21</v>
      </c>
      <c r="B282" s="15" t="str">
        <f>K45</f>
        <v>NC_000001.10:g.[37325477=];[37325477=]</v>
      </c>
      <c r="K282" s="3" t="str">
        <f t="shared" si="22"/>
        <v>NC_000001.10:g.</v>
      </c>
      <c r="L282" s="3" t="str">
        <f t="shared" si="22"/>
        <v>NC_000001.10:g.</v>
      </c>
      <c r="M282" s="3" t="e">
        <f t="shared" si="22"/>
        <v>#REF!</v>
      </c>
    </row>
    <row r="283" spans="1:13">
      <c r="A283" s="14" t="s">
        <v>71</v>
      </c>
      <c r="B283" s="15" t="str">
        <f>L45</f>
        <v>NC_000001.10:g.[37449595=];[37449595=]</v>
      </c>
      <c r="C283" s="3" t="str">
        <f>CONCATENATE("  &lt;Analysis name=",CHAR(34),B281,CHAR(34))</f>
        <v xml:space="preserve">  &lt;Analysis name="Wild type"</v>
      </c>
      <c r="J283" s="3" t="str">
        <f>J129</f>
        <v>Variant</v>
      </c>
      <c r="K283" s="3" t="str">
        <f t="shared" si="22"/>
        <v>[37325477A&gt;G]</v>
      </c>
      <c r="L283" s="3" t="str">
        <f t="shared" si="22"/>
        <v>[37449595C&gt;T]</v>
      </c>
      <c r="M283" s="3" t="e">
        <f t="shared" si="22"/>
        <v>#REF!</v>
      </c>
    </row>
    <row r="284" spans="1:13">
      <c r="A284" s="26" t="s">
        <v>74</v>
      </c>
      <c r="B284" s="15" t="str">
        <f>CONCATENATE("Your ",B12," gene has no variants. A normal gene is referred to as a ",CHAR(34),"wild-type",CHAR(34)," gene.")</f>
        <v>Your GRIK3 gene has no variants. A normal gene is referred to as a "wild-type" gene.</v>
      </c>
      <c r="C284" s="3" t="str">
        <f>CONCATENATE("            case={  variantCall ",CHAR(40),CHAR(34),B282,CHAR(34),CHAR(41))</f>
        <v xml:space="preserve">            case={  variantCall ("NC_000001.10:g.[37325477=];[37325477=]")</v>
      </c>
      <c r="J284" s="3" t="str">
        <f>J130</f>
        <v>Wildtype</v>
      </c>
      <c r="K284" s="3" t="str">
        <f t="shared" si="22"/>
        <v>[37325477=]</v>
      </c>
      <c r="L284" s="3" t="str">
        <f t="shared" si="22"/>
        <v>[37449595=]</v>
      </c>
      <c r="M284" s="3" t="e">
        <f t="shared" si="22"/>
        <v>#REF!</v>
      </c>
    </row>
    <row r="285" spans="1:13">
      <c r="A285" s="26" t="s">
        <v>28</v>
      </c>
      <c r="C285" s="3" t="s">
        <v>70</v>
      </c>
      <c r="J285" s="3" t="str">
        <f t="shared" ref="J285:M290" si="23">J131</f>
        <v>Het</v>
      </c>
      <c r="K285" s="3" t="str">
        <f t="shared" si="23"/>
        <v>NC_000001.10:g.[37325477A&gt;G];[37325477=]</v>
      </c>
      <c r="L285" s="3" t="str">
        <f t="shared" si="23"/>
        <v>NC_000001.10:g.[37449595C&gt;T];[37449595=]</v>
      </c>
      <c r="M285" s="3" t="e">
        <f t="shared" si="23"/>
        <v>#REF!</v>
      </c>
    </row>
    <row r="286" spans="1:13">
      <c r="A286" s="26" t="s">
        <v>72</v>
      </c>
      <c r="C286" s="3" t="str">
        <f>CONCATENATE("                    ",CHAR(40),"variantCall ",CHAR(40),CHAR(34),L286,CHAR(34),CHAR(41)," or variantCall ",CHAR(40),CHAR(34),L287,CHAR(34),CHAR(41),CHAR(41))</f>
        <v xml:space="preserve">                    (variantCall ("NC_000001.10:g.[37449595C&gt;T];[37449595C&gt;T]") or variantCall ("NC_000001.10:g.[37449595=];[37449595=]"))</v>
      </c>
      <c r="J286" s="3" t="str">
        <f t="shared" si="23"/>
        <v>Homo</v>
      </c>
      <c r="K286" s="3" t="str">
        <f t="shared" si="23"/>
        <v>NC_000001.10:g.[37325477A&gt;G];[37325477A&gt;G]</v>
      </c>
      <c r="L286" s="3" t="str">
        <f t="shared" si="23"/>
        <v>NC_000001.10:g.[37449595C&gt;T];[37449595C&gt;T]</v>
      </c>
      <c r="M286" s="3" t="e">
        <f t="shared" si="23"/>
        <v>#REF!</v>
      </c>
    </row>
    <row r="287" spans="1:13">
      <c r="A287" s="26"/>
      <c r="J287" s="3" t="str">
        <f t="shared" si="23"/>
        <v>Wildtype</v>
      </c>
      <c r="K287" s="3" t="str">
        <f t="shared" si="23"/>
        <v>NC_000001.10:g.[37325477=];[37325477=]</v>
      </c>
      <c r="L287" s="3" t="str">
        <f t="shared" si="23"/>
        <v>NC_000001.10:g.[37449595=];[37449595=]</v>
      </c>
      <c r="M287" s="3" t="e">
        <f t="shared" si="23"/>
        <v>#REF!</v>
      </c>
    </row>
    <row r="288" spans="1:13">
      <c r="A288" s="26"/>
      <c r="J288" s="3" t="str">
        <f t="shared" si="23"/>
        <v>Het%</v>
      </c>
      <c r="K288" s="3">
        <f t="shared" si="23"/>
        <v>43</v>
      </c>
      <c r="L288" s="3">
        <f t="shared" si="23"/>
        <v>1.8</v>
      </c>
      <c r="M288" s="3">
        <f t="shared" si="23"/>
        <v>15.8</v>
      </c>
    </row>
    <row r="289" spans="1:13">
      <c r="A289" s="26"/>
      <c r="C289" s="3" t="str">
        <f>CONCATENATE("                  } &gt; ")</f>
        <v xml:space="preserve">                  } &gt; </v>
      </c>
      <c r="J289" s="3" t="str">
        <f t="shared" si="23"/>
        <v>Homo%</v>
      </c>
      <c r="K289" s="3">
        <f t="shared" si="23"/>
        <v>19.899999999999999</v>
      </c>
      <c r="L289" s="3">
        <f t="shared" si="23"/>
        <v>0.5</v>
      </c>
      <c r="M289" s="3">
        <f t="shared" si="23"/>
        <v>4.7</v>
      </c>
    </row>
    <row r="290" spans="1:13">
      <c r="A290" s="14"/>
      <c r="J290" s="3" t="str">
        <f t="shared" si="23"/>
        <v>Wildtype%</v>
      </c>
      <c r="K290" s="3">
        <f t="shared" si="23"/>
        <v>37.1</v>
      </c>
      <c r="L290" s="3">
        <f t="shared" si="23"/>
        <v>97.8</v>
      </c>
      <c r="M290" s="3">
        <f t="shared" si="23"/>
        <v>79.5</v>
      </c>
    </row>
    <row r="291" spans="1:13">
      <c r="A291" s="14"/>
      <c r="C291" s="3" t="s">
        <v>26</v>
      </c>
    </row>
    <row r="292" spans="1:13">
      <c r="A292" s="14"/>
    </row>
    <row r="293" spans="1:13">
      <c r="A293" s="26"/>
      <c r="C293" s="3" t="str">
        <f>CONCATENATE("    ",B284)</f>
        <v xml:space="preserve">    Your GRIK3 gene has no variants. A normal gene is referred to as a "wild-type" gene.</v>
      </c>
    </row>
    <row r="294" spans="1:13">
      <c r="A294" s="26"/>
    </row>
    <row r="295" spans="1:13">
      <c r="A295" s="26"/>
      <c r="C295" s="3" t="s">
        <v>30</v>
      </c>
    </row>
    <row r="296" spans="1:13">
      <c r="A296" s="26"/>
    </row>
    <row r="297" spans="1:13">
      <c r="A297" s="26"/>
      <c r="C297" s="3" t="str">
        <f>CONCATENATE( "    &lt;piechart percentage=",B286," /&gt;")</f>
        <v xml:space="preserve">    &lt;piechart percentage= /&gt;</v>
      </c>
    </row>
    <row r="298" spans="1:13">
      <c r="A298" s="26"/>
      <c r="C298" s="3" t="str">
        <f>"  &lt;/Analysis&gt;"</f>
        <v xml:space="preserve">  &lt;/Analysis&gt;</v>
      </c>
    </row>
    <row r="299" spans="1:13" s="21" customFormat="1">
      <c r="A299" s="28" t="s">
        <v>69</v>
      </c>
      <c r="B299" s="20" t="s">
        <v>84</v>
      </c>
      <c r="C299" s="21" t="str">
        <f>CONCATENATE("&lt;# ",B299," #&gt;")</f>
        <v>&lt;# Unknown #&gt;</v>
      </c>
    </row>
    <row r="300" spans="1:13">
      <c r="A300" s="14" t="s">
        <v>21</v>
      </c>
      <c r="B300" s="15" t="str">
        <f>K63</f>
        <v>[37325477A&gt;G]</v>
      </c>
    </row>
    <row r="301" spans="1:13">
      <c r="A301" s="14" t="s">
        <v>71</v>
      </c>
      <c r="C301" s="3" t="str">
        <f>CONCATENATE("  &lt;Analysis name=",CHAR(34),B299,CHAR(34), " case=true&gt;")</f>
        <v xml:space="preserve">  &lt;Analysis name="Unknown" case=true&gt;</v>
      </c>
    </row>
    <row r="302" spans="1:13">
      <c r="A302" s="26" t="s">
        <v>74</v>
      </c>
      <c r="B302" s="15" t="s">
        <v>31</v>
      </c>
    </row>
    <row r="303" spans="1:13">
      <c r="A303" s="26" t="s">
        <v>72</v>
      </c>
      <c r="B303" s="15">
        <v>0</v>
      </c>
      <c r="C303" s="3" t="s">
        <v>26</v>
      </c>
    </row>
    <row r="304" spans="1:13">
      <c r="A304" s="26"/>
    </row>
    <row r="305" spans="1:3">
      <c r="A305" s="14"/>
      <c r="C305" s="3" t="str">
        <f>CONCATENATE("    ",B302)</f>
        <v xml:space="preserve">    The effect is unknown.</v>
      </c>
    </row>
    <row r="306" spans="1:3">
      <c r="A306" s="14"/>
    </row>
    <row r="307" spans="1:3">
      <c r="A307" s="14"/>
      <c r="C307" s="3" t="s">
        <v>30</v>
      </c>
    </row>
    <row r="308" spans="1:3">
      <c r="A308" s="26"/>
    </row>
    <row r="309" spans="1:3">
      <c r="A309" s="26"/>
      <c r="C309" s="3" t="str">
        <f>CONCATENATE( "    &lt;piechart percentage=",B303," /&gt;")</f>
        <v xml:space="preserve">    &lt;piechart percentage=0 /&gt;</v>
      </c>
    </row>
    <row r="310" spans="1:3">
      <c r="A310" s="26"/>
      <c r="C310" s="3" t="str">
        <f>"  &lt;/Analysis&gt;"</f>
        <v xml:space="preserve">  &lt;/Analysis&gt;</v>
      </c>
    </row>
    <row r="311" spans="1:3">
      <c r="A311" s="14"/>
      <c r="C311" s="31" t="s">
        <v>369</v>
      </c>
    </row>
    <row r="312" spans="1:3" s="21" customFormat="1">
      <c r="A312" s="19"/>
      <c r="B312" s="20"/>
      <c r="C312" s="35"/>
    </row>
    <row r="313" spans="1:3">
      <c r="A313" s="14" t="s">
        <v>77</v>
      </c>
      <c r="B313" s="15" t="s">
        <v>123</v>
      </c>
      <c r="C313" s="10" t="str">
        <f>CONCATENATE("&lt;# ",A313," ",B313," #&gt;")</f>
        <v>&lt;# Tissues brain D001921 #&gt;</v>
      </c>
    </row>
    <row r="314" spans="1:3">
      <c r="A314" s="14"/>
    </row>
    <row r="315" spans="1:3">
      <c r="A315" s="14"/>
      <c r="B315" s="15" t="s">
        <v>124</v>
      </c>
      <c r="C315" s="31" t="str">
        <f>CONCATENATE("&lt;TopicBar ",B315," /&gt;")</f>
        <v>&lt;TopicBar brain /&gt;</v>
      </c>
    </row>
    <row r="316" spans="1:3">
      <c r="A316" s="14"/>
    </row>
    <row r="317" spans="1:3">
      <c r="A317" s="14" t="s">
        <v>32</v>
      </c>
      <c r="B317" s="15" t="s">
        <v>119</v>
      </c>
      <c r="C317" s="10" t="str">
        <f>CONCATENATE("&lt;# ",A317," ",B317," #&gt;")</f>
        <v>&lt;# Symptoms depression, stress, problems with thinking or memory, brain fog, pain #&gt;</v>
      </c>
    </row>
    <row r="318" spans="1:3">
      <c r="A318" s="14"/>
    </row>
    <row r="319" spans="1:3">
      <c r="A319" s="14"/>
      <c r="B319" s="15" t="s">
        <v>120</v>
      </c>
      <c r="C319" s="31" t="str">
        <f>CONCATENATE("&lt;TopicBar ",B319," /&gt;")</f>
        <v>&lt;TopicBar mesh_D003863 mesh_D040701 mesh_D008569 mesh_D010146 /&gt;</v>
      </c>
    </row>
    <row r="320" spans="1:3">
      <c r="A320" s="14"/>
      <c r="C320" s="31"/>
    </row>
    <row r="321" spans="1:3">
      <c r="A321" s="14" t="s">
        <v>48</v>
      </c>
      <c r="B321" s="15" t="s">
        <v>121</v>
      </c>
      <c r="C321" s="10" t="str">
        <f>CONCATENATE("&lt;# ",A321," ",B321," #&gt;")</f>
        <v>&lt;# Diseases schizophrenia D012559; major depressive disorder D003866; ME/CFS D015673;  #&gt;</v>
      </c>
    </row>
    <row r="322" spans="1:3">
      <c r="A322" s="14"/>
    </row>
    <row r="323" spans="1:3">
      <c r="A323" s="14"/>
      <c r="B323" s="15" t="s">
        <v>122</v>
      </c>
      <c r="C323" s="31" t="str">
        <f>CONCATENATE("&lt;TopicBar ",B323," /&gt;")</f>
        <v>&lt;TopicBar mesh_D012559 mesh_D003866 mesh_D015673 /&gt;</v>
      </c>
    </row>
    <row r="324" spans="1:3">
      <c r="A324" s="14"/>
    </row>
    <row r="325" spans="1:3" s="21" customFormat="1">
      <c r="A325" s="28"/>
      <c r="B325" s="20"/>
    </row>
    <row r="326" spans="1:3">
      <c r="B326" s="30"/>
    </row>
    <row r="328" spans="1:3">
      <c r="B328" s="30"/>
    </row>
    <row r="330" spans="1:3">
      <c r="B330" s="30"/>
    </row>
    <row r="332" spans="1:3">
      <c r="B332" s="30"/>
    </row>
    <row r="334" spans="1:3">
      <c r="B334" s="3"/>
    </row>
    <row r="336" spans="1:3">
      <c r="B336" s="3"/>
    </row>
    <row r="1008" spans="3:3">
      <c r="C1008" s="3" t="str">
        <f>CONCATENATE("    This variant is a change at a specific point in the ",B999," gene from ",B1008," to ",B1009,"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14" spans="3:3">
      <c r="C1014" s="3" t="str">
        <f>CONCATENATE("    This variant is a change at a specific point in the ",B999," gene from ",B1014," to ",B1015,"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44" spans="3:3">
      <c r="C1144" s="3" t="str">
        <f>CONCATENATE("    This variant is a change at a specific point in the ",B1135," gene from ",B1144," to ",B1145,"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0" spans="3:3">
      <c r="C1150" s="3" t="str">
        <f>CONCATENATE("    This variant is a change at a specific point in the ",B1135," gene from ",B1150," to ",B1151,"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2" spans="3:3">
      <c r="C1552" s="3" t="str">
        <f>CONCATENATE("    This variant is a change at a specific point in the ",B1543," gene from ",B1552," to ",B1553,"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c r="C1558" s="3" t="str">
        <f>CONCATENATE("    This variant is a change at a specific point in the ",B1543," gene from ",B1558," to ",B1559,"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8" spans="3:3">
      <c r="C1688" s="3" t="str">
        <f>CONCATENATE("    This variant is a change at a specific point in the ",B1679," gene from ",B1688," to ",B1689,"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4" spans="3:3">
      <c r="C1694" s="3" t="str">
        <f>CONCATENATE("    This variant is a change at a specific point in the ",B1679," gene from ",B1694," to ",B1695,"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4" spans="3:3">
      <c r="C1824" s="3" t="str">
        <f>CONCATENATE("    This variant is a change at a specific point in the ",B1815," gene from ",B1824," to ",B1825,"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0" spans="3:3">
      <c r="C1830" s="3" t="str">
        <f>CONCATENATE("    This variant is a change at a specific point in the ",B1815," gene from ",B1830," to ",B1831,"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0" spans="3:3">
      <c r="C1960" s="3" t="str">
        <f>CONCATENATE("    This variant is a change at a specific point in the ",B1951," gene from ",B1960," to ",B1961,"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c r="C1966" s="3" t="str">
        <f>CONCATENATE("    This variant is a change at a specific point in the ",B1951," gene from ",B1966," to ",B1967,"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6" spans="3:3">
      <c r="C2096" s="3" t="str">
        <f>CONCATENATE("    This variant is a change at a specific point in the ",B2087," gene from ",B2096," to ",B2097,"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c r="C2102" s="3" t="str">
        <f>CONCATENATE("    This variant is a change at a specific point in the ",B2087," gene from ",B2102," to ",B2103,"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2" spans="3:3">
      <c r="C2232" s="3" t="str">
        <f>CONCATENATE("    This variant is a change at a specific point in the ",B2223," gene from ",B2232," to ",B2233,"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c r="C2238" s="3" t="str">
        <f>CONCATENATE("    This variant is a change at a specific point in the ",B2223," gene from ",B2238," to ",B2239,"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8" spans="3:3">
      <c r="C2368" s="3" t="str">
        <f>CONCATENATE("    This variant is a change at a specific point in the ",B2359," gene from ",B2368," to ",B2369,"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c r="C2374" s="3" t="str">
        <f>CONCATENATE("    This variant is a change at a specific point in the ",B2359," gene from ",B2374," to ",B2375,"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04" spans="3:3">
      <c r="C2504" s="3" t="str">
        <f>CONCATENATE("    This variant is a change at a specific point in the ",B2495," gene from ",B2504," to ",B2505,"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c r="C2510" s="3" t="str">
        <f>CONCATENATE("    This variant is a change at a specific point in the ",B2495," gene from ",B2510," to ",B2511,"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2E768-41AD-4F4B-8A67-E6B6F17B78F2}">
  <dimension ref="A1:AJ2510"/>
  <sheetViews>
    <sheetView workbookViewId="0">
      <selection activeCell="C323" sqref="C2:C323"/>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t="s">
        <v>236</v>
      </c>
      <c r="C2" s="3" t="str">
        <f>CONCATENATE("&lt;",A2," ",B2," /&gt;")</f>
        <v>&lt;Gene_Name CHRNE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255</v>
      </c>
      <c r="C4" s="3" t="str">
        <f>CONCATENATE("&lt;",A4," ",B4," /&gt;")</f>
        <v>&lt;GeneName_full cholinergic receptor nicotinic epsilon subunit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CHRNE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254</v>
      </c>
      <c r="C8" s="3" t="str">
        <f>CONCATENATE(B8," This gene is located on chromosome ",B9,".")</f>
        <v>The [CHRNE](https://www.uniprot.org/uniprot/Q04844) gene encodes a protein found in the connection between motor neurons and muscle fibers. It is involved in [muscle contractions, response to nicotine, synaptic transmission, and the transport of electrically charged particles (ions) essential for proper cellular function.](http://www.uniprot.org/uniprot/Q04844#function) Variants in CHRNE are associated with [autoimmune disorders](https://www.omim.org/entry/254200) and [progressive](https://www.omim.org/entry/605809)[muscle](https://www.omim.org/entry/616324)[weakness](https://www.omim.org/entry/608931). Other variants are associated with decreased function of [natural killer cells (NKC)](https://www.ncbi.nlm.nih.gov/pubmed/27099524), a type of white blood cell that helps the body respond to viral infections. This gene is located on chromosome 17.</v>
      </c>
      <c r="I8" s="17"/>
      <c r="X8" s="18"/>
      <c r="Y8" s="16"/>
      <c r="Z8" s="16"/>
      <c r="AA8" s="16"/>
      <c r="AC8" s="16"/>
    </row>
    <row r="9" spans="1:36">
      <c r="A9" s="14" t="s">
        <v>6</v>
      </c>
      <c r="B9" s="2">
        <v>17</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t="s">
        <v>236</v>
      </c>
      <c r="C12" s="3" t="str">
        <f>CONCATENATE("&lt;GeneMap name= ",CHAR(34),B12,CHAR(34)," interval=",CHAR(34),B13,"=",CHAR(34),"&gt;")</f>
        <v>&lt;GeneMap name= "CHRNE" interval="NC_000017.10:g.4801064_4806369="&gt;</v>
      </c>
      <c r="J12" s="23"/>
      <c r="K12" s="23"/>
      <c r="L12" s="23"/>
      <c r="M12" s="23"/>
      <c r="N12" s="23"/>
      <c r="O12" s="24"/>
      <c r="P12" s="25"/>
      <c r="Q12" s="24"/>
      <c r="R12" s="24"/>
      <c r="S12" s="25"/>
      <c r="T12" s="25"/>
      <c r="U12" s="24"/>
      <c r="V12" s="24"/>
      <c r="W12" s="25"/>
      <c r="X12" s="25"/>
      <c r="Y12" s="25"/>
      <c r="Z12" s="25"/>
    </row>
    <row r="13" spans="1:36">
      <c r="A13" s="14" t="s">
        <v>9</v>
      </c>
      <c r="B13" t="s">
        <v>253</v>
      </c>
      <c r="J13" s="15"/>
      <c r="K13" s="15"/>
      <c r="L13" s="15"/>
      <c r="M13" s="15"/>
      <c r="N13" s="15"/>
      <c r="O13" s="15"/>
      <c r="P13" s="15"/>
      <c r="Q13" s="15"/>
      <c r="R13" s="15"/>
      <c r="S13" s="15"/>
      <c r="T13" s="15"/>
      <c r="U13" s="15"/>
      <c r="V13" s="15"/>
      <c r="W13" s="15"/>
      <c r="X13" s="15"/>
      <c r="Y13" s="15"/>
      <c r="Z13" s="15"/>
    </row>
    <row r="14" spans="1:36">
      <c r="A14" s="14" t="s">
        <v>11</v>
      </c>
      <c r="B14" t="s">
        <v>12</v>
      </c>
      <c r="C14" s="3" t="str">
        <f>CONCATENATE("# What are some common variants of ",B12,"?")</f>
        <v># What are some common variants of CHRNE?</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CHRNE: [G1074A](https://www.ncbi.nlm.nih.gov/clinvar/variation/128767/) and [C865T](https://www.ncbi.nlm.nih.gov/clinvar/variation/18344/).</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3" t="s">
        <v>243</v>
      </c>
      <c r="C18" s="3" t="str">
        <f>CONCATENATE("&lt;# ",B19," #&gt;")</f>
        <v>&lt;# G1074A #&gt;</v>
      </c>
      <c r="J18" s="15"/>
      <c r="K18" s="15"/>
      <c r="L18" s="15"/>
      <c r="M18" s="15"/>
      <c r="N18" s="15"/>
      <c r="O18" s="15"/>
      <c r="P18" s="15"/>
      <c r="Q18" s="15"/>
      <c r="R18" s="15"/>
      <c r="S18" s="15"/>
      <c r="T18" s="15"/>
      <c r="U18" s="15"/>
      <c r="V18" s="15"/>
      <c r="W18" s="15"/>
      <c r="X18" s="15"/>
      <c r="Y18" s="15"/>
      <c r="Z18" s="15"/>
    </row>
    <row r="19" spans="1:26">
      <c r="A19" s="26" t="s">
        <v>15</v>
      </c>
      <c r="B19" s="6" t="s">
        <v>242</v>
      </c>
      <c r="J19" s="6"/>
      <c r="K19" s="15"/>
      <c r="L19" s="15"/>
      <c r="M19" s="15"/>
      <c r="N19" s="15"/>
      <c r="O19" s="15"/>
      <c r="P19" s="15"/>
      <c r="Q19" s="15"/>
      <c r="R19" s="15"/>
      <c r="S19" s="15"/>
      <c r="T19" s="15"/>
      <c r="U19" s="15"/>
      <c r="V19" s="15"/>
      <c r="W19" s="15"/>
      <c r="X19" s="15"/>
      <c r="Y19" s="15"/>
      <c r="Z19" s="15"/>
    </row>
    <row r="20" spans="1:26">
      <c r="A20" s="26" t="s">
        <v>17</v>
      </c>
      <c r="B20" s="2" t="s">
        <v>44</v>
      </c>
      <c r="C20" s="3" t="str">
        <f>CONCATENATE("  &lt;Variant hgvs=",CHAR(34),B18,CHAR(34)," name=",CHAR(34),B19,CHAR(34),"&gt; ")</f>
        <v xml:space="preserve">  &lt;Variant hgvs="NC_000017.10:g.4804902G&gt;A" name="G1074A"&gt; </v>
      </c>
      <c r="J20" s="2"/>
      <c r="K20" s="15"/>
      <c r="L20" s="15"/>
      <c r="M20" s="15"/>
      <c r="N20" s="15"/>
      <c r="O20" s="15"/>
      <c r="P20" s="15"/>
      <c r="Q20" s="15"/>
      <c r="R20" s="15"/>
      <c r="S20" s="15"/>
      <c r="T20" s="15"/>
      <c r="U20" s="15"/>
      <c r="V20" s="15"/>
      <c r="W20" s="15"/>
      <c r="X20" s="15"/>
      <c r="Y20" s="15"/>
      <c r="Z20" s="15"/>
    </row>
    <row r="21" spans="1:26">
      <c r="A21" s="26" t="s">
        <v>19</v>
      </c>
      <c r="B21" s="2" t="s">
        <v>24</v>
      </c>
      <c r="H21" s="15"/>
      <c r="I21" s="15"/>
      <c r="J21" s="2"/>
      <c r="K21" s="15"/>
      <c r="L21" s="15"/>
      <c r="M21" s="15"/>
      <c r="N21" s="15"/>
      <c r="O21" s="15"/>
      <c r="P21" s="15"/>
      <c r="Q21" s="15"/>
      <c r="R21" s="15"/>
      <c r="S21" s="15"/>
      <c r="T21" s="15"/>
      <c r="U21" s="15"/>
      <c r="V21" s="15"/>
      <c r="W21" s="15"/>
      <c r="X21" s="15"/>
      <c r="Y21" s="15"/>
      <c r="Z21" s="15"/>
    </row>
    <row r="22" spans="1:26">
      <c r="A22" s="26" t="s">
        <v>21</v>
      </c>
      <c r="B22" s="7" t="s">
        <v>244</v>
      </c>
      <c r="C22" s="3" t="str">
        <f>CONCATENATE("    Instead of ",B20,", there is an ",B21," nucleotide.")</f>
        <v xml:space="preserve">    Instead of guanine (G), there is an adenine (A) nucleotide.</v>
      </c>
      <c r="H22" s="15"/>
      <c r="I22" s="15"/>
      <c r="J22" s="7"/>
      <c r="K22" s="15"/>
      <c r="L22" s="15"/>
      <c r="M22" s="15"/>
      <c r="N22" s="15"/>
      <c r="O22" s="15"/>
      <c r="P22" s="15"/>
      <c r="Q22" s="15"/>
      <c r="R22" s="15"/>
      <c r="S22" s="15"/>
      <c r="T22" s="15"/>
      <c r="U22" s="15"/>
      <c r="V22" s="15"/>
      <c r="W22" s="15"/>
      <c r="X22" s="15"/>
      <c r="Y22" s="15"/>
      <c r="Z22" s="15"/>
    </row>
    <row r="23" spans="1:26">
      <c r="A23" s="3" t="s">
        <v>64</v>
      </c>
      <c r="B23" s="3" t="s">
        <v>247</v>
      </c>
      <c r="H23" s="2"/>
      <c r="I23" s="2"/>
      <c r="J23" s="15"/>
      <c r="K23" s="15"/>
      <c r="L23" s="15"/>
      <c r="M23" s="15"/>
      <c r="N23" s="15"/>
      <c r="O23" s="15"/>
      <c r="P23" s="15"/>
      <c r="Q23" s="15"/>
      <c r="R23" s="15"/>
      <c r="S23" s="15"/>
      <c r="T23" s="15"/>
      <c r="U23" s="15"/>
      <c r="V23" s="15"/>
      <c r="W23" s="15"/>
      <c r="X23" s="15"/>
      <c r="Y23" s="15"/>
      <c r="Z23" s="15"/>
    </row>
    <row r="24" spans="1:26">
      <c r="A24" s="3" t="s">
        <v>51</v>
      </c>
      <c r="B24" s="7" t="s">
        <v>248</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249</v>
      </c>
      <c r="J25" s="6"/>
    </row>
    <row r="26" spans="1:26">
      <c r="A26" s="26"/>
      <c r="B26" s="7"/>
      <c r="J26" s="6"/>
    </row>
    <row r="27" spans="1:26">
      <c r="A27" s="14" t="s">
        <v>14</v>
      </c>
      <c r="B27" s="3" t="s">
        <v>239</v>
      </c>
      <c r="C27" s="3" t="str">
        <f>CONCATENATE("&lt;# ",B28," #&gt;")</f>
        <v>&lt;# C865T #&gt;</v>
      </c>
      <c r="J27" s="6"/>
    </row>
    <row r="28" spans="1:26">
      <c r="A28" s="26" t="s">
        <v>15</v>
      </c>
      <c r="B28" s="7" t="s">
        <v>245</v>
      </c>
      <c r="J28" s="2"/>
    </row>
    <row r="29" spans="1:26">
      <c r="A29" s="26" t="s">
        <v>17</v>
      </c>
      <c r="B29" s="2" t="str">
        <f>"cytosine (C)"</f>
        <v>cytosine (C)</v>
      </c>
      <c r="C29" s="3" t="str">
        <f>CONCATENATE("  &lt;Variant hgvs=",CHAR(34),B27,CHAR(34)," name=",CHAR(34),B28,CHAR(34),"&gt; ")</f>
        <v xml:space="preserve">  &lt;Variant hgvs="NC_000005.9:g.142709986C&gt;T" name="C865T"&gt; </v>
      </c>
      <c r="J29" s="2"/>
    </row>
    <row r="30" spans="1:26">
      <c r="A30" s="26" t="s">
        <v>19</v>
      </c>
      <c r="B30" s="2" t="s">
        <v>20</v>
      </c>
      <c r="J30" s="7"/>
    </row>
    <row r="31" spans="1:26">
      <c r="A31" s="26" t="s">
        <v>21</v>
      </c>
      <c r="B31" s="7" t="s">
        <v>246</v>
      </c>
      <c r="C31" s="3" t="str">
        <f>CONCATENATE("    Instead of ",B29,", there is a ",B30," nucleotide.")</f>
        <v xml:space="preserve">    Instead of cytosine (C), there is a thymine (T) nucleotide.</v>
      </c>
    </row>
    <row r="32" spans="1:26">
      <c r="A32" s="3" t="s">
        <v>64</v>
      </c>
      <c r="B32" s="3" t="s">
        <v>250</v>
      </c>
      <c r="J32" s="7"/>
    </row>
    <row r="33" spans="1:17">
      <c r="A33" s="3" t="s">
        <v>51</v>
      </c>
      <c r="B33" s="3" t="s">
        <v>251</v>
      </c>
      <c r="C33" s="3" t="str">
        <f>"  &lt;/Variant&gt;"</f>
        <v xml:space="preserve">  &lt;/Variant&gt;</v>
      </c>
      <c r="J33" s="7"/>
    </row>
    <row r="34" spans="1:17">
      <c r="A34" s="26" t="s">
        <v>52</v>
      </c>
      <c r="B34" s="7" t="s">
        <v>252</v>
      </c>
      <c r="N34" s="3" t="s">
        <v>237</v>
      </c>
      <c r="O34" s="3" t="s">
        <v>238</v>
      </c>
      <c r="Q34" s="3" t="s">
        <v>239</v>
      </c>
    </row>
    <row r="35" spans="1:17">
      <c r="B35" s="3"/>
      <c r="N35" s="3" t="s">
        <v>240</v>
      </c>
      <c r="O35" s="3" t="s">
        <v>241</v>
      </c>
      <c r="P35" s="3" t="s">
        <v>242</v>
      </c>
      <c r="Q35" s="3" t="s">
        <v>243</v>
      </c>
    </row>
    <row r="36" spans="1:17" s="21" customFormat="1">
      <c r="A36" s="28"/>
      <c r="B36" s="20"/>
    </row>
    <row r="37" spans="1:17" s="10" customFormat="1">
      <c r="A37" s="32"/>
      <c r="B37" s="33"/>
      <c r="C37" s="34" t="s">
        <v>368</v>
      </c>
      <c r="L37" s="38"/>
    </row>
    <row r="38" spans="1:17" s="10" customFormat="1">
      <c r="A38" s="32"/>
      <c r="B38" s="33"/>
      <c r="K38" s="3" t="s">
        <v>237</v>
      </c>
      <c r="L38" s="3" t="s">
        <v>240</v>
      </c>
      <c r="M38" s="11" t="s">
        <v>107</v>
      </c>
    </row>
    <row r="39" spans="1:17" s="21" customFormat="1">
      <c r="A39" s="28" t="s">
        <v>69</v>
      </c>
      <c r="B39" s="20" t="str">
        <f>CONCATENATE(B19," (T;G)")</f>
        <v>G1074A (T;G)</v>
      </c>
      <c r="K39" s="21" t="str">
        <f>B19</f>
        <v>G1074A</v>
      </c>
      <c r="L39" s="21" t="str">
        <f>B28</f>
        <v>C865T</v>
      </c>
      <c r="M39" s="21" t="e">
        <f>#REF!</f>
        <v>#REF!</v>
      </c>
    </row>
    <row r="40" spans="1:17" s="10" customFormat="1">
      <c r="A40" s="3" t="s">
        <v>21</v>
      </c>
      <c r="B40" s="29" t="str">
        <f>K43</f>
        <v>NC_000017.10:g.[4804902G&gt;A];[4804902=]</v>
      </c>
      <c r="J40" s="3"/>
      <c r="K40" s="22" t="str">
        <f>B23</f>
        <v>NC_000017.10:g.</v>
      </c>
      <c r="L40" s="22" t="str">
        <f>B32</f>
        <v>NC_000005.9:g.</v>
      </c>
      <c r="M40" s="10" t="e">
        <f>#REF!</f>
        <v>#REF!</v>
      </c>
    </row>
    <row r="41" spans="1:17">
      <c r="B41" s="29"/>
      <c r="J41" s="3" t="s">
        <v>21</v>
      </c>
      <c r="K41" s="15" t="str">
        <f>B24</f>
        <v>[4804902G&gt;A]</v>
      </c>
      <c r="L41" s="22" t="str">
        <f>B33</f>
        <v>[142709986C&gt;T]</v>
      </c>
      <c r="M41" s="10" t="e">
        <f>#REF!</f>
        <v>#REF!</v>
      </c>
    </row>
    <row r="42" spans="1:17">
      <c r="A42" s="5" t="s">
        <v>27</v>
      </c>
      <c r="B42" s="2"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J42" s="3" t="s">
        <v>52</v>
      </c>
      <c r="K42" s="15" t="str">
        <f>B25</f>
        <v>[4804902=]</v>
      </c>
      <c r="L42" s="22" t="str">
        <f>B34</f>
        <v>[142709986=]</v>
      </c>
      <c r="M42" s="10" t="e">
        <f>#REF!</f>
        <v>#REF!</v>
      </c>
    </row>
    <row r="43" spans="1:17">
      <c r="A43" s="1" t="s">
        <v>28</v>
      </c>
      <c r="B43" s="29" t="s">
        <v>110</v>
      </c>
      <c r="J43" s="3" t="s">
        <v>62</v>
      </c>
      <c r="K43" s="15" t="str">
        <f>CONCATENATE(K40,K41,";",K42)</f>
        <v>NC_000017.10:g.[4804902G&gt;A];[4804902=]</v>
      </c>
      <c r="L43" s="15" t="str">
        <f>CONCATENATE(L40,L41,";",L42)</f>
        <v>NC_000005.9:g.[142709986C&gt;T];[142709986=]</v>
      </c>
      <c r="M43" s="15" t="e">
        <f>CONCATENATE(M40,M41,";",M42)</f>
        <v>#REF!</v>
      </c>
    </row>
    <row r="44" spans="1:17">
      <c r="A44" s="3" t="s">
        <v>72</v>
      </c>
      <c r="B44" s="29">
        <f>K46</f>
        <v>7.1</v>
      </c>
      <c r="J44" s="3" t="s">
        <v>63</v>
      </c>
      <c r="K44" s="15" t="str">
        <f>CONCATENATE(K40,K41,";",K41)</f>
        <v>NC_000017.10:g.[4804902G&gt;A];[4804902G&gt;A]</v>
      </c>
      <c r="L44" s="15" t="str">
        <f>CONCATENATE(L40,L41,";",L41)</f>
        <v>NC_000005.9:g.[142709986C&gt;T];[142709986C&gt;T]</v>
      </c>
      <c r="M44" s="15" t="e">
        <f>CONCATENATE(M40,M41,";",M41)</f>
        <v>#REF!</v>
      </c>
    </row>
    <row r="45" spans="1:17">
      <c r="J45" s="3" t="s">
        <v>52</v>
      </c>
      <c r="K45" s="2" t="str">
        <f>CONCATENATE(K40,K42,";",K42)</f>
        <v>NC_000017.10:g.[4804902=];[4804902=]</v>
      </c>
      <c r="L45" s="2" t="str">
        <f>CONCATENATE(L40,L42,";",L42)</f>
        <v>NC_000005.9:g.[142709986=];[142709986=]</v>
      </c>
      <c r="M45" s="2" t="e">
        <f>CONCATENATE(M40,M42,";",M42)</f>
        <v>#REF!</v>
      </c>
    </row>
    <row r="46" spans="1:17">
      <c r="J46" s="3" t="s">
        <v>66</v>
      </c>
      <c r="K46">
        <v>7.1</v>
      </c>
      <c r="L46" s="2"/>
      <c r="M46" s="2">
        <v>15.8</v>
      </c>
    </row>
    <row r="47" spans="1:17">
      <c r="A47" s="14"/>
      <c r="J47" s="3" t="s">
        <v>67</v>
      </c>
      <c r="K47">
        <v>0.2</v>
      </c>
      <c r="L47" s="2"/>
      <c r="M47" s="2">
        <v>4.7</v>
      </c>
    </row>
    <row r="48" spans="1:17">
      <c r="A48" s="26"/>
      <c r="J48" s="3" t="s">
        <v>68</v>
      </c>
      <c r="K48" s="2">
        <v>92.7</v>
      </c>
      <c r="L48" s="2"/>
      <c r="M48" s="2">
        <v>79.5</v>
      </c>
    </row>
    <row r="49" spans="1:13">
      <c r="A49" s="14"/>
      <c r="K49"/>
      <c r="L49" s="2"/>
      <c r="M49" s="2"/>
    </row>
    <row r="50" spans="1:13">
      <c r="A50" s="14"/>
      <c r="K50" s="15"/>
      <c r="L50" s="15"/>
      <c r="M50" s="15"/>
    </row>
    <row r="51" spans="1:13">
      <c r="A51" s="26"/>
      <c r="K51" s="15"/>
      <c r="L51" s="15"/>
      <c r="M51" s="15"/>
    </row>
    <row r="52" spans="1:13">
      <c r="A52" s="14"/>
      <c r="K52" s="2"/>
      <c r="L52" s="2"/>
      <c r="M52" s="2"/>
    </row>
    <row r="53" spans="1:13">
      <c r="A53" s="14"/>
    </row>
    <row r="54" spans="1:13">
      <c r="A54" s="14"/>
    </row>
    <row r="55" spans="1:13">
      <c r="A55" s="14"/>
    </row>
    <row r="56" spans="1:13">
      <c r="A56" s="26"/>
    </row>
    <row r="57" spans="1:13">
      <c r="A57" s="26"/>
    </row>
    <row r="58" spans="1:13">
      <c r="A58" s="26"/>
    </row>
    <row r="59" spans="1:13">
      <c r="A59" s="26"/>
    </row>
    <row r="60" spans="1:13">
      <c r="A60" s="26"/>
      <c r="K60" s="3" t="str">
        <f t="shared" ref="K60:M62" si="0">K38</f>
        <v>rs33383</v>
      </c>
      <c r="L60" s="3" t="str">
        <f t="shared" si="0"/>
        <v>rs33970119</v>
      </c>
      <c r="M60" s="3" t="str">
        <f t="shared" si="0"/>
        <v>rs270838</v>
      </c>
    </row>
    <row r="61" spans="1:13" s="21" customFormat="1">
      <c r="A61" s="28" t="s">
        <v>69</v>
      </c>
      <c r="B61" s="20" t="str">
        <f>CONCATENATE(B19," (G;G)")</f>
        <v>G1074A (G;G)</v>
      </c>
      <c r="C61" s="21" t="str">
        <f>CONCATENATE("&lt;# ",B61," #&gt;")</f>
        <v>&lt;# G1074A (G;G) #&gt;</v>
      </c>
      <c r="K61" s="21" t="str">
        <f t="shared" si="0"/>
        <v>G1074A</v>
      </c>
      <c r="L61" s="21" t="str">
        <f t="shared" si="0"/>
        <v>C865T</v>
      </c>
      <c r="M61" s="21" t="e">
        <f t="shared" si="0"/>
        <v>#REF!</v>
      </c>
    </row>
    <row r="62" spans="1:13">
      <c r="A62" s="3" t="s">
        <v>21</v>
      </c>
      <c r="B62" s="29" t="str">
        <f>K44</f>
        <v>NC_000017.10:g.[4804902G&gt;A];[4804902G&gt;A]</v>
      </c>
      <c r="C62" s="10"/>
      <c r="K62" s="3" t="str">
        <f t="shared" si="0"/>
        <v>NC_000017.10:g.</v>
      </c>
      <c r="L62" s="3" t="str">
        <f t="shared" si="0"/>
        <v>NC_000005.9:g.</v>
      </c>
      <c r="M62" s="3" t="e">
        <f t="shared" si="0"/>
        <v>#REF!</v>
      </c>
    </row>
    <row r="63" spans="1:13">
      <c r="B63" s="29"/>
      <c r="C63" s="3" t="str">
        <f>CONCATENATE("  &lt;Analysis name=",CHAR(34),B61,CHAR(34))</f>
        <v xml:space="preserve">  &lt;Analysis name="G1074A (G;G)"</v>
      </c>
      <c r="J63" s="3" t="str">
        <f t="shared" ref="J63:M70" si="1">J41</f>
        <v>Variant</v>
      </c>
      <c r="K63" s="3" t="str">
        <f t="shared" si="1"/>
        <v>[4804902G&gt;A]</v>
      </c>
      <c r="L63" s="3" t="str">
        <f t="shared" si="1"/>
        <v>[142709986C&gt;T]</v>
      </c>
      <c r="M63" s="3" t="e">
        <f t="shared" si="1"/>
        <v>#REF!</v>
      </c>
    </row>
    <row r="64" spans="1:13">
      <c r="A64" s="5" t="s">
        <v>74</v>
      </c>
      <c r="B64" s="2"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64" s="3" t="str">
        <f>CONCATENATE("            case={  variantCall ",CHAR(40),CHAR(34),B62,CHAR(34),CHAR(41))</f>
        <v xml:space="preserve">            case={  variantCall ("NC_000017.10:g.[4804902G&gt;A];[4804902G&gt;A]")</v>
      </c>
      <c r="J64" s="3" t="str">
        <f t="shared" si="1"/>
        <v>Wildtype</v>
      </c>
      <c r="K64" s="3" t="str">
        <f t="shared" si="1"/>
        <v>[4804902=]</v>
      </c>
      <c r="L64" s="3" t="str">
        <f t="shared" si="1"/>
        <v>[142709986=]</v>
      </c>
      <c r="M64" s="3" t="e">
        <f t="shared" si="1"/>
        <v>#REF!</v>
      </c>
    </row>
    <row r="65" spans="1:13">
      <c r="A65" s="1" t="s">
        <v>28</v>
      </c>
      <c r="B65" s="2" t="s">
        <v>256</v>
      </c>
      <c r="C65" s="3" t="s">
        <v>70</v>
      </c>
      <c r="J65" s="3" t="str">
        <f t="shared" si="1"/>
        <v>Het</v>
      </c>
      <c r="K65" s="3" t="str">
        <f t="shared" si="1"/>
        <v>NC_000017.10:g.[4804902G&gt;A];[4804902=]</v>
      </c>
      <c r="L65" s="3" t="str">
        <f t="shared" si="1"/>
        <v>NC_000005.9:g.[142709986C&gt;T];[142709986=]</v>
      </c>
      <c r="M65" s="3" t="e">
        <f t="shared" si="1"/>
        <v>#REF!</v>
      </c>
    </row>
    <row r="66" spans="1:13">
      <c r="A66" s="3" t="s">
        <v>72</v>
      </c>
      <c r="B66" s="29">
        <f>K47</f>
        <v>0.2</v>
      </c>
      <c r="C66" s="3" t="str">
        <f>CONCATENATE("                    ",CHAR(40),"variantCall ",CHAR(40),CHAR(34),L67,CHAR(34),CHAR(41)," or variantCall ",CHAR(40),CHAR(34),L65,CHAR(34),CHAR(41),CHAR(41))</f>
        <v xml:space="preserve">                    (variantCall ("NC_000005.9:g.[142709986=];[142709986=]") or variantCall ("NC_000005.9:g.[142709986C&gt;T];[142709986=]"))</v>
      </c>
      <c r="J66" s="3" t="str">
        <f t="shared" si="1"/>
        <v>Homo</v>
      </c>
      <c r="K66" s="3" t="str">
        <f t="shared" si="1"/>
        <v>NC_000017.10:g.[4804902G&gt;A];[4804902G&gt;A]</v>
      </c>
      <c r="L66" s="3" t="str">
        <f t="shared" si="1"/>
        <v>NC_000005.9:g.[142709986C&gt;T];[142709986C&gt;T]</v>
      </c>
      <c r="M66" s="3" t="e">
        <f t="shared" si="1"/>
        <v>#REF!</v>
      </c>
    </row>
    <row r="67" spans="1:13">
      <c r="J67" s="3" t="str">
        <f t="shared" si="1"/>
        <v>Wildtype</v>
      </c>
      <c r="K67" s="3" t="str">
        <f t="shared" si="1"/>
        <v>NC_000017.10:g.[4804902=];[4804902=]</v>
      </c>
      <c r="L67" s="3" t="str">
        <f t="shared" si="1"/>
        <v>NC_000005.9:g.[142709986=];[142709986=]</v>
      </c>
      <c r="M67" s="3" t="e">
        <f t="shared" si="1"/>
        <v>#REF!</v>
      </c>
    </row>
    <row r="68" spans="1:13">
      <c r="J68" s="3" t="str">
        <f t="shared" si="1"/>
        <v>Het%</v>
      </c>
      <c r="K68" s="3">
        <f t="shared" si="1"/>
        <v>7.1</v>
      </c>
      <c r="L68" s="3">
        <f t="shared" si="1"/>
        <v>0</v>
      </c>
      <c r="M68" s="3">
        <f t="shared" si="1"/>
        <v>15.8</v>
      </c>
    </row>
    <row r="69" spans="1:13">
      <c r="A69" s="14"/>
      <c r="C69" s="3" t="str">
        <f>CONCATENATE("                  } &gt; ")</f>
        <v xml:space="preserve">                  } &gt; </v>
      </c>
      <c r="J69" s="3" t="str">
        <f t="shared" si="1"/>
        <v>Homo%</v>
      </c>
      <c r="K69" s="3">
        <f t="shared" si="1"/>
        <v>0.2</v>
      </c>
      <c r="L69" s="3">
        <f t="shared" si="1"/>
        <v>0</v>
      </c>
      <c r="M69" s="3">
        <f t="shared" si="1"/>
        <v>4.7</v>
      </c>
    </row>
    <row r="70" spans="1:13">
      <c r="A70" s="26"/>
      <c r="J70" s="3" t="str">
        <f t="shared" si="1"/>
        <v>Wildtype%</v>
      </c>
      <c r="K70" s="3">
        <f t="shared" si="1"/>
        <v>92.7</v>
      </c>
      <c r="L70" s="3">
        <f t="shared" si="1"/>
        <v>0</v>
      </c>
      <c r="M70" s="3">
        <f t="shared" si="1"/>
        <v>79.5</v>
      </c>
    </row>
    <row r="71" spans="1:13">
      <c r="A71" s="14"/>
      <c r="C71" s="3" t="s">
        <v>26</v>
      </c>
    </row>
    <row r="72" spans="1:13">
      <c r="A72" s="14"/>
    </row>
    <row r="73" spans="1:13">
      <c r="A73" s="26"/>
      <c r="C73" s="3" t="str">
        <f>CONCATENATE("    ",B64)</f>
        <v xml:space="preserve">    People with this variant have two copies of the [G1074A](https://www.ncbi.nlm.nih.gov/clinvar/variation/128767/) variant. This substitution of a single nucleotide is known as a missense mutation.</v>
      </c>
    </row>
    <row r="74" spans="1:13">
      <c r="A74" s="14"/>
    </row>
    <row r="75" spans="1:13">
      <c r="A75" s="14"/>
      <c r="C75" s="3" t="s">
        <v>29</v>
      </c>
    </row>
    <row r="76" spans="1:13">
      <c r="A76" s="14"/>
    </row>
    <row r="77" spans="1:13">
      <c r="A77" s="14"/>
      <c r="C77" s="3" t="str">
        <f>CONCATENATE(B65)</f>
        <v xml:space="preserve">    Your variant is [4.36X more common in ME/CFS patients.](https://www.ncbi.nlm.nih.gov/pubmed/27099524)The malformed CHRME receptors may impact the activity of natural killer cells (NKC), a type of white blood cell found in the blood, bone marrow, spleen, and lymph nodes. They kill viral infected and tumorous cells. The NKC of many patients with ME/CFS have lower ability to fight infections, and [this impairment is associated with increased illness severity](https://www.cdc.gov/me-cfs/about/possible-causes.html). Compared with the general population, CFS patients have NKC that are [half as effective](https://www.ncbi.nlm.nih.gov/pubmed/27099524).
    # What should I do about this?
    [Histone deacetylase inhibitors (HDACi), including suberoylanilide hydroxamic acid and valproic acid,](https://www.ncbi.nlm.nih.gov/pubmed/17349632/) impair NKC function and should be avoided.
    Pharmaceuticals that increase natural killer cell function include:
    - [Antiviral drugs such as acyclovir and ganciclovir](https://www.ncbi.nlm.nih.gov/pubmed/23993353) may improve cellular function. 
    - [Papillomavirus therapies, including topical agents and immunostimulants,](https://www.ncbi.nlm.nih.gov/pubmed/23993353) may activate NK cells. 
    - [Cytokine therapies](https://www.ncbi.nlm.nih.gov/pubmed/23993353), such as [IFN-α](https://www.cancer.gov/about-cancer/treatment/types/immunotherapy/bio-therapies-fact-sheet) in CNKD1, may induce higher levels of NKC activity by [activating white blood cells](https://www.cancer.gov/about-cancer/treatment/types/immunotherapy/bio-therapies-fact-sheet). 
    Dietary supplements that increase natural killer cell function include:
    - [Resveratrol](https://www.ncbi.nlm.nih.gov/pmc/articles/PMC4855330/) dietary supplements stimulate the immune system by increasing NKC function. 
    - [Myricetin](https://www.ncbi.nlm.nih.gov/pubmed/25075019), found in food and red wine, may increase NKC activity. 
    - [Quercetin](https://www.ncbi.nlm.nih.gov/pubmed/19449452), found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8" spans="1:13">
      <c r="A78" s="26"/>
    </row>
    <row r="79" spans="1:13">
      <c r="A79" s="26"/>
      <c r="C79" s="3" t="s">
        <v>30</v>
      </c>
    </row>
    <row r="80" spans="1:13">
      <c r="A80" s="26"/>
    </row>
    <row r="81" spans="1:13">
      <c r="A81" s="26"/>
      <c r="C81" s="3" t="str">
        <f>CONCATENATE( "    &lt;piechart percentage=",B66," /&gt;")</f>
        <v xml:space="preserve">    &lt;piechart percentage=0.2 /&gt;</v>
      </c>
    </row>
    <row r="82" spans="1:13">
      <c r="A82" s="26"/>
      <c r="C82" s="3" t="str">
        <f>"  &lt;/Analysis&gt;"</f>
        <v xml:space="preserve">  &lt;/Analysis&gt;</v>
      </c>
      <c r="K82" s="3" t="str">
        <f t="shared" ref="K82:M84" si="2">K60</f>
        <v>rs33383</v>
      </c>
      <c r="L82" s="3" t="str">
        <f t="shared" si="2"/>
        <v>rs33970119</v>
      </c>
      <c r="M82" s="3" t="str">
        <f t="shared" si="2"/>
        <v>rs270838</v>
      </c>
    </row>
    <row r="83" spans="1:13" s="21" customFormat="1">
      <c r="A83" s="28" t="s">
        <v>69</v>
      </c>
      <c r="B83" s="20" t="str">
        <f>CONCATENATE(B28," (T;T)")</f>
        <v>C865T (T;T)</v>
      </c>
      <c r="C83" s="21" t="str">
        <f>CONCATENATE("&lt;# ",B83," #&gt;")</f>
        <v>&lt;# C865T (T;T) #&gt;</v>
      </c>
      <c r="K83" s="21" t="str">
        <f t="shared" si="2"/>
        <v>G1074A</v>
      </c>
      <c r="L83" s="21" t="str">
        <f t="shared" si="2"/>
        <v>C865T</v>
      </c>
      <c r="M83" s="21" t="e">
        <f t="shared" si="2"/>
        <v>#REF!</v>
      </c>
    </row>
    <row r="84" spans="1:13" s="10" customFormat="1">
      <c r="A84" s="3" t="s">
        <v>21</v>
      </c>
      <c r="B84" s="29" t="str">
        <f>L88</f>
        <v>NC_000005.9:g.[142709986C&gt;T];[142709986C&gt;T]</v>
      </c>
      <c r="J84" s="3"/>
      <c r="K84" s="22" t="str">
        <f t="shared" si="2"/>
        <v>NC_000017.10:g.</v>
      </c>
      <c r="L84" s="22" t="str">
        <f t="shared" si="2"/>
        <v>NC_000005.9:g.</v>
      </c>
      <c r="M84" s="10" t="e">
        <f t="shared" si="2"/>
        <v>#REF!</v>
      </c>
    </row>
    <row r="85" spans="1:13">
      <c r="A85" s="3" t="s">
        <v>71</v>
      </c>
      <c r="B85" s="29"/>
      <c r="C85" s="3" t="str">
        <f>CONCATENATE("  &lt;Analysis name=",CHAR(34),B83,CHAR(34))</f>
        <v xml:space="preserve">  &lt;Analysis name="C865T (T;T)"</v>
      </c>
      <c r="J85" s="3" t="str">
        <f t="shared" ref="J85:M92" si="3">J63</f>
        <v>Variant</v>
      </c>
      <c r="K85" s="15" t="str">
        <f t="shared" si="3"/>
        <v>[4804902G&gt;A]</v>
      </c>
      <c r="L85" s="22" t="str">
        <f t="shared" si="3"/>
        <v>[142709986C&gt;T]</v>
      </c>
      <c r="M85" s="3" t="e">
        <f t="shared" si="3"/>
        <v>#REF!</v>
      </c>
    </row>
    <row r="86" spans="1:13">
      <c r="A86" s="5" t="s">
        <v>27</v>
      </c>
      <c r="B86" s="2" t="str">
        <f>CONCATENATE("People with this variant have two copies of the ",B31," variant. This substitution of a single nucleotide is known as a missense mutation.")</f>
        <v>People with this variant have two copies of the [C865T](https://www.ncbi.nlm.nih.gov/clinvar/variation/18344/) variant. This substitution of a single nucleotide is known as a missense mutation.</v>
      </c>
      <c r="C86" s="3" t="str">
        <f>CONCATENATE("            case={",  CHAR(40),"variantCall ",CHAR(40),CHAR(34),K87,CHAR(34),CHAR(41)," or variantCall ",CHAR(40),CHAR(34),K89,CHAR(34),CHAR(41),CHAR(41))</f>
        <v xml:space="preserve">            case={(variantCall ("NC_000017.10:g.[4804902G&gt;A];[4804902=]") or variantCall ("NC_000017.10:g.[4804902=];[4804902=]"))</v>
      </c>
      <c r="J86" s="3" t="str">
        <f t="shared" si="3"/>
        <v>Wildtype</v>
      </c>
      <c r="K86" s="15" t="str">
        <f t="shared" si="3"/>
        <v>[4804902=]</v>
      </c>
      <c r="L86" s="22" t="str">
        <f t="shared" si="3"/>
        <v>[142709986=]</v>
      </c>
      <c r="M86" s="3" t="e">
        <f t="shared" si="3"/>
        <v>#REF!</v>
      </c>
    </row>
    <row r="87" spans="1:13">
      <c r="A87" s="1" t="s">
        <v>28</v>
      </c>
      <c r="B87" s="2" t="s">
        <v>257</v>
      </c>
      <c r="J87" s="3" t="str">
        <f t="shared" si="3"/>
        <v>Het</v>
      </c>
      <c r="K87" s="15" t="str">
        <f t="shared" si="3"/>
        <v>NC_000017.10:g.[4804902G&gt;A];[4804902=]</v>
      </c>
      <c r="L87" s="15" t="str">
        <f t="shared" si="3"/>
        <v>NC_000005.9:g.[142709986C&gt;T];[142709986=]</v>
      </c>
      <c r="M87" s="3" t="e">
        <f t="shared" si="3"/>
        <v>#REF!</v>
      </c>
    </row>
    <row r="88" spans="1:13">
      <c r="A88" s="3" t="s">
        <v>72</v>
      </c>
      <c r="B88" s="29">
        <f>L46</f>
        <v>0</v>
      </c>
      <c r="J88" s="3" t="str">
        <f t="shared" si="3"/>
        <v>Homo</v>
      </c>
      <c r="K88" s="15" t="str">
        <f t="shared" si="3"/>
        <v>NC_000017.10:g.[4804902G&gt;A];[4804902G&gt;A]</v>
      </c>
      <c r="L88" s="15" t="str">
        <f t="shared" si="3"/>
        <v>NC_000005.9:g.[142709986C&gt;T];[142709986C&gt;T]</v>
      </c>
      <c r="M88" s="3" t="e">
        <f t="shared" si="3"/>
        <v>#REF!</v>
      </c>
    </row>
    <row r="89" spans="1:13">
      <c r="B89" s="29"/>
      <c r="C89" s="3" t="s">
        <v>70</v>
      </c>
      <c r="J89" s="3" t="str">
        <f t="shared" si="3"/>
        <v>Wildtype</v>
      </c>
      <c r="K89" s="2" t="str">
        <f t="shared" si="3"/>
        <v>NC_000017.10:g.[4804902=];[4804902=]</v>
      </c>
      <c r="L89" s="2" t="str">
        <f t="shared" si="3"/>
        <v>NC_000005.9:g.[142709986=];[142709986=]</v>
      </c>
      <c r="M89" s="3" t="e">
        <f t="shared" si="3"/>
        <v>#REF!</v>
      </c>
    </row>
    <row r="90" spans="1:13">
      <c r="B90" s="29"/>
      <c r="C90" s="3" t="str">
        <f>CONCATENATE("                    variantCall ",CHAR(40),CHAR(34),L88,CHAR(34),CHAR(41))</f>
        <v xml:space="preserve">                    variantCall ("NC_000005.9:g.[142709986C&gt;T];[142709986C&gt;T]")</v>
      </c>
      <c r="J90" s="3" t="str">
        <f t="shared" si="3"/>
        <v>Het%</v>
      </c>
      <c r="K90" s="15">
        <f t="shared" si="3"/>
        <v>7.1</v>
      </c>
      <c r="L90" s="15">
        <f t="shared" si="3"/>
        <v>0</v>
      </c>
      <c r="M90" s="3">
        <f t="shared" si="3"/>
        <v>15.8</v>
      </c>
    </row>
    <row r="91" spans="1:13">
      <c r="C91" s="3" t="str">
        <f>CONCATENATE("                  } &gt; ")</f>
        <v xml:space="preserve">                  } &gt; </v>
      </c>
      <c r="J91" s="3" t="str">
        <f t="shared" si="3"/>
        <v>Homo%</v>
      </c>
      <c r="K91" s="2">
        <f t="shared" si="3"/>
        <v>0.2</v>
      </c>
      <c r="L91" s="2">
        <f t="shared" si="3"/>
        <v>0</v>
      </c>
      <c r="M91" s="3">
        <f t="shared" si="3"/>
        <v>4.7</v>
      </c>
    </row>
    <row r="92" spans="1:13">
      <c r="J92" s="3" t="str">
        <f t="shared" si="3"/>
        <v>Wildtype%</v>
      </c>
      <c r="K92" s="2">
        <f t="shared" si="3"/>
        <v>92.7</v>
      </c>
      <c r="L92" s="2">
        <f t="shared" si="3"/>
        <v>0</v>
      </c>
      <c r="M92" s="3">
        <f t="shared" si="3"/>
        <v>79.5</v>
      </c>
    </row>
    <row r="93" spans="1:13">
      <c r="A93" s="14"/>
      <c r="C93" s="3" t="s">
        <v>26</v>
      </c>
    </row>
    <row r="94" spans="1:13">
      <c r="A94" s="26"/>
    </row>
    <row r="95" spans="1:13">
      <c r="A95" s="14"/>
      <c r="C95" s="3" t="str">
        <f>CONCATENATE("    ",B86)</f>
        <v xml:space="preserve">    People with this variant have two copies of the [C865T](https://www.ncbi.nlm.nih.gov/clinvar/variation/18344/) variant. This substitution of a single nucleotide is known as a missense mutation.</v>
      </c>
    </row>
    <row r="96" spans="1:13">
      <c r="A96" s="14"/>
    </row>
    <row r="97" spans="1:13">
      <c r="A97" s="26"/>
      <c r="C97" s="3" t="s">
        <v>29</v>
      </c>
    </row>
    <row r="98" spans="1:13">
      <c r="A98" s="14"/>
    </row>
    <row r="99" spans="1:13">
      <c r="A99" s="14"/>
      <c r="C99" s="3" t="str">
        <f>CONCATENATE(B87)</f>
        <v xml:space="preserve">    Congenital myasthenic syndromes (CMS) are a group of rare disorders that affects the proteins at the neuromuscular junctions and may cause [abnormalities in the CHRME receptors](https://www.ncbi.nlm.nih.gov/pubmed/16156017). CMS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
    # What should I do about this?
    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00" spans="1:13">
      <c r="A100" s="14"/>
    </row>
    <row r="101" spans="1:13">
      <c r="A101" s="14"/>
      <c r="C101" s="3" t="s">
        <v>30</v>
      </c>
    </row>
    <row r="102" spans="1:13">
      <c r="A102" s="26"/>
    </row>
    <row r="103" spans="1:13">
      <c r="A103" s="26"/>
      <c r="C103" s="3" t="str">
        <f>CONCATENATE( "    &lt;piechart percentage=",B88," /&gt;")</f>
        <v xml:space="preserve">    &lt;piechart percentage=0 /&gt;</v>
      </c>
    </row>
    <row r="104" spans="1:13">
      <c r="A104" s="26"/>
      <c r="C104" s="3" t="str">
        <f>"  &lt;/Analysis&gt;"</f>
        <v xml:space="preserve">  &lt;/Analysis&gt;</v>
      </c>
      <c r="K104" s="3" t="str">
        <f t="shared" ref="K104:M114" si="4">K82</f>
        <v>rs33383</v>
      </c>
      <c r="L104" s="3" t="str">
        <f t="shared" si="4"/>
        <v>rs33970119</v>
      </c>
      <c r="M104" s="3" t="str">
        <f t="shared" si="4"/>
        <v>rs270838</v>
      </c>
    </row>
    <row r="105" spans="1:13" s="21" customFormat="1">
      <c r="A105" s="28"/>
      <c r="B105" s="20"/>
      <c r="K105" s="21" t="str">
        <f t="shared" si="4"/>
        <v>G1074A</v>
      </c>
      <c r="L105" s="21" t="str">
        <f t="shared" si="4"/>
        <v>C865T</v>
      </c>
      <c r="M105" s="21" t="e">
        <f t="shared" si="4"/>
        <v>#REF!</v>
      </c>
    </row>
    <row r="106" spans="1:13">
      <c r="B106" s="29"/>
      <c r="C106" s="10"/>
      <c r="K106" s="3" t="str">
        <f t="shared" si="4"/>
        <v>NC_000017.10:g.</v>
      </c>
      <c r="L106" s="3" t="str">
        <f t="shared" si="4"/>
        <v>NC_000005.9:g.</v>
      </c>
      <c r="M106" s="3" t="e">
        <f t="shared" si="4"/>
        <v>#REF!</v>
      </c>
    </row>
    <row r="107" spans="1:13">
      <c r="B107" s="29"/>
      <c r="J107" s="3" t="str">
        <f t="shared" ref="J107:J114" si="5">J85</f>
        <v>Variant</v>
      </c>
      <c r="K107" s="3" t="str">
        <f t="shared" si="4"/>
        <v>[4804902G&gt;A]</v>
      </c>
      <c r="L107" s="3" t="str">
        <f t="shared" si="4"/>
        <v>[142709986C&gt;T]</v>
      </c>
      <c r="M107" s="3" t="e">
        <f t="shared" si="4"/>
        <v>#REF!</v>
      </c>
    </row>
    <row r="108" spans="1:13">
      <c r="A108" s="5"/>
      <c r="B108" s="2"/>
      <c r="J108" s="3" t="str">
        <f t="shared" si="5"/>
        <v>Wildtype</v>
      </c>
      <c r="K108" s="3" t="str">
        <f t="shared" si="4"/>
        <v>[4804902=]</v>
      </c>
      <c r="L108" s="3" t="str">
        <f t="shared" si="4"/>
        <v>[142709986=]</v>
      </c>
      <c r="M108" s="3" t="e">
        <f t="shared" si="4"/>
        <v>#REF!</v>
      </c>
    </row>
    <row r="109" spans="1:13">
      <c r="A109" s="1"/>
      <c r="J109" s="3" t="str">
        <f t="shared" si="5"/>
        <v>Het</v>
      </c>
      <c r="K109" s="3" t="str">
        <f t="shared" si="4"/>
        <v>NC_000017.10:g.[4804902G&gt;A];[4804902=]</v>
      </c>
      <c r="L109" s="3" t="str">
        <f t="shared" si="4"/>
        <v>NC_000005.9:g.[142709986C&gt;T];[142709986=]</v>
      </c>
      <c r="M109" s="3" t="e">
        <f t="shared" si="4"/>
        <v>#REF!</v>
      </c>
    </row>
    <row r="110" spans="1:13">
      <c r="B110" s="29"/>
      <c r="J110" s="3" t="str">
        <f t="shared" si="5"/>
        <v>Homo</v>
      </c>
      <c r="K110" s="3" t="str">
        <f t="shared" si="4"/>
        <v>NC_000017.10:g.[4804902G&gt;A];[4804902G&gt;A]</v>
      </c>
      <c r="L110" s="3" t="str">
        <f t="shared" si="4"/>
        <v>NC_000005.9:g.[142709986C&gt;T];[142709986C&gt;T]</v>
      </c>
      <c r="M110" s="3" t="e">
        <f t="shared" si="4"/>
        <v>#REF!</v>
      </c>
    </row>
    <row r="111" spans="1:13">
      <c r="J111" s="3" t="str">
        <f t="shared" si="5"/>
        <v>Wildtype</v>
      </c>
      <c r="K111" s="3" t="str">
        <f t="shared" si="4"/>
        <v>NC_000017.10:g.[4804902=];[4804902=]</v>
      </c>
      <c r="L111" s="3" t="str">
        <f t="shared" si="4"/>
        <v>NC_000005.9:g.[142709986=];[142709986=]</v>
      </c>
      <c r="M111" s="3" t="e">
        <f t="shared" si="4"/>
        <v>#REF!</v>
      </c>
    </row>
    <row r="112" spans="1:13">
      <c r="J112" s="3" t="str">
        <f t="shared" si="5"/>
        <v>Het%</v>
      </c>
      <c r="K112" s="3">
        <f t="shared" si="4"/>
        <v>7.1</v>
      </c>
      <c r="L112" s="3">
        <f t="shared" si="4"/>
        <v>0</v>
      </c>
      <c r="M112" s="3">
        <f t="shared" si="4"/>
        <v>15.8</v>
      </c>
    </row>
    <row r="113" spans="1:13">
      <c r="A113" s="14"/>
      <c r="J113" s="3" t="str">
        <f t="shared" si="5"/>
        <v>Homo%</v>
      </c>
      <c r="K113" s="3">
        <f t="shared" si="4"/>
        <v>0.2</v>
      </c>
      <c r="L113" s="3">
        <f t="shared" si="4"/>
        <v>0</v>
      </c>
      <c r="M113" s="3">
        <f t="shared" si="4"/>
        <v>4.7</v>
      </c>
    </row>
    <row r="114" spans="1:13">
      <c r="A114" s="26"/>
      <c r="J114" s="3" t="str">
        <f t="shared" si="5"/>
        <v>Wildtype%</v>
      </c>
      <c r="K114" s="3">
        <f t="shared" si="4"/>
        <v>92.7</v>
      </c>
      <c r="L114" s="3">
        <f t="shared" si="4"/>
        <v>0</v>
      </c>
      <c r="M114" s="3">
        <f t="shared" si="4"/>
        <v>79.5</v>
      </c>
    </row>
    <row r="115" spans="1:13">
      <c r="A115" s="14"/>
    </row>
    <row r="116" spans="1:13">
      <c r="A116" s="14"/>
    </row>
    <row r="117" spans="1:13">
      <c r="A117" s="26"/>
    </row>
    <row r="118" spans="1:13">
      <c r="A118" s="14"/>
    </row>
    <row r="119" spans="1:13">
      <c r="A119" s="14"/>
    </row>
    <row r="120" spans="1:13">
      <c r="A120" s="14"/>
    </row>
    <row r="121" spans="1:13">
      <c r="A121" s="14"/>
    </row>
    <row r="122" spans="1:13">
      <c r="A122" s="26"/>
    </row>
    <row r="123" spans="1:13">
      <c r="A123" s="26"/>
    </row>
    <row r="124" spans="1:13">
      <c r="A124" s="26"/>
    </row>
    <row r="125" spans="1:13">
      <c r="A125" s="26"/>
    </row>
    <row r="126" spans="1:13">
      <c r="A126" s="26"/>
      <c r="K126" s="3" t="str">
        <f t="shared" ref="K126:M136" si="6">K104</f>
        <v>rs33383</v>
      </c>
      <c r="L126" s="3" t="str">
        <f t="shared" si="6"/>
        <v>rs33970119</v>
      </c>
      <c r="M126" s="3" t="str">
        <f t="shared" si="6"/>
        <v>rs270838</v>
      </c>
    </row>
    <row r="127" spans="1:13" s="21" customFormat="1">
      <c r="A127" s="28"/>
      <c r="B127" s="20"/>
      <c r="K127" s="21" t="str">
        <f t="shared" si="6"/>
        <v>G1074A</v>
      </c>
      <c r="L127" s="21" t="str">
        <f t="shared" si="6"/>
        <v>C865T</v>
      </c>
      <c r="M127" s="21" t="e">
        <f t="shared" si="6"/>
        <v>#REF!</v>
      </c>
    </row>
    <row r="128" spans="1:13">
      <c r="A128" s="14"/>
      <c r="K128" s="3" t="str">
        <f t="shared" si="6"/>
        <v>NC_000017.10:g.</v>
      </c>
      <c r="L128" s="3" t="str">
        <f t="shared" si="6"/>
        <v>NC_000005.9:g.</v>
      </c>
      <c r="M128" s="3" t="e">
        <f t="shared" si="6"/>
        <v>#REF!</v>
      </c>
    </row>
    <row r="129" spans="1:13">
      <c r="A129" s="14"/>
      <c r="J129" s="3" t="str">
        <f t="shared" ref="J129:J136" si="7">J107</f>
        <v>Variant</v>
      </c>
      <c r="K129" s="3" t="str">
        <f t="shared" si="6"/>
        <v>[4804902G&gt;A]</v>
      </c>
      <c r="L129" s="3" t="str">
        <f t="shared" si="6"/>
        <v>[142709986C&gt;T]</v>
      </c>
      <c r="M129" s="3" t="e">
        <f t="shared" si="6"/>
        <v>#REF!</v>
      </c>
    </row>
    <row r="130" spans="1:13">
      <c r="A130" s="26"/>
      <c r="J130" s="3" t="str">
        <f t="shared" si="7"/>
        <v>Wildtype</v>
      </c>
      <c r="K130" s="3" t="str">
        <f t="shared" si="6"/>
        <v>[4804902=]</v>
      </c>
      <c r="L130" s="3" t="str">
        <f t="shared" si="6"/>
        <v>[142709986=]</v>
      </c>
      <c r="M130" s="3" t="e">
        <f t="shared" si="6"/>
        <v>#REF!</v>
      </c>
    </row>
    <row r="131" spans="1:13">
      <c r="A131" s="26"/>
      <c r="J131" s="3" t="str">
        <f t="shared" si="7"/>
        <v>Het</v>
      </c>
      <c r="K131" s="3" t="str">
        <f t="shared" si="6"/>
        <v>NC_000017.10:g.[4804902G&gt;A];[4804902=]</v>
      </c>
      <c r="L131" s="3" t="str">
        <f t="shared" si="6"/>
        <v>NC_000005.9:g.[142709986C&gt;T];[142709986=]</v>
      </c>
      <c r="M131" s="3" t="e">
        <f t="shared" si="6"/>
        <v>#REF!</v>
      </c>
    </row>
    <row r="132" spans="1:13">
      <c r="A132" s="26"/>
      <c r="J132" s="3" t="str">
        <f t="shared" si="7"/>
        <v>Homo</v>
      </c>
      <c r="K132" s="3" t="str">
        <f t="shared" si="6"/>
        <v>NC_000017.10:g.[4804902G&gt;A];[4804902G&gt;A]</v>
      </c>
      <c r="L132" s="3" t="str">
        <f t="shared" si="6"/>
        <v>NC_000005.9:g.[142709986C&gt;T];[142709986C&gt;T]</v>
      </c>
      <c r="M132" s="3" t="e">
        <f t="shared" si="6"/>
        <v>#REF!</v>
      </c>
    </row>
    <row r="133" spans="1:13">
      <c r="A133" s="26"/>
      <c r="J133" s="3" t="str">
        <f t="shared" si="7"/>
        <v>Wildtype</v>
      </c>
      <c r="K133" s="3" t="str">
        <f t="shared" si="6"/>
        <v>NC_000017.10:g.[4804902=];[4804902=]</v>
      </c>
      <c r="L133" s="3" t="str">
        <f t="shared" si="6"/>
        <v>NC_000005.9:g.[142709986=];[142709986=]</v>
      </c>
      <c r="M133" s="3" t="e">
        <f t="shared" si="6"/>
        <v>#REF!</v>
      </c>
    </row>
    <row r="134" spans="1:13">
      <c r="A134" s="26"/>
      <c r="J134" s="3" t="str">
        <f t="shared" si="7"/>
        <v>Het%</v>
      </c>
      <c r="K134" s="3">
        <f t="shared" si="6"/>
        <v>7.1</v>
      </c>
      <c r="L134" s="3">
        <f t="shared" si="6"/>
        <v>0</v>
      </c>
      <c r="M134" s="3">
        <f t="shared" si="6"/>
        <v>15.8</v>
      </c>
    </row>
    <row r="135" spans="1:13">
      <c r="A135" s="26"/>
      <c r="J135" s="3" t="str">
        <f t="shared" si="7"/>
        <v>Homo%</v>
      </c>
      <c r="K135" s="3">
        <f t="shared" si="6"/>
        <v>0.2</v>
      </c>
      <c r="L135" s="3">
        <f t="shared" si="6"/>
        <v>0</v>
      </c>
      <c r="M135" s="3">
        <f t="shared" si="6"/>
        <v>4.7</v>
      </c>
    </row>
    <row r="136" spans="1:13">
      <c r="A136" s="14"/>
      <c r="J136" s="3" t="str">
        <f t="shared" si="7"/>
        <v>Wildtype%</v>
      </c>
      <c r="K136" s="3">
        <f t="shared" si="6"/>
        <v>92.7</v>
      </c>
      <c r="L136" s="3">
        <f t="shared" si="6"/>
        <v>0</v>
      </c>
      <c r="M136" s="3">
        <f t="shared" si="6"/>
        <v>79.5</v>
      </c>
    </row>
    <row r="137" spans="1:13">
      <c r="A137" s="14"/>
    </row>
    <row r="138" spans="1:13">
      <c r="A138" s="14"/>
    </row>
    <row r="139" spans="1:13">
      <c r="A139" s="14"/>
    </row>
    <row r="140" spans="1:13">
      <c r="A140" s="14"/>
    </row>
    <row r="141" spans="1:13">
      <c r="A141" s="26"/>
    </row>
    <row r="142" spans="1:13">
      <c r="A142" s="26"/>
    </row>
    <row r="143" spans="1:13">
      <c r="A143" s="26"/>
    </row>
    <row r="144" spans="1:13">
      <c r="A144" s="26"/>
    </row>
    <row r="145" spans="1:13">
      <c r="A145" s="26"/>
    </row>
    <row r="146" spans="1:13">
      <c r="A146" s="26"/>
    </row>
    <row r="147" spans="1:13">
      <c r="A147" s="26"/>
    </row>
    <row r="148" spans="1:13">
      <c r="A148" s="26"/>
      <c r="K148" s="3" t="str">
        <f t="shared" ref="K148:M152" si="8">K126</f>
        <v>rs33383</v>
      </c>
      <c r="L148" s="3" t="str">
        <f t="shared" si="8"/>
        <v>rs33970119</v>
      </c>
      <c r="M148" s="3" t="str">
        <f t="shared" si="8"/>
        <v>rs270838</v>
      </c>
    </row>
    <row r="149" spans="1:13" s="21" customFormat="1">
      <c r="A149" s="28"/>
      <c r="B149" s="20"/>
      <c r="K149" s="21" t="str">
        <f t="shared" si="8"/>
        <v>G1074A</v>
      </c>
      <c r="L149" s="21" t="str">
        <f t="shared" si="8"/>
        <v>C865T</v>
      </c>
      <c r="M149" s="21" t="e">
        <f t="shared" si="8"/>
        <v>#REF!</v>
      </c>
    </row>
    <row r="150" spans="1:13">
      <c r="A150" s="14"/>
      <c r="K150" s="3" t="str">
        <f t="shared" si="8"/>
        <v>NC_000017.10:g.</v>
      </c>
      <c r="L150" s="3" t="str">
        <f t="shared" si="8"/>
        <v>NC_000005.9:g.</v>
      </c>
      <c r="M150" s="3" t="e">
        <f t="shared" si="8"/>
        <v>#REF!</v>
      </c>
    </row>
    <row r="151" spans="1:13">
      <c r="A151" s="14"/>
      <c r="J151" s="3" t="str">
        <f>J129</f>
        <v>Variant</v>
      </c>
      <c r="K151" s="3" t="str">
        <f t="shared" si="8"/>
        <v>[4804902G&gt;A]</v>
      </c>
      <c r="L151" s="3" t="str">
        <f t="shared" si="8"/>
        <v>[142709986C&gt;T]</v>
      </c>
      <c r="M151" s="3" t="e">
        <f t="shared" si="8"/>
        <v>#REF!</v>
      </c>
    </row>
    <row r="152" spans="1:13">
      <c r="A152" s="26"/>
      <c r="J152" s="3" t="str">
        <f>J130</f>
        <v>Wildtype</v>
      </c>
      <c r="K152" s="3" t="str">
        <f t="shared" si="8"/>
        <v>[4804902=]</v>
      </c>
      <c r="L152" s="3" t="str">
        <f t="shared" si="8"/>
        <v>[142709986=]</v>
      </c>
      <c r="M152" s="3" t="e">
        <f t="shared" si="8"/>
        <v>#REF!</v>
      </c>
    </row>
    <row r="153" spans="1:13">
      <c r="A153" s="26"/>
      <c r="B153" s="36"/>
      <c r="J153" s="3" t="str">
        <f t="shared" ref="J153:M158" si="9">J131</f>
        <v>Het</v>
      </c>
      <c r="K153" s="3" t="str">
        <f t="shared" si="9"/>
        <v>NC_000017.10:g.[4804902G&gt;A];[4804902=]</v>
      </c>
      <c r="L153" s="3" t="str">
        <f t="shared" si="9"/>
        <v>NC_000005.9:g.[142709986C&gt;T];[142709986=]</v>
      </c>
      <c r="M153" s="3" t="e">
        <f t="shared" si="9"/>
        <v>#REF!</v>
      </c>
    </row>
    <row r="154" spans="1:13">
      <c r="A154" s="26"/>
      <c r="J154" s="3" t="str">
        <f t="shared" si="9"/>
        <v>Homo</v>
      </c>
      <c r="K154" s="3" t="str">
        <f t="shared" si="9"/>
        <v>NC_000017.10:g.[4804902G&gt;A];[4804902G&gt;A]</v>
      </c>
      <c r="L154" s="3" t="str">
        <f t="shared" si="9"/>
        <v>NC_000005.9:g.[142709986C&gt;T];[142709986C&gt;T]</v>
      </c>
      <c r="M154" s="3" t="e">
        <f t="shared" si="9"/>
        <v>#REF!</v>
      </c>
    </row>
    <row r="155" spans="1:13">
      <c r="A155" s="26"/>
      <c r="J155" s="3" t="str">
        <f t="shared" si="9"/>
        <v>Wildtype</v>
      </c>
      <c r="K155" s="3" t="str">
        <f t="shared" si="9"/>
        <v>NC_000017.10:g.[4804902=];[4804902=]</v>
      </c>
      <c r="L155" s="3" t="str">
        <f t="shared" si="9"/>
        <v>NC_000005.9:g.[142709986=];[142709986=]</v>
      </c>
      <c r="M155" s="3" t="e">
        <f t="shared" si="9"/>
        <v>#REF!</v>
      </c>
    </row>
    <row r="156" spans="1:13">
      <c r="A156" s="26"/>
      <c r="J156" s="3" t="str">
        <f t="shared" si="9"/>
        <v>Het%</v>
      </c>
      <c r="K156" s="3">
        <f t="shared" si="9"/>
        <v>7.1</v>
      </c>
      <c r="L156" s="3">
        <f t="shared" si="9"/>
        <v>0</v>
      </c>
      <c r="M156" s="3">
        <f t="shared" si="9"/>
        <v>15.8</v>
      </c>
    </row>
    <row r="157" spans="1:13">
      <c r="A157" s="26"/>
      <c r="J157" s="3" t="str">
        <f t="shared" si="9"/>
        <v>Homo%</v>
      </c>
      <c r="K157" s="3">
        <f t="shared" si="9"/>
        <v>0.2</v>
      </c>
      <c r="L157" s="3">
        <f t="shared" si="9"/>
        <v>0</v>
      </c>
      <c r="M157" s="3">
        <f t="shared" si="9"/>
        <v>4.7</v>
      </c>
    </row>
    <row r="158" spans="1:13">
      <c r="A158" s="14"/>
      <c r="J158" s="3" t="str">
        <f t="shared" si="9"/>
        <v>Wildtype%</v>
      </c>
      <c r="K158" s="3">
        <f t="shared" si="9"/>
        <v>92.7</v>
      </c>
      <c r="L158" s="3">
        <f t="shared" si="9"/>
        <v>0</v>
      </c>
      <c r="M158" s="3">
        <f t="shared" si="9"/>
        <v>79.5</v>
      </c>
    </row>
    <row r="159" spans="1:13">
      <c r="A159" s="14"/>
    </row>
    <row r="160" spans="1:13">
      <c r="A160" s="14"/>
    </row>
    <row r="161" spans="1:13">
      <c r="A161" s="14"/>
    </row>
    <row r="162" spans="1:13">
      <c r="A162" s="14"/>
    </row>
    <row r="163" spans="1:13">
      <c r="A163" s="26"/>
    </row>
    <row r="164" spans="1:13">
      <c r="A164" s="26"/>
    </row>
    <row r="165" spans="1:13">
      <c r="A165" s="26"/>
    </row>
    <row r="166" spans="1:13">
      <c r="A166" s="26"/>
    </row>
    <row r="167" spans="1:13">
      <c r="A167" s="26"/>
    </row>
    <row r="168" spans="1:13">
      <c r="A168" s="26"/>
    </row>
    <row r="169" spans="1:13">
      <c r="A169" s="26"/>
    </row>
    <row r="170" spans="1:13">
      <c r="A170" s="26"/>
      <c r="K170" s="3" t="str">
        <f t="shared" ref="K170:M172" si="10">K148</f>
        <v>rs33383</v>
      </c>
      <c r="L170" s="3" t="str">
        <f t="shared" si="10"/>
        <v>rs33970119</v>
      </c>
      <c r="M170" s="3" t="str">
        <f t="shared" si="10"/>
        <v>rs270838</v>
      </c>
    </row>
    <row r="171" spans="1:13" s="21" customFormat="1">
      <c r="A171" s="28" t="s">
        <v>69</v>
      </c>
      <c r="B171" s="20" t="str">
        <f>CONCATENATE(B39," and ",B83)</f>
        <v>G1074A (T;G) and C865T (T;T)</v>
      </c>
      <c r="K171" s="21" t="str">
        <f t="shared" si="10"/>
        <v>G1074A</v>
      </c>
      <c r="L171" s="21" t="str">
        <f t="shared" si="10"/>
        <v>C865T</v>
      </c>
      <c r="M171" s="21" t="e">
        <f t="shared" si="10"/>
        <v>#REF!</v>
      </c>
    </row>
    <row r="172" spans="1:13">
      <c r="A172" s="14" t="s">
        <v>21</v>
      </c>
      <c r="B172" s="15" t="str">
        <f>K87</f>
        <v>NC_000017.10:g.[4804902G&gt;A];[4804902=]</v>
      </c>
      <c r="K172" s="3" t="str">
        <f t="shared" si="10"/>
        <v>NC_000017.10:g.</v>
      </c>
      <c r="L172" s="3" t="str">
        <f t="shared" si="10"/>
        <v>NC_000005.9:g.</v>
      </c>
      <c r="M172" s="3" t="e">
        <f t="shared" si="10"/>
        <v>#REF!</v>
      </c>
    </row>
    <row r="173" spans="1:13">
      <c r="A173" s="14" t="s">
        <v>71</v>
      </c>
      <c r="J173" s="3" t="str">
        <f t="shared" ref="J173:M180" si="11">J151</f>
        <v>Variant</v>
      </c>
      <c r="K173" s="3" t="str">
        <f t="shared" si="11"/>
        <v>[4804902G&gt;A]</v>
      </c>
      <c r="L173" s="3" t="str">
        <f t="shared" si="11"/>
        <v>[142709986C&gt;T]</v>
      </c>
      <c r="M173" s="3" t="e">
        <f t="shared" si="11"/>
        <v>#REF!</v>
      </c>
    </row>
    <row r="174" spans="1:13">
      <c r="A174" s="26" t="s">
        <v>74</v>
      </c>
      <c r="B174" s="15" t="str">
        <f>CONCATENATE("People with this variant have one copy of the ",B22, ", and ",B31," variants. This substitution of a single nucleotide is known as a missense mutation.")</f>
        <v>People with this variant have one copy of the [G1074A](https://www.ncbi.nlm.nih.gov/clinvar/variation/128767/), and [C865T](https://www.ncbi.nlm.nih.gov/clinvar/variation/18344/) variants. This substitution of a single nucleotide is known as a missense mutation.</v>
      </c>
      <c r="J174" s="3" t="str">
        <f t="shared" si="11"/>
        <v>Wildtype</v>
      </c>
      <c r="K174" s="3" t="str">
        <f t="shared" si="11"/>
        <v>[4804902=]</v>
      </c>
      <c r="L174" s="3" t="str">
        <f t="shared" si="11"/>
        <v>[142709986=]</v>
      </c>
      <c r="M174" s="3" t="e">
        <f t="shared" si="11"/>
        <v>#REF!</v>
      </c>
    </row>
    <row r="175" spans="1:13">
      <c r="A175" s="26" t="s">
        <v>28</v>
      </c>
      <c r="B175" s="15" t="s">
        <v>113</v>
      </c>
      <c r="J175" s="3" t="str">
        <f t="shared" si="11"/>
        <v>Het</v>
      </c>
      <c r="K175" s="3" t="str">
        <f t="shared" si="11"/>
        <v>NC_000017.10:g.[4804902G&gt;A];[4804902=]</v>
      </c>
      <c r="L175" s="3" t="str">
        <f t="shared" si="11"/>
        <v>NC_000005.9:g.[142709986C&gt;T];[142709986=]</v>
      </c>
      <c r="M175" s="3" t="e">
        <f t="shared" si="11"/>
        <v>#REF!</v>
      </c>
    </row>
    <row r="176" spans="1:13">
      <c r="A176" s="26" t="s">
        <v>72</v>
      </c>
      <c r="J176" s="3" t="str">
        <f t="shared" si="11"/>
        <v>Homo</v>
      </c>
      <c r="K176" s="3" t="str">
        <f t="shared" si="11"/>
        <v>NC_000017.10:g.[4804902G&gt;A];[4804902G&gt;A]</v>
      </c>
      <c r="L176" s="3" t="str">
        <f t="shared" si="11"/>
        <v>NC_000005.9:g.[142709986C&gt;T];[142709986C&gt;T]</v>
      </c>
      <c r="M176" s="3" t="e">
        <f t="shared" si="11"/>
        <v>#REF!</v>
      </c>
    </row>
    <row r="177" spans="1:13">
      <c r="A177" s="26"/>
      <c r="J177" s="3" t="str">
        <f t="shared" si="11"/>
        <v>Wildtype</v>
      </c>
      <c r="K177" s="3" t="str">
        <f t="shared" si="11"/>
        <v>NC_000017.10:g.[4804902=];[4804902=]</v>
      </c>
      <c r="L177" s="3" t="str">
        <f t="shared" si="11"/>
        <v>NC_000005.9:g.[142709986=];[142709986=]</v>
      </c>
      <c r="M177" s="3" t="e">
        <f t="shared" si="11"/>
        <v>#REF!</v>
      </c>
    </row>
    <row r="178" spans="1:13">
      <c r="A178" s="26"/>
      <c r="J178" s="3" t="str">
        <f t="shared" si="11"/>
        <v>Het%</v>
      </c>
      <c r="K178" s="3">
        <f t="shared" si="11"/>
        <v>7.1</v>
      </c>
      <c r="L178" s="3">
        <f t="shared" si="11"/>
        <v>0</v>
      </c>
      <c r="M178" s="3">
        <f t="shared" si="11"/>
        <v>15.8</v>
      </c>
    </row>
    <row r="179" spans="1:13">
      <c r="A179" s="26"/>
      <c r="J179" s="3" t="str">
        <f t="shared" si="11"/>
        <v>Homo%</v>
      </c>
      <c r="K179" s="3">
        <f t="shared" si="11"/>
        <v>0.2</v>
      </c>
      <c r="L179" s="3">
        <f t="shared" si="11"/>
        <v>0</v>
      </c>
      <c r="M179" s="3">
        <f t="shared" si="11"/>
        <v>4.7</v>
      </c>
    </row>
    <row r="180" spans="1:13">
      <c r="A180" s="14"/>
      <c r="J180" s="3" t="str">
        <f t="shared" si="11"/>
        <v>Wildtype%</v>
      </c>
      <c r="K180" s="3">
        <f t="shared" si="11"/>
        <v>92.7</v>
      </c>
      <c r="L180" s="3">
        <f t="shared" si="11"/>
        <v>0</v>
      </c>
      <c r="M180" s="3">
        <f t="shared" si="11"/>
        <v>79.5</v>
      </c>
    </row>
    <row r="181" spans="1:13">
      <c r="A181" s="14"/>
    </row>
    <row r="182" spans="1:13">
      <c r="A182" s="14"/>
    </row>
    <row r="183" spans="1:13">
      <c r="A183" s="14"/>
    </row>
    <row r="184" spans="1:13">
      <c r="A184" s="14"/>
    </row>
    <row r="185" spans="1:13">
      <c r="A185" s="26"/>
    </row>
    <row r="186" spans="1:13">
      <c r="A186" s="26"/>
    </row>
    <row r="187" spans="1:13">
      <c r="A187" s="26"/>
    </row>
    <row r="188" spans="1:13">
      <c r="A188" s="26"/>
    </row>
    <row r="189" spans="1:13">
      <c r="A189" s="26"/>
    </row>
    <row r="190" spans="1:13">
      <c r="A190" s="26"/>
    </row>
    <row r="191" spans="1:13">
      <c r="A191" s="26"/>
    </row>
    <row r="192" spans="1:13">
      <c r="A192" s="26"/>
      <c r="K192" s="3" t="str">
        <f t="shared" ref="K192:M194" si="12">K170</f>
        <v>rs33383</v>
      </c>
      <c r="L192" s="3" t="str">
        <f t="shared" si="12"/>
        <v>rs33970119</v>
      </c>
      <c r="M192" s="3" t="str">
        <f t="shared" si="12"/>
        <v>rs270838</v>
      </c>
    </row>
    <row r="193" spans="1:13" s="21" customFormat="1">
      <c r="A193" s="28"/>
      <c r="B193" s="20"/>
      <c r="K193" s="21" t="str">
        <f t="shared" si="12"/>
        <v>G1074A</v>
      </c>
      <c r="L193" s="21" t="str">
        <f t="shared" si="12"/>
        <v>C865T</v>
      </c>
      <c r="M193" s="21" t="e">
        <f t="shared" si="12"/>
        <v>#REF!</v>
      </c>
    </row>
    <row r="194" spans="1:13">
      <c r="A194" s="14"/>
      <c r="K194" s="3" t="str">
        <f t="shared" si="12"/>
        <v>NC_000017.10:g.</v>
      </c>
      <c r="L194" s="3" t="str">
        <f t="shared" si="12"/>
        <v>NC_000005.9:g.</v>
      </c>
      <c r="M194" s="3" t="e">
        <f t="shared" si="12"/>
        <v>#REF!</v>
      </c>
    </row>
    <row r="195" spans="1:13">
      <c r="A195" s="14"/>
      <c r="J195" s="3" t="str">
        <f t="shared" ref="J195:M202" si="13">J173</f>
        <v>Variant</v>
      </c>
      <c r="K195" s="3" t="str">
        <f t="shared" si="13"/>
        <v>[4804902G&gt;A]</v>
      </c>
      <c r="L195" s="3" t="str">
        <f t="shared" si="13"/>
        <v>[142709986C&gt;T]</v>
      </c>
      <c r="M195" s="3" t="e">
        <f t="shared" si="13"/>
        <v>#REF!</v>
      </c>
    </row>
    <row r="196" spans="1:13">
      <c r="A196" s="26"/>
      <c r="J196" s="3" t="str">
        <f t="shared" si="13"/>
        <v>Wildtype</v>
      </c>
      <c r="K196" s="3" t="str">
        <f t="shared" si="13"/>
        <v>[4804902=]</v>
      </c>
      <c r="L196" s="3" t="str">
        <f t="shared" si="13"/>
        <v>[142709986=]</v>
      </c>
      <c r="M196" s="3" t="e">
        <f t="shared" si="13"/>
        <v>#REF!</v>
      </c>
    </row>
    <row r="197" spans="1:13">
      <c r="A197" s="26"/>
      <c r="J197" s="3" t="str">
        <f t="shared" si="13"/>
        <v>Het</v>
      </c>
      <c r="K197" s="3" t="str">
        <f t="shared" si="13"/>
        <v>NC_000017.10:g.[4804902G&gt;A];[4804902=]</v>
      </c>
      <c r="L197" s="3" t="str">
        <f t="shared" si="13"/>
        <v>NC_000005.9:g.[142709986C&gt;T];[142709986=]</v>
      </c>
      <c r="M197" s="3" t="e">
        <f t="shared" si="13"/>
        <v>#REF!</v>
      </c>
    </row>
    <row r="198" spans="1:13">
      <c r="A198" s="26"/>
      <c r="J198" s="3" t="str">
        <f t="shared" si="13"/>
        <v>Homo</v>
      </c>
      <c r="K198" s="3" t="str">
        <f t="shared" si="13"/>
        <v>NC_000017.10:g.[4804902G&gt;A];[4804902G&gt;A]</v>
      </c>
      <c r="L198" s="3" t="str">
        <f t="shared" si="13"/>
        <v>NC_000005.9:g.[142709986C&gt;T];[142709986C&gt;T]</v>
      </c>
      <c r="M198" s="3" t="e">
        <f t="shared" si="13"/>
        <v>#REF!</v>
      </c>
    </row>
    <row r="199" spans="1:13">
      <c r="A199" s="26"/>
      <c r="J199" s="3" t="str">
        <f t="shared" si="13"/>
        <v>Wildtype</v>
      </c>
      <c r="K199" s="3" t="str">
        <f t="shared" si="13"/>
        <v>NC_000017.10:g.[4804902=];[4804902=]</v>
      </c>
      <c r="L199" s="3" t="str">
        <f t="shared" si="13"/>
        <v>NC_000005.9:g.[142709986=];[142709986=]</v>
      </c>
      <c r="M199" s="3" t="e">
        <f t="shared" si="13"/>
        <v>#REF!</v>
      </c>
    </row>
    <row r="200" spans="1:13">
      <c r="A200" s="26"/>
      <c r="J200" s="3" t="str">
        <f t="shared" si="13"/>
        <v>Het%</v>
      </c>
      <c r="K200" s="3">
        <f t="shared" si="13"/>
        <v>7.1</v>
      </c>
      <c r="L200" s="3">
        <f t="shared" si="13"/>
        <v>0</v>
      </c>
      <c r="M200" s="3">
        <f t="shared" si="13"/>
        <v>15.8</v>
      </c>
    </row>
    <row r="201" spans="1:13">
      <c r="A201" s="26"/>
      <c r="J201" s="3" t="str">
        <f t="shared" si="13"/>
        <v>Homo%</v>
      </c>
      <c r="K201" s="3">
        <f t="shared" si="13"/>
        <v>0.2</v>
      </c>
      <c r="L201" s="3">
        <f t="shared" si="13"/>
        <v>0</v>
      </c>
      <c r="M201" s="3">
        <f t="shared" si="13"/>
        <v>4.7</v>
      </c>
    </row>
    <row r="202" spans="1:13">
      <c r="A202" s="14"/>
      <c r="J202" s="3" t="str">
        <f t="shared" si="13"/>
        <v>Wildtype%</v>
      </c>
      <c r="K202" s="3">
        <f t="shared" si="13"/>
        <v>92.7</v>
      </c>
      <c r="L202" s="3">
        <f t="shared" si="13"/>
        <v>0</v>
      </c>
      <c r="M202" s="3">
        <f t="shared" si="13"/>
        <v>79.5</v>
      </c>
    </row>
    <row r="203" spans="1:13">
      <c r="A203" s="14"/>
    </row>
    <row r="204" spans="1:13">
      <c r="A204" s="14"/>
    </row>
    <row r="205" spans="1:13">
      <c r="A205" s="14"/>
    </row>
    <row r="206" spans="1:13">
      <c r="A206" s="14"/>
    </row>
    <row r="207" spans="1:13">
      <c r="A207" s="26"/>
    </row>
    <row r="208" spans="1:13">
      <c r="A208" s="26"/>
    </row>
    <row r="209" spans="1:13">
      <c r="A209" s="26"/>
    </row>
    <row r="210" spans="1:13">
      <c r="A210" s="26"/>
    </row>
    <row r="211" spans="1:13">
      <c r="A211" s="26"/>
    </row>
    <row r="212" spans="1:13">
      <c r="A212" s="26"/>
    </row>
    <row r="213" spans="1:13">
      <c r="A213" s="26"/>
    </row>
    <row r="214" spans="1:13">
      <c r="A214" s="26"/>
      <c r="K214" s="3" t="str">
        <f t="shared" ref="K214:M216" si="14">K192</f>
        <v>rs33383</v>
      </c>
      <c r="L214" s="3" t="str">
        <f t="shared" si="14"/>
        <v>rs33970119</v>
      </c>
      <c r="M214" s="3" t="str">
        <f t="shared" si="14"/>
        <v>rs270838</v>
      </c>
    </row>
    <row r="215" spans="1:13" s="21" customFormat="1">
      <c r="A215" s="28" t="s">
        <v>69</v>
      </c>
      <c r="B215" s="20" t="str">
        <f>CONCATENATE(B61," and ",B83)</f>
        <v>G1074A (G;G) and C865T (T;T)</v>
      </c>
      <c r="C215" s="21" t="str">
        <f>CONCATENATE("&lt;# ",B215," #&gt;")</f>
        <v>&lt;# G1074A (G;G) and C865T (T;T) #&gt;</v>
      </c>
      <c r="K215" s="21" t="str">
        <f t="shared" si="14"/>
        <v>G1074A</v>
      </c>
      <c r="L215" s="21" t="str">
        <f t="shared" si="14"/>
        <v>C865T</v>
      </c>
      <c r="M215" s="21" t="e">
        <f t="shared" si="14"/>
        <v>#REF!</v>
      </c>
    </row>
    <row r="216" spans="1:13">
      <c r="A216" s="14" t="s">
        <v>21</v>
      </c>
      <c r="B216" s="15" t="str">
        <f>K131</f>
        <v>NC_000017.10:g.[4804902G&gt;A];[4804902=]</v>
      </c>
      <c r="K216" s="3" t="str">
        <f t="shared" si="14"/>
        <v>NC_000017.10:g.</v>
      </c>
      <c r="L216" s="3" t="str">
        <f t="shared" si="14"/>
        <v>NC_000005.9:g.</v>
      </c>
      <c r="M216" s="3" t="e">
        <f t="shared" si="14"/>
        <v>#REF!</v>
      </c>
    </row>
    <row r="217" spans="1:13">
      <c r="A217" s="14" t="s">
        <v>71</v>
      </c>
      <c r="C217" s="3" t="str">
        <f>CONCATENATE("  &lt;Analysis name=",CHAR(34),B215,CHAR(34))</f>
        <v xml:space="preserve">  &lt;Analysis name="G1074A (G;G) and C865T (T;T)"</v>
      </c>
      <c r="J217" s="3" t="str">
        <f t="shared" ref="J217:M224" si="15">J195</f>
        <v>Variant</v>
      </c>
      <c r="K217" s="3" t="str">
        <f t="shared" si="15"/>
        <v>[4804902G&gt;A]</v>
      </c>
      <c r="L217" s="3" t="str">
        <f t="shared" si="15"/>
        <v>[142709986C&gt;T]</v>
      </c>
      <c r="M217" s="3" t="e">
        <f t="shared" si="15"/>
        <v>#REF!</v>
      </c>
    </row>
    <row r="218" spans="1:13">
      <c r="A218" s="26" t="s">
        <v>74</v>
      </c>
      <c r="B218" s="15" t="str">
        <f>CONCATENATE("People with this variant have two copies of the ",B22," variant and one copy of the ",B31," variant. This substitution of a single nucleotide is known as a missense mutation.")</f>
        <v>People with this variant have two copies of the [G1074A](https://www.ncbi.nlm.nih.gov/clinvar/variation/128767/) variant and one copy of the [C865T](https://www.ncbi.nlm.nih.gov/clinvar/variation/18344/) variant. This substitution of a single nucleotide is known as a missense mutation.</v>
      </c>
      <c r="C218" s="3" t="str">
        <f>CONCATENATE("            case={  variantCall ",CHAR(40),CHAR(34),K219,CHAR(34),CHAR(41))</f>
        <v xml:space="preserve">            case={  variantCall ("NC_000017.10:g.[4804902G&gt;A];[4804902=]")</v>
      </c>
      <c r="J218" s="3" t="str">
        <f t="shared" si="15"/>
        <v>Wildtype</v>
      </c>
      <c r="K218" s="3" t="str">
        <f t="shared" si="15"/>
        <v>[4804902=]</v>
      </c>
      <c r="L218" s="3" t="str">
        <f t="shared" si="15"/>
        <v>[142709986=]</v>
      </c>
      <c r="M218" s="3" t="e">
        <f t="shared" si="15"/>
        <v>#REF!</v>
      </c>
    </row>
    <row r="219" spans="1:13">
      <c r="A219" s="26" t="s">
        <v>28</v>
      </c>
      <c r="B219" s="3" t="s">
        <v>115</v>
      </c>
      <c r="C219" s="3" t="s">
        <v>70</v>
      </c>
      <c r="J219" s="3" t="str">
        <f t="shared" si="15"/>
        <v>Het</v>
      </c>
      <c r="K219" s="3" t="str">
        <f t="shared" si="15"/>
        <v>NC_000017.10:g.[4804902G&gt;A];[4804902=]</v>
      </c>
      <c r="L219" s="3" t="str">
        <f t="shared" si="15"/>
        <v>NC_000005.9:g.[142709986C&gt;T];[142709986=]</v>
      </c>
      <c r="M219" s="3" t="e">
        <f t="shared" si="15"/>
        <v>#REF!</v>
      </c>
    </row>
    <row r="220" spans="1:13">
      <c r="A220" s="26" t="s">
        <v>72</v>
      </c>
      <c r="C220" s="3" t="str">
        <f>CONCATENATE("                    variantCall ",CHAR(40),CHAR(34),L219,CHAR(34),CHAR(41))</f>
        <v xml:space="preserve">                    variantCall ("NC_000005.9:g.[142709986C&gt;T];[142709986=]")</v>
      </c>
      <c r="J220" s="3" t="str">
        <f t="shared" si="15"/>
        <v>Homo</v>
      </c>
      <c r="K220" s="3" t="str">
        <f t="shared" si="15"/>
        <v>NC_000017.10:g.[4804902G&gt;A];[4804902G&gt;A]</v>
      </c>
      <c r="L220" s="3" t="str">
        <f t="shared" si="15"/>
        <v>NC_000005.9:g.[142709986C&gt;T];[142709986C&gt;T]</v>
      </c>
      <c r="M220" s="3" t="e">
        <f t="shared" si="15"/>
        <v>#REF!</v>
      </c>
    </row>
    <row r="221" spans="1:13">
      <c r="A221" s="26"/>
      <c r="J221" s="3" t="str">
        <f t="shared" si="15"/>
        <v>Wildtype</v>
      </c>
      <c r="K221" s="3" t="str">
        <f t="shared" si="15"/>
        <v>NC_000017.10:g.[4804902=];[4804902=]</v>
      </c>
      <c r="L221" s="3" t="str">
        <f t="shared" si="15"/>
        <v>NC_000005.9:g.[142709986=];[142709986=]</v>
      </c>
      <c r="M221" s="3" t="e">
        <f t="shared" si="15"/>
        <v>#REF!</v>
      </c>
    </row>
    <row r="222" spans="1:13">
      <c r="A222" s="26"/>
      <c r="J222" s="3" t="str">
        <f t="shared" si="15"/>
        <v>Het%</v>
      </c>
      <c r="K222" s="3">
        <f t="shared" si="15"/>
        <v>7.1</v>
      </c>
      <c r="L222" s="3">
        <f t="shared" si="15"/>
        <v>0</v>
      </c>
      <c r="M222" s="3">
        <f t="shared" si="15"/>
        <v>15.8</v>
      </c>
    </row>
    <row r="223" spans="1:13">
      <c r="A223" s="26"/>
      <c r="C223" s="3" t="str">
        <f>CONCATENATE("                  } &gt; ")</f>
        <v xml:space="preserve">                  } &gt; </v>
      </c>
      <c r="J223" s="3" t="str">
        <f t="shared" si="15"/>
        <v>Homo%</v>
      </c>
      <c r="K223" s="3">
        <f t="shared" si="15"/>
        <v>0.2</v>
      </c>
      <c r="L223" s="3">
        <f t="shared" si="15"/>
        <v>0</v>
      </c>
      <c r="M223" s="3">
        <f t="shared" si="15"/>
        <v>4.7</v>
      </c>
    </row>
    <row r="224" spans="1:13">
      <c r="A224" s="14"/>
      <c r="J224" s="3" t="str">
        <f t="shared" si="15"/>
        <v>Wildtype%</v>
      </c>
      <c r="K224" s="3">
        <f t="shared" si="15"/>
        <v>92.7</v>
      </c>
      <c r="L224" s="3">
        <f t="shared" si="15"/>
        <v>0</v>
      </c>
      <c r="M224" s="3">
        <f t="shared" si="15"/>
        <v>79.5</v>
      </c>
    </row>
    <row r="225" spans="1:13">
      <c r="A225" s="14"/>
      <c r="C225" s="3" t="s">
        <v>26</v>
      </c>
    </row>
    <row r="226" spans="1:13">
      <c r="A226" s="14"/>
    </row>
    <row r="227" spans="1:13">
      <c r="A227" s="14"/>
      <c r="C227" s="3" t="str">
        <f>CONCATENATE("    ",B218)</f>
        <v xml:space="preserve">    People with this variant have two copies of the [G1074A](https://www.ncbi.nlm.nih.gov/clinvar/variation/128767/) variant and one copy of the [C865T](https://www.ncbi.nlm.nih.gov/clinvar/variation/18344/) variant. This substitution of a single nucleotide is known as a missense mutation.</v>
      </c>
    </row>
    <row r="228" spans="1:13">
      <c r="A228" s="14"/>
    </row>
    <row r="229" spans="1:13">
      <c r="A229" s="26"/>
      <c r="C229" s="3" t="s">
        <v>29</v>
      </c>
    </row>
    <row r="230" spans="1:13">
      <c r="A230" s="26"/>
    </row>
    <row r="231" spans="1:13">
      <c r="A231" s="26"/>
      <c r="C231" s="3" t="str">
        <f>CONCATENATE(B219)</f>
        <v xml:space="preserve">    There is currently no data on the interaction between these variants.  However, some information exists on the individual variants. 
    # What is the effect of T928G?
Two copies of T928G is linked to increasing the risk of [schizophrenia](https://www.ncbi.nlm.nih.gov/pubmed/19921975/) by [30%](https://www.ncbi.nlm.nih.gov/pubmed/25054019?dopt=Abstract) and [recurrent major depressive disorder](https://www.ncbi.nlm.nih.gov/pubmed/16958029). Having two copies of this variant is associated with personality differences.  These include higher scores in [harm avoidance, anxiety, and shyness, and lower scores in novelty seeking, responsibility, resourcefulness, helpfulness, compassion, self motivation, and cooperativeness](https://www.ncbi.nlm.nih.gov/pubmed/19221446/). This pattern of scores is similar to that observed in [depressed patients](https://www.ncbi.nlm.nih.gov/pubmed/19221446/).
    # What should I do about this?
    Patients should be aware of their greater risk of depression, and consult with their physician regarding medication, including [Glutamic Acid](https://www.drugbank.ca/drugs/DB00142). Treatments include psychotherapy, light therapy (being in bright sunlight for 20-30 minutes), art therapy, and animal therapy.
    # What is the effect of C36983994T?
C36983994T was found was found in [90.5% of ME/CFS patients](https://www.ncbi.nlm.nih.gov/pubmed/27835969), compared with 21.1% of healthy patients. Changes to the glutamate receptor caused by this variant may impair [electrical flow among brain cells and reduce glutamate binding ability.](https://www.nimh.nih.gov/health/educational-resources/brain-basics/brain-basics.shtml) Elevated levels of glutamate outside of cells ([extracellular glutamate](https://www.ncbi.nlm.nih.gov/pmc/articles/PMC5314655/)) causes [excitotoxicity](https://www.ncbi.nlm.nih.gov/books/NBK10807/), a process when nerve cells are damaged or killed by excessive stimulation. For ME/CFS patients, sustained exposure to excess [extracellular glutamate](https://www.ncbi.nlm.nih.gov/pmc/articles/PMC5314655/) causes [sickness behavior, neurotoxicity, stress, and peripheral nervous sensitivity, including weakness, numbness and pain.](https://www.ncbi.nlm.nih.gov/pmc/articles/PMC5314655/) ME/CFS is also linked to an incorrect ratio of[glutamate to GABA](https://www.ncbi.nlm.nih.gov/pmc/articles/PMC5314655/). Excess glutamate and low GABA may cause increased pain, anxiety, and an inability to focus. 
    # What should I do about this?
    For elevated glutamate levels:
    - Medications may include: [Glutamic Acid](https://www.drugbank.ca/drugs/DB00142), [Ketamine, Riluzole, Lamotrigine, and Memantine](http://web.stanford.edu/group/hopes/cgi-bin/hopes_test/glossary/anti-glutamate/). 
    - Dietary supplements may include: [Omega-3 PUFAs, CoQ10, N-acetylcysteine, vitamin B12, curcumin, zinc, magnesium, L-Taurine, and L-carnitine.](https://www.ncbi.nlm.nih.gov/pmc/articles/PMC5314655/) 
    For low GABA levels:
    - Medications may include: benzodiazepines, such as clonazepam and Xanax, and sleep medications, including Ambien and Lunesta. 
    - Dietary supplements may include: 5-HTP (a synthetic form of tryptophan), glutamine (found in meat, fish, eggs, dairy, and wheat), and Taurine (found in meat and seafood).  
    Lifestyle changes to improve anxiety, stress, and pain include [meditation, tai-chi, yoga, and stretching](https://medlineplus.gov/stress.html#cat_78).</v>
      </c>
    </row>
    <row r="232" spans="1:13">
      <c r="A232" s="26"/>
    </row>
    <row r="233" spans="1:13">
      <c r="A233" s="26"/>
      <c r="C233" s="3" t="s">
        <v>30</v>
      </c>
    </row>
    <row r="234" spans="1:13">
      <c r="A234" s="26"/>
    </row>
    <row r="235" spans="1:13">
      <c r="A235" s="26"/>
      <c r="C235" s="3" t="str">
        <f>CONCATENATE( "    &lt;piechart percentage=",B220," /&gt;")</f>
        <v xml:space="preserve">    &lt;piechart percentage= /&gt;</v>
      </c>
    </row>
    <row r="236" spans="1:13">
      <c r="A236" s="26"/>
      <c r="C236" s="3" t="str">
        <f>"  &lt;/Analysis&gt;"</f>
        <v xml:space="preserve">  &lt;/Analysis&gt;</v>
      </c>
      <c r="K236" s="3" t="str">
        <f t="shared" ref="K236:M238" si="16">K214</f>
        <v>rs33383</v>
      </c>
      <c r="L236" s="3" t="str">
        <f t="shared" si="16"/>
        <v>rs33970119</v>
      </c>
      <c r="M236" s="3" t="str">
        <f t="shared" si="16"/>
        <v>rs270838</v>
      </c>
    </row>
    <row r="237" spans="1:13" s="21" customFormat="1">
      <c r="A237" s="28"/>
      <c r="B237" s="20"/>
      <c r="K237" s="21" t="str">
        <f t="shared" si="16"/>
        <v>G1074A</v>
      </c>
      <c r="L237" s="21" t="str">
        <f t="shared" si="16"/>
        <v>C865T</v>
      </c>
      <c r="M237" s="21" t="e">
        <f t="shared" si="16"/>
        <v>#REF!</v>
      </c>
    </row>
    <row r="238" spans="1:13">
      <c r="A238" s="14"/>
      <c r="K238" s="3" t="str">
        <f t="shared" si="16"/>
        <v>NC_000017.10:g.</v>
      </c>
      <c r="L238" s="3" t="str">
        <f t="shared" si="16"/>
        <v>NC_000005.9:g.</v>
      </c>
      <c r="M238" s="3" t="e">
        <f t="shared" si="16"/>
        <v>#REF!</v>
      </c>
    </row>
    <row r="239" spans="1:13">
      <c r="A239" s="14"/>
      <c r="J239" s="3" t="str">
        <f t="shared" ref="J239:M246" si="17">J217</f>
        <v>Variant</v>
      </c>
      <c r="K239" s="3" t="str">
        <f t="shared" si="17"/>
        <v>[4804902G&gt;A]</v>
      </c>
      <c r="L239" s="3" t="str">
        <f t="shared" si="17"/>
        <v>[142709986C&gt;T]</v>
      </c>
      <c r="M239" s="3" t="e">
        <f t="shared" si="17"/>
        <v>#REF!</v>
      </c>
    </row>
    <row r="240" spans="1:13">
      <c r="A240" s="26"/>
      <c r="J240" s="3" t="str">
        <f t="shared" si="17"/>
        <v>Wildtype</v>
      </c>
      <c r="K240" s="3" t="str">
        <f t="shared" si="17"/>
        <v>[4804902=]</v>
      </c>
      <c r="L240" s="3" t="str">
        <f t="shared" si="17"/>
        <v>[142709986=]</v>
      </c>
      <c r="M240" s="3" t="e">
        <f t="shared" si="17"/>
        <v>#REF!</v>
      </c>
    </row>
    <row r="241" spans="1:13">
      <c r="A241" s="26"/>
      <c r="J241" s="3" t="str">
        <f t="shared" si="17"/>
        <v>Het</v>
      </c>
      <c r="K241" s="3" t="str">
        <f t="shared" si="17"/>
        <v>NC_000017.10:g.[4804902G&gt;A];[4804902=]</v>
      </c>
      <c r="L241" s="3" t="str">
        <f t="shared" si="17"/>
        <v>NC_000005.9:g.[142709986C&gt;T];[142709986=]</v>
      </c>
      <c r="M241" s="3" t="e">
        <f t="shared" si="17"/>
        <v>#REF!</v>
      </c>
    </row>
    <row r="242" spans="1:13">
      <c r="A242" s="26"/>
      <c r="J242" s="3" t="str">
        <f t="shared" si="17"/>
        <v>Homo</v>
      </c>
      <c r="K242" s="3" t="str">
        <f t="shared" si="17"/>
        <v>NC_000017.10:g.[4804902G&gt;A];[4804902G&gt;A]</v>
      </c>
      <c r="L242" s="3" t="str">
        <f t="shared" si="17"/>
        <v>NC_000005.9:g.[142709986C&gt;T];[142709986C&gt;T]</v>
      </c>
      <c r="M242" s="3" t="e">
        <f t="shared" si="17"/>
        <v>#REF!</v>
      </c>
    </row>
    <row r="243" spans="1:13">
      <c r="A243" s="26"/>
      <c r="J243" s="3" t="str">
        <f t="shared" si="17"/>
        <v>Wildtype</v>
      </c>
      <c r="K243" s="3" t="str">
        <f t="shared" si="17"/>
        <v>NC_000017.10:g.[4804902=];[4804902=]</v>
      </c>
      <c r="L243" s="3" t="str">
        <f t="shared" si="17"/>
        <v>NC_000005.9:g.[142709986=];[142709986=]</v>
      </c>
      <c r="M243" s="3" t="e">
        <f t="shared" si="17"/>
        <v>#REF!</v>
      </c>
    </row>
    <row r="244" spans="1:13">
      <c r="A244" s="26"/>
      <c r="J244" s="3" t="str">
        <f t="shared" si="17"/>
        <v>Het%</v>
      </c>
      <c r="K244" s="3">
        <f t="shared" si="17"/>
        <v>7.1</v>
      </c>
      <c r="L244" s="3">
        <f t="shared" si="17"/>
        <v>0</v>
      </c>
      <c r="M244" s="3">
        <f t="shared" si="17"/>
        <v>15.8</v>
      </c>
    </row>
    <row r="245" spans="1:13">
      <c r="A245" s="26"/>
      <c r="J245" s="3" t="str">
        <f t="shared" si="17"/>
        <v>Homo%</v>
      </c>
      <c r="K245" s="3">
        <f t="shared" si="17"/>
        <v>0.2</v>
      </c>
      <c r="L245" s="3">
        <f t="shared" si="17"/>
        <v>0</v>
      </c>
      <c r="M245" s="3">
        <f t="shared" si="17"/>
        <v>4.7</v>
      </c>
    </row>
    <row r="246" spans="1:13">
      <c r="A246" s="14"/>
      <c r="J246" s="3" t="str">
        <f t="shared" si="17"/>
        <v>Wildtype%</v>
      </c>
      <c r="K246" s="3">
        <f t="shared" si="17"/>
        <v>92.7</v>
      </c>
      <c r="L246" s="3">
        <f t="shared" si="17"/>
        <v>0</v>
      </c>
      <c r="M246" s="3">
        <f t="shared" si="17"/>
        <v>79.5</v>
      </c>
    </row>
    <row r="247" spans="1:13">
      <c r="A247" s="14"/>
    </row>
    <row r="248" spans="1:13">
      <c r="A248" s="14"/>
    </row>
    <row r="249" spans="1:13">
      <c r="A249" s="14"/>
    </row>
    <row r="250" spans="1:13">
      <c r="A250" s="14"/>
    </row>
    <row r="251" spans="1:13">
      <c r="A251" s="26"/>
    </row>
    <row r="252" spans="1:13">
      <c r="A252" s="26"/>
    </row>
    <row r="253" spans="1:13">
      <c r="A253" s="26"/>
    </row>
    <row r="254" spans="1:13">
      <c r="A254" s="26"/>
    </row>
    <row r="255" spans="1:13">
      <c r="A255" s="26"/>
    </row>
    <row r="256" spans="1:13">
      <c r="A256" s="26"/>
    </row>
    <row r="257" spans="1:13">
      <c r="A257" s="26"/>
    </row>
    <row r="258" spans="1:13">
      <c r="A258" s="26"/>
      <c r="K258" s="3" t="str">
        <f t="shared" ref="K258:M260" si="18">K236</f>
        <v>rs33383</v>
      </c>
      <c r="L258" s="3" t="str">
        <f t="shared" si="18"/>
        <v>rs33970119</v>
      </c>
      <c r="M258" s="3" t="str">
        <f t="shared" si="18"/>
        <v>rs270838</v>
      </c>
    </row>
    <row r="259" spans="1:13" s="21" customFormat="1">
      <c r="A259" s="28"/>
      <c r="B259" s="20"/>
      <c r="K259" s="21" t="str">
        <f t="shared" si="18"/>
        <v>G1074A</v>
      </c>
      <c r="L259" s="21" t="str">
        <f t="shared" si="18"/>
        <v>C865T</v>
      </c>
      <c r="M259" s="21" t="e">
        <f t="shared" si="18"/>
        <v>#REF!</v>
      </c>
    </row>
    <row r="260" spans="1:13">
      <c r="A260" s="14"/>
      <c r="K260" s="3" t="str">
        <f t="shared" si="18"/>
        <v>NC_000017.10:g.</v>
      </c>
      <c r="L260" s="3" t="str">
        <f t="shared" si="18"/>
        <v>NC_000005.9:g.</v>
      </c>
      <c r="M260" s="3" t="e">
        <f t="shared" si="18"/>
        <v>#REF!</v>
      </c>
    </row>
    <row r="261" spans="1:13">
      <c r="A261" s="14"/>
      <c r="J261" s="3" t="str">
        <f t="shared" ref="J261:M268" si="19">J239</f>
        <v>Variant</v>
      </c>
      <c r="K261" s="3" t="str">
        <f t="shared" si="19"/>
        <v>[4804902G&gt;A]</v>
      </c>
      <c r="L261" s="3" t="str">
        <f t="shared" si="19"/>
        <v>[142709986C&gt;T]</v>
      </c>
      <c r="M261" s="3" t="e">
        <f t="shared" si="19"/>
        <v>#REF!</v>
      </c>
    </row>
    <row r="262" spans="1:13">
      <c r="A262" s="26"/>
      <c r="J262" s="3" t="str">
        <f t="shared" si="19"/>
        <v>Wildtype</v>
      </c>
      <c r="K262" s="3" t="str">
        <f t="shared" si="19"/>
        <v>[4804902=]</v>
      </c>
      <c r="L262" s="3" t="str">
        <f t="shared" si="19"/>
        <v>[142709986=]</v>
      </c>
      <c r="M262" s="3" t="e">
        <f t="shared" si="19"/>
        <v>#REF!</v>
      </c>
    </row>
    <row r="263" spans="1:13">
      <c r="A263" s="26"/>
      <c r="J263" s="3" t="str">
        <f t="shared" si="19"/>
        <v>Het</v>
      </c>
      <c r="K263" s="3" t="str">
        <f t="shared" si="19"/>
        <v>NC_000017.10:g.[4804902G&gt;A];[4804902=]</v>
      </c>
      <c r="L263" s="3" t="str">
        <f t="shared" si="19"/>
        <v>NC_000005.9:g.[142709986C&gt;T];[142709986=]</v>
      </c>
      <c r="M263" s="3" t="e">
        <f t="shared" si="19"/>
        <v>#REF!</v>
      </c>
    </row>
    <row r="264" spans="1:13">
      <c r="A264" s="26"/>
      <c r="J264" s="3" t="str">
        <f t="shared" si="19"/>
        <v>Homo</v>
      </c>
      <c r="K264" s="3" t="str">
        <f t="shared" si="19"/>
        <v>NC_000017.10:g.[4804902G&gt;A];[4804902G&gt;A]</v>
      </c>
      <c r="L264" s="3" t="str">
        <f t="shared" si="19"/>
        <v>NC_000005.9:g.[142709986C&gt;T];[142709986C&gt;T]</v>
      </c>
      <c r="M264" s="3" t="e">
        <f t="shared" si="19"/>
        <v>#REF!</v>
      </c>
    </row>
    <row r="265" spans="1:13">
      <c r="A265" s="26"/>
      <c r="J265" s="3" t="str">
        <f t="shared" si="19"/>
        <v>Wildtype</v>
      </c>
      <c r="K265" s="3" t="str">
        <f t="shared" si="19"/>
        <v>NC_000017.10:g.[4804902=];[4804902=]</v>
      </c>
      <c r="L265" s="3" t="str">
        <f t="shared" si="19"/>
        <v>NC_000005.9:g.[142709986=];[142709986=]</v>
      </c>
      <c r="M265" s="3" t="e">
        <f t="shared" si="19"/>
        <v>#REF!</v>
      </c>
    </row>
    <row r="266" spans="1:13">
      <c r="A266" s="26"/>
      <c r="J266" s="3" t="str">
        <f t="shared" si="19"/>
        <v>Het%</v>
      </c>
      <c r="K266" s="3">
        <f t="shared" si="19"/>
        <v>7.1</v>
      </c>
      <c r="L266" s="3">
        <f t="shared" si="19"/>
        <v>0</v>
      </c>
      <c r="M266" s="3">
        <f t="shared" si="19"/>
        <v>15.8</v>
      </c>
    </row>
    <row r="267" spans="1:13">
      <c r="A267" s="26"/>
      <c r="J267" s="3" t="str">
        <f t="shared" si="19"/>
        <v>Homo%</v>
      </c>
      <c r="K267" s="3">
        <f t="shared" si="19"/>
        <v>0.2</v>
      </c>
      <c r="L267" s="3">
        <f t="shared" si="19"/>
        <v>0</v>
      </c>
      <c r="M267" s="3">
        <f t="shared" si="19"/>
        <v>4.7</v>
      </c>
    </row>
    <row r="268" spans="1:13">
      <c r="A268" s="14"/>
      <c r="J268" s="3" t="str">
        <f t="shared" si="19"/>
        <v>Wildtype%</v>
      </c>
      <c r="K268" s="3">
        <f t="shared" si="19"/>
        <v>92.7</v>
      </c>
      <c r="L268" s="3">
        <f t="shared" si="19"/>
        <v>0</v>
      </c>
      <c r="M268" s="3">
        <f t="shared" si="19"/>
        <v>79.5</v>
      </c>
    </row>
    <row r="269" spans="1:13">
      <c r="A269" s="14"/>
    </row>
    <row r="270" spans="1:13">
      <c r="A270" s="14"/>
    </row>
    <row r="271" spans="1:13">
      <c r="A271" s="14"/>
    </row>
    <row r="272" spans="1:13">
      <c r="A272" s="14"/>
    </row>
    <row r="273" spans="1:13">
      <c r="A273" s="26"/>
    </row>
    <row r="274" spans="1:13">
      <c r="A274" s="26"/>
    </row>
    <row r="275" spans="1:13">
      <c r="A275" s="26"/>
    </row>
    <row r="276" spans="1:13">
      <c r="A276" s="26"/>
    </row>
    <row r="277" spans="1:13">
      <c r="A277" s="26"/>
    </row>
    <row r="278" spans="1:13">
      <c r="A278" s="26"/>
    </row>
    <row r="279" spans="1:13">
      <c r="A279" s="26"/>
    </row>
    <row r="280" spans="1:13">
      <c r="A280" s="26"/>
      <c r="K280" s="3" t="str">
        <f t="shared" ref="K280:M284" si="20">K126</f>
        <v>rs33383</v>
      </c>
      <c r="L280" s="3" t="str">
        <f t="shared" si="20"/>
        <v>rs33970119</v>
      </c>
      <c r="M280" s="3" t="str">
        <f t="shared" si="20"/>
        <v>rs270838</v>
      </c>
    </row>
    <row r="281" spans="1:13" s="21" customFormat="1">
      <c r="A281" s="28" t="s">
        <v>69</v>
      </c>
      <c r="B281" s="20" t="s">
        <v>83</v>
      </c>
      <c r="C281" s="21" t="str">
        <f>CONCATENATE("&lt;# ",B281," #&gt;")</f>
        <v>&lt;# Wild type #&gt;</v>
      </c>
      <c r="K281" s="21" t="str">
        <f t="shared" si="20"/>
        <v>G1074A</v>
      </c>
      <c r="L281" s="21" t="str">
        <f t="shared" si="20"/>
        <v>C865T</v>
      </c>
      <c r="M281" s="21" t="e">
        <f t="shared" si="20"/>
        <v>#REF!</v>
      </c>
    </row>
    <row r="282" spans="1:13">
      <c r="A282" s="14" t="s">
        <v>21</v>
      </c>
      <c r="B282" s="15" t="str">
        <f>K45</f>
        <v>NC_000017.10:g.[4804902=];[4804902=]</v>
      </c>
      <c r="K282" s="3" t="str">
        <f t="shared" si="20"/>
        <v>NC_000017.10:g.</v>
      </c>
      <c r="L282" s="3" t="str">
        <f t="shared" si="20"/>
        <v>NC_000005.9:g.</v>
      </c>
      <c r="M282" s="3" t="e">
        <f t="shared" si="20"/>
        <v>#REF!</v>
      </c>
    </row>
    <row r="283" spans="1:13">
      <c r="A283" s="14" t="s">
        <v>71</v>
      </c>
      <c r="B283" s="15" t="str">
        <f>L45</f>
        <v>NC_000005.9:g.[142709986=];[142709986=]</v>
      </c>
      <c r="C283" s="3" t="str">
        <f>CONCATENATE("  &lt;Analysis name=",CHAR(34),B281,CHAR(34))</f>
        <v xml:space="preserve">  &lt;Analysis name="Wild type"</v>
      </c>
      <c r="J283" s="3" t="str">
        <f>J129</f>
        <v>Variant</v>
      </c>
      <c r="K283" s="3" t="str">
        <f t="shared" si="20"/>
        <v>[4804902G&gt;A]</v>
      </c>
      <c r="L283" s="3" t="str">
        <f t="shared" si="20"/>
        <v>[142709986C&gt;T]</v>
      </c>
      <c r="M283" s="3" t="e">
        <f t="shared" si="20"/>
        <v>#REF!</v>
      </c>
    </row>
    <row r="284" spans="1:13">
      <c r="A284" s="26" t="s">
        <v>74</v>
      </c>
      <c r="B284" s="15" t="str">
        <f>CONCATENATE("Your ",B12," gene has no variants. A normal gene is referred to as a ",CHAR(34),"wild-type",CHAR(34)," gene.")</f>
        <v>Your CHRNE gene has no variants. A normal gene is referred to as a "wild-type" gene.</v>
      </c>
      <c r="C284" s="3" t="str">
        <f>CONCATENATE("            case={  ",CHAR(40),"variantCall ",CHAR(40),CHAR(34),K285,CHAR(34),CHAR(41)," or variantCall ",CHAR(40),CHAR(34),K287,CHAR(34),CHAR(41),CHAR(41))</f>
        <v xml:space="preserve">            case={  (variantCall ("NC_000017.10:g.[4804902G&gt;A];[4804902=]") or variantCall ("NC_000017.10:g.[4804902=];[4804902=]"))</v>
      </c>
      <c r="J284" s="3" t="str">
        <f>J130</f>
        <v>Wildtype</v>
      </c>
      <c r="K284" s="3" t="str">
        <f t="shared" si="20"/>
        <v>[4804902=]</v>
      </c>
      <c r="L284" s="3" t="str">
        <f t="shared" si="20"/>
        <v>[142709986=]</v>
      </c>
      <c r="M284" s="3" t="e">
        <f t="shared" si="20"/>
        <v>#REF!</v>
      </c>
    </row>
    <row r="285" spans="1:13">
      <c r="A285" s="26" t="s">
        <v>28</v>
      </c>
      <c r="C285" s="3" t="s">
        <v>70</v>
      </c>
      <c r="J285" s="3" t="str">
        <f t="shared" ref="J285:M290" si="21">J131</f>
        <v>Het</v>
      </c>
      <c r="K285" s="3" t="str">
        <f t="shared" si="21"/>
        <v>NC_000017.10:g.[4804902G&gt;A];[4804902=]</v>
      </c>
      <c r="L285" s="3" t="str">
        <f t="shared" si="21"/>
        <v>NC_000005.9:g.[142709986C&gt;T];[142709986=]</v>
      </c>
      <c r="M285" s="3" t="e">
        <f t="shared" si="21"/>
        <v>#REF!</v>
      </c>
    </row>
    <row r="286" spans="1:13">
      <c r="A286" s="26" t="s">
        <v>72</v>
      </c>
      <c r="C286" s="3" t="str">
        <f>CONCATENATE("                    ",CHAR(40),"variantCall ",CHAR(40),CHAR(34),L285,CHAR(34),CHAR(41)," or variantCall ",CHAR(40),CHAR(34),L287,CHAR(34),CHAR(41),CHAR(41))</f>
        <v xml:space="preserve">                    (variantCall ("NC_000005.9:g.[142709986C&gt;T];[142709986=]") or variantCall ("NC_000005.9:g.[142709986=];[142709986=]"))</v>
      </c>
      <c r="J286" s="3" t="str">
        <f t="shared" si="21"/>
        <v>Homo</v>
      </c>
      <c r="K286" s="3" t="str">
        <f t="shared" si="21"/>
        <v>NC_000017.10:g.[4804902G&gt;A];[4804902G&gt;A]</v>
      </c>
      <c r="L286" s="3" t="str">
        <f t="shared" si="21"/>
        <v>NC_000005.9:g.[142709986C&gt;T];[142709986C&gt;T]</v>
      </c>
      <c r="M286" s="3" t="e">
        <f t="shared" si="21"/>
        <v>#REF!</v>
      </c>
    </row>
    <row r="287" spans="1:13">
      <c r="A287" s="26"/>
      <c r="J287" s="3" t="str">
        <f t="shared" si="21"/>
        <v>Wildtype</v>
      </c>
      <c r="K287" s="3" t="str">
        <f t="shared" si="21"/>
        <v>NC_000017.10:g.[4804902=];[4804902=]</v>
      </c>
      <c r="L287" s="3" t="str">
        <f t="shared" si="21"/>
        <v>NC_000005.9:g.[142709986=];[142709986=]</v>
      </c>
      <c r="M287" s="3" t="e">
        <f t="shared" si="21"/>
        <v>#REF!</v>
      </c>
    </row>
    <row r="288" spans="1:13">
      <c r="A288" s="26"/>
      <c r="J288" s="3" t="str">
        <f t="shared" si="21"/>
        <v>Het%</v>
      </c>
      <c r="K288" s="3">
        <f t="shared" si="21"/>
        <v>7.1</v>
      </c>
      <c r="L288" s="3">
        <f t="shared" si="21"/>
        <v>0</v>
      </c>
      <c r="M288" s="3">
        <f t="shared" si="21"/>
        <v>15.8</v>
      </c>
    </row>
    <row r="289" spans="1:13">
      <c r="A289" s="26"/>
      <c r="C289" s="3" t="str">
        <f>CONCATENATE("                  } &gt; ")</f>
        <v xml:space="preserve">                  } &gt; </v>
      </c>
      <c r="J289" s="3" t="str">
        <f t="shared" si="21"/>
        <v>Homo%</v>
      </c>
      <c r="K289" s="3">
        <f t="shared" si="21"/>
        <v>0.2</v>
      </c>
      <c r="L289" s="3">
        <f t="shared" si="21"/>
        <v>0</v>
      </c>
      <c r="M289" s="3">
        <f t="shared" si="21"/>
        <v>4.7</v>
      </c>
    </row>
    <row r="290" spans="1:13">
      <c r="A290" s="14"/>
      <c r="J290" s="3" t="str">
        <f t="shared" si="21"/>
        <v>Wildtype%</v>
      </c>
      <c r="K290" s="3">
        <f t="shared" si="21"/>
        <v>92.7</v>
      </c>
      <c r="L290" s="3">
        <f t="shared" si="21"/>
        <v>0</v>
      </c>
      <c r="M290" s="3">
        <f t="shared" si="21"/>
        <v>79.5</v>
      </c>
    </row>
    <row r="291" spans="1:13">
      <c r="A291" s="14"/>
      <c r="C291" s="3" t="s">
        <v>26</v>
      </c>
    </row>
    <row r="292" spans="1:13">
      <c r="A292" s="14"/>
    </row>
    <row r="293" spans="1:13">
      <c r="A293" s="26"/>
      <c r="C293" s="3" t="str">
        <f>CONCATENATE("    ",B284)</f>
        <v xml:space="preserve">    Your CHRNE gene has no variants. A normal gene is referred to as a "wild-type" gene.</v>
      </c>
    </row>
    <row r="294" spans="1:13">
      <c r="A294" s="26"/>
    </row>
    <row r="295" spans="1:13">
      <c r="A295" s="26"/>
      <c r="C295" s="3" t="s">
        <v>30</v>
      </c>
    </row>
    <row r="296" spans="1:13">
      <c r="A296" s="26"/>
    </row>
    <row r="297" spans="1:13">
      <c r="A297" s="26"/>
      <c r="C297" s="3" t="str">
        <f>CONCATENATE( "    &lt;piechart percentage=",B286," /&gt;")</f>
        <v xml:space="preserve">    &lt;piechart percentage= /&gt;</v>
      </c>
    </row>
    <row r="298" spans="1:13">
      <c r="A298" s="26"/>
      <c r="C298" s="3" t="str">
        <f>"  &lt;/Analysis&gt;"</f>
        <v xml:space="preserve">  &lt;/Analysis&gt;</v>
      </c>
    </row>
    <row r="299" spans="1:13" s="21" customFormat="1">
      <c r="A299" s="28" t="s">
        <v>69</v>
      </c>
      <c r="B299" s="20" t="s">
        <v>84</v>
      </c>
      <c r="C299" s="21" t="str">
        <f>CONCATENATE("&lt;# ",B299," #&gt;")</f>
        <v>&lt;# Unknown #&gt;</v>
      </c>
    </row>
    <row r="300" spans="1:13">
      <c r="A300" s="14" t="s">
        <v>21</v>
      </c>
      <c r="B300" s="15" t="str">
        <f>K63</f>
        <v>[4804902G&gt;A]</v>
      </c>
    </row>
    <row r="301" spans="1:13">
      <c r="A301" s="14" t="s">
        <v>71</v>
      </c>
      <c r="C301" s="3" t="str">
        <f>CONCATENATE("  &lt;Analysis name=",CHAR(34),B299,CHAR(34), " case=true&gt;")</f>
        <v xml:space="preserve">  &lt;Analysis name="Unknown" case=true&gt;</v>
      </c>
    </row>
    <row r="302" spans="1:13">
      <c r="A302" s="26" t="s">
        <v>74</v>
      </c>
      <c r="B302" s="15" t="s">
        <v>31</v>
      </c>
    </row>
    <row r="303" spans="1:13">
      <c r="A303" s="26" t="s">
        <v>72</v>
      </c>
      <c r="B303" s="15">
        <v>0</v>
      </c>
      <c r="C303" s="3" t="s">
        <v>26</v>
      </c>
    </row>
    <row r="304" spans="1:13">
      <c r="A304" s="26"/>
    </row>
    <row r="305" spans="1:3">
      <c r="A305" s="14"/>
      <c r="C305" s="3" t="str">
        <f>CONCATENATE("    ",B302)</f>
        <v xml:space="preserve">    The effect is unknown.</v>
      </c>
    </row>
    <row r="306" spans="1:3">
      <c r="A306" s="14"/>
    </row>
    <row r="307" spans="1:3">
      <c r="A307" s="14"/>
      <c r="C307" s="3" t="s">
        <v>30</v>
      </c>
    </row>
    <row r="308" spans="1:3">
      <c r="A308" s="26"/>
    </row>
    <row r="309" spans="1:3">
      <c r="A309" s="26"/>
      <c r="C309" s="3" t="str">
        <f>CONCATENATE( "    &lt;piechart percentage=",B303," /&gt;")</f>
        <v xml:space="preserve">    &lt;piechart percentage=0 /&gt;</v>
      </c>
    </row>
    <row r="310" spans="1:3">
      <c r="A310" s="26"/>
      <c r="C310" s="3" t="str">
        <f>"  &lt;/Analysis&gt;"</f>
        <v xml:space="preserve">  &lt;/Analysis&gt;</v>
      </c>
    </row>
    <row r="311" spans="1:3">
      <c r="A311" s="14"/>
      <c r="C311" s="31" t="s">
        <v>369</v>
      </c>
    </row>
    <row r="312" spans="1:3" s="21" customFormat="1">
      <c r="A312" s="19"/>
      <c r="B312" s="20"/>
      <c r="C312" s="35"/>
    </row>
    <row r="313" spans="1:3">
      <c r="A313" s="14" t="s">
        <v>77</v>
      </c>
      <c r="B313" s="15" t="s">
        <v>123</v>
      </c>
      <c r="C313" s="10" t="str">
        <f>CONCATENATE("&lt;# ",A313," ",B313," #&gt;")</f>
        <v>&lt;# Tissues brain D001921 #&gt;</v>
      </c>
    </row>
    <row r="314" spans="1:3">
      <c r="A314" s="14"/>
    </row>
    <row r="315" spans="1:3">
      <c r="A315" s="14"/>
      <c r="B315" s="15" t="s">
        <v>124</v>
      </c>
      <c r="C315" s="31" t="str">
        <f>CONCATENATE("&lt;TopicBar ",B315," /&gt;")</f>
        <v>&lt;TopicBar brain /&gt;</v>
      </c>
    </row>
    <row r="316" spans="1:3">
      <c r="A316" s="14"/>
    </row>
    <row r="317" spans="1:3">
      <c r="A317" s="14" t="s">
        <v>32</v>
      </c>
      <c r="B317" s="15" t="s">
        <v>119</v>
      </c>
      <c r="C317" s="10" t="str">
        <f>CONCATENATE("&lt;# ",A317," ",B317," #&gt;")</f>
        <v>&lt;# Symptoms depression, stress, problems with thinking or memory, brain fog, pain #&gt;</v>
      </c>
    </row>
    <row r="318" spans="1:3">
      <c r="A318" s="14"/>
    </row>
    <row r="319" spans="1:3">
      <c r="A319" s="14"/>
      <c r="B319" s="15" t="s">
        <v>120</v>
      </c>
      <c r="C319" s="31" t="str">
        <f>CONCATENATE("&lt;TopicBar ",B319," /&gt;")</f>
        <v>&lt;TopicBar mesh_D003863 mesh_D040701 mesh_D008569 mesh_D010146 /&gt;</v>
      </c>
    </row>
    <row r="320" spans="1:3">
      <c r="A320" s="14"/>
      <c r="C320" s="31"/>
    </row>
    <row r="321" spans="1:3">
      <c r="A321" s="14" t="s">
        <v>48</v>
      </c>
      <c r="B321" s="15" t="s">
        <v>121</v>
      </c>
      <c r="C321" s="10" t="str">
        <f>CONCATENATE("&lt;# ",A321," ",B321," #&gt;")</f>
        <v>&lt;# Diseases schizophrenia D012559; major depressive disorder D003866; ME/CFS D015673;  #&gt;</v>
      </c>
    </row>
    <row r="322" spans="1:3">
      <c r="A322" s="14"/>
    </row>
    <row r="323" spans="1:3">
      <c r="A323" s="14"/>
      <c r="B323" s="15" t="s">
        <v>122</v>
      </c>
      <c r="C323" s="31" t="str">
        <f>CONCATENATE("&lt;TopicBar ",B323," /&gt;")</f>
        <v>&lt;TopicBar mesh_D012559 mesh_D003866 mesh_D015673 /&gt;</v>
      </c>
    </row>
    <row r="324" spans="1:3">
      <c r="A324" s="14"/>
    </row>
    <row r="325" spans="1:3" s="21" customFormat="1">
      <c r="A325" s="28"/>
      <c r="B325" s="20"/>
    </row>
    <row r="326" spans="1:3">
      <c r="B326" s="30"/>
    </row>
    <row r="328" spans="1:3">
      <c r="B328" s="30"/>
    </row>
    <row r="330" spans="1:3">
      <c r="B330" s="30"/>
    </row>
    <row r="332" spans="1:3">
      <c r="B332" s="30"/>
    </row>
    <row r="334" spans="1:3">
      <c r="B334" s="3"/>
    </row>
    <row r="336" spans="1:3">
      <c r="B336" s="3"/>
    </row>
    <row r="1008" spans="3:3">
      <c r="C1008" s="3" t="str">
        <f>CONCATENATE("    This variant is a change at a specific point in the ",B999," gene from ",B1008," to ",B1009,"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14" spans="3:3">
      <c r="C1014" s="3" t="str">
        <f>CONCATENATE("    This variant is a change at a specific point in the ",B999," gene from ",B1014," to ",B1015," resulting in incorrect ",B1002,"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44" spans="3:3">
      <c r="C1144" s="3" t="str">
        <f>CONCATENATE("    This variant is a change at a specific point in the ",B1135," gene from ",B1144," to ",B1145,"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0" spans="3:3">
      <c r="C1150" s="3" t="str">
        <f>CONCATENATE("    This variant is a change at a specific point in the ",B1135," gene from ",B1150," to ",B1151," resulting in incorrect ",B1138,"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2" spans="3:3">
      <c r="C1552" s="3" t="str">
        <f>CONCATENATE("    This variant is a change at a specific point in the ",B1543," gene from ",B1552," to ",B1553,"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c r="C1558" s="3" t="str">
        <f>CONCATENATE("    This variant is a change at a specific point in the ",B1543," gene from ",B1558," to ",B1559," resulting in incorrect ",B1546,"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8" spans="3:3">
      <c r="C1688" s="3" t="str">
        <f>CONCATENATE("    This variant is a change at a specific point in the ",B1679," gene from ",B1688," to ",B1689,"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4" spans="3:3">
      <c r="C1694" s="3" t="str">
        <f>CONCATENATE("    This variant is a change at a specific point in the ",B1679," gene from ",B1694," to ",B1695," resulting in incorrect ",B1682,"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4" spans="3:3">
      <c r="C1824" s="3" t="str">
        <f>CONCATENATE("    This variant is a change at a specific point in the ",B1815," gene from ",B1824," to ",B1825,"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0" spans="3:3">
      <c r="C1830" s="3" t="str">
        <f>CONCATENATE("    This variant is a change at a specific point in the ",B1815," gene from ",B1830," to ",B1831," resulting in incorrect ",B1818,"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0" spans="3:3">
      <c r="C1960" s="3" t="str">
        <f>CONCATENATE("    This variant is a change at a specific point in the ",B1951," gene from ",B1960," to ",B1961,"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c r="C1966" s="3" t="str">
        <f>CONCATENATE("    This variant is a change at a specific point in the ",B1951," gene from ",B1966," to ",B1967," resulting in incorrect ",B1954,"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6" spans="3:3">
      <c r="C2096" s="3" t="str">
        <f>CONCATENATE("    This variant is a change at a specific point in the ",B2087," gene from ",B2096," to ",B2097,"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c r="C2102" s="3" t="str">
        <f>CONCATENATE("    This variant is a change at a specific point in the ",B2087," gene from ",B2102," to ",B2103," resulting in incorrect ",B2090,"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2" spans="3:3">
      <c r="C2232" s="3" t="str">
        <f>CONCATENATE("    This variant is a change at a specific point in the ",B2223," gene from ",B2232," to ",B2233,"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c r="C2238" s="3" t="str">
        <f>CONCATENATE("    This variant is a change at a specific point in the ",B2223," gene from ",B2238," to ",B2239," resulting in incorrect ",B2226,"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8" spans="3:3">
      <c r="C2368" s="3" t="str">
        <f>CONCATENATE("    This variant is a change at a specific point in the ",B2359," gene from ",B2368," to ",B2369,"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c r="C2374" s="3" t="str">
        <f>CONCATENATE("    This variant is a change at a specific point in the ",B2359," gene from ",B2374," to ",B2375," resulting in incorrect ",B2362,"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04" spans="3:3">
      <c r="C2504" s="3" t="str">
        <f>CONCATENATE("    This variant is a change at a specific point in the ",B2495," gene from ",B2504," to ",B2505,"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c r="C2510" s="3" t="str">
        <f>CONCATENATE("    This variant is a change at a specific point in the ",B2495," gene from ",B2510," to ",B2511," resulting in incorrect ",B2498,"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4087-EF93-4A10-9A69-0588EA669690}">
  <dimension ref="A1:AJ2297"/>
  <sheetViews>
    <sheetView topLeftCell="A16" workbookViewId="0">
      <selection activeCell="A16" sqref="A1:XFD1048576"/>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t="s">
        <v>125</v>
      </c>
      <c r="C2" s="3" t="str">
        <f>CONCATENATE("&lt;",A2," ",B2," /&gt;")</f>
        <v>&lt;Gene_Name CLYBL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126</v>
      </c>
      <c r="C4" s="3" t="str">
        <f>CONCATENATE("&lt;",A4," ",B4," /&gt;")</f>
        <v>&lt;GeneName_full Citramalyl-CoA lyase, mitochondrial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CLYBL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127</v>
      </c>
      <c r="C8" s="3" t="str">
        <f>CONCATENATE(B8," This gene is located on chromosome ",B9,".")</f>
        <v>[CLYBL](http://www.uniprot.org/uniprot/Q8N0X4)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 This gene is located on chromosome 13.</v>
      </c>
      <c r="I8" s="17"/>
      <c r="X8" s="18"/>
      <c r="Y8" s="16"/>
      <c r="Z8" s="16"/>
      <c r="AA8" s="16"/>
      <c r="AC8" s="16"/>
    </row>
    <row r="9" spans="1:36">
      <c r="A9" s="14" t="s">
        <v>6</v>
      </c>
      <c r="B9" s="2">
        <v>13</v>
      </c>
      <c r="I9" s="17"/>
      <c r="Y9" s="16"/>
      <c r="Z9" s="16"/>
      <c r="AA9" s="16"/>
      <c r="AC9" s="16"/>
    </row>
    <row r="10" spans="1:36">
      <c r="A10" s="14" t="s">
        <v>7</v>
      </c>
      <c r="B10" s="2" t="s">
        <v>128</v>
      </c>
      <c r="Y10" s="12"/>
      <c r="AC10" s="16"/>
    </row>
    <row r="11" spans="1:36" s="21" customFormat="1" ht="16.5" thickBot="1">
      <c r="A11" s="19"/>
      <c r="B11" s="20"/>
    </row>
    <row r="12" spans="1:36" ht="16.5" thickBot="1">
      <c r="A12" s="14" t="s">
        <v>3</v>
      </c>
      <c r="B12" t="s">
        <v>125</v>
      </c>
      <c r="C12" s="3" t="str">
        <f>CONCATENATE("&lt;GeneMap name= ",CHAR(34),B12,CHAR(34)," interval=",CHAR(34),B13,"=",CHAR(34),"&gt;")</f>
        <v>&lt;GeneMap name= "CLYBL" interval="NC_000013.10:g.100258919_100549388="&gt;</v>
      </c>
      <c r="J12" s="23"/>
      <c r="K12" s="23"/>
      <c r="L12" s="23"/>
      <c r="M12" s="23"/>
      <c r="N12" s="23"/>
      <c r="O12" s="24"/>
      <c r="P12" s="25"/>
      <c r="Q12" s="24"/>
      <c r="R12" s="24"/>
      <c r="S12" s="25"/>
      <c r="T12" s="25"/>
      <c r="U12" s="24"/>
      <c r="V12" s="24"/>
      <c r="W12" s="25"/>
      <c r="X12" s="25"/>
      <c r="Y12" s="25"/>
      <c r="Z12" s="25"/>
    </row>
    <row r="13" spans="1:36">
      <c r="A13" s="14" t="s">
        <v>9</v>
      </c>
      <c r="B13" t="s">
        <v>132</v>
      </c>
      <c r="J13" s="15"/>
      <c r="K13" s="15"/>
      <c r="L13" s="15"/>
      <c r="M13" s="15"/>
      <c r="N13" s="15"/>
      <c r="O13" s="15"/>
      <c r="P13" s="15"/>
      <c r="Q13" s="15"/>
      <c r="R13" s="15"/>
      <c r="S13" s="15"/>
      <c r="T13" s="15"/>
      <c r="U13" s="15"/>
      <c r="V13" s="15"/>
      <c r="W13" s="15"/>
      <c r="X13" s="15"/>
      <c r="Y13" s="15"/>
      <c r="Z13" s="15"/>
    </row>
    <row r="14" spans="1:36">
      <c r="A14" s="14" t="s">
        <v>11</v>
      </c>
      <c r="B14" t="s">
        <v>129</v>
      </c>
      <c r="C14" s="3" t="str">
        <f>CONCATENATE("# What are some common variants of ",B12,"?")</f>
        <v># What are some common variants of CLYBL?</v>
      </c>
      <c r="J14" s="15"/>
      <c r="K14" s="15"/>
      <c r="L14" s="15"/>
      <c r="M14" s="15"/>
      <c r="N14" s="15"/>
      <c r="O14" s="15"/>
      <c r="P14" s="15"/>
      <c r="Q14" s="15"/>
      <c r="R14" s="15"/>
      <c r="S14" s="15"/>
      <c r="T14" s="15"/>
      <c r="U14" s="15"/>
      <c r="V14" s="15"/>
      <c r="W14" s="15"/>
      <c r="X14" s="15"/>
      <c r="Y14" s="15"/>
      <c r="Z14" s="15"/>
    </row>
    <row r="15" spans="1:36">
      <c r="A15" s="14"/>
      <c r="B15"/>
      <c r="C15" s="3" t="s">
        <v>13</v>
      </c>
      <c r="J15" s="15"/>
      <c r="K15" s="15"/>
      <c r="L15" s="15"/>
      <c r="M15" s="15"/>
      <c r="N15" s="15"/>
      <c r="O15" s="15"/>
      <c r="P15" s="15"/>
      <c r="Q15" s="15"/>
      <c r="R15" s="15"/>
      <c r="S15" s="15"/>
      <c r="T15" s="15"/>
      <c r="U15" s="15"/>
      <c r="V15" s="15"/>
      <c r="W15" s="15"/>
      <c r="X15" s="15"/>
      <c r="Y15" s="15"/>
      <c r="Z15" s="15"/>
    </row>
    <row r="16" spans="1:36">
      <c r="B16"/>
      <c r="C16" s="3" t="str">
        <f>CONCATENATE("A variant is a change at a specific point in the gene from the expected nucleotide sequence to another, resulting in incorrect ", B10," function. There is ",B14," common variant in ",B12,": ",B22,".")</f>
        <v>A variant is a change at a specific point in the gene from the expected nucleotide sequence to another, resulting in incorrect mitochondrial enzyme function. There is one common variant in CLYBL: [C775T (Arg259Ter)](https://www.ncbi.nlm.nih.gov/pubmed/29100069).</v>
      </c>
      <c r="J16" s="15"/>
      <c r="K16" s="15"/>
      <c r="L16" s="15"/>
      <c r="M16" s="15"/>
      <c r="N16" s="15"/>
      <c r="O16" s="15"/>
      <c r="P16" s="15"/>
      <c r="Q16" s="15"/>
      <c r="R16" s="15"/>
      <c r="S16" s="15"/>
      <c r="T16" s="15"/>
      <c r="U16" s="15"/>
      <c r="V16" s="15"/>
      <c r="W16" s="15"/>
      <c r="X16" s="15"/>
      <c r="Y16" s="15"/>
      <c r="Z16" s="15"/>
    </row>
    <row r="17" spans="1:26">
      <c r="B17"/>
      <c r="J17" s="15"/>
      <c r="K17" s="15"/>
      <c r="L17" s="15"/>
      <c r="M17" s="15"/>
      <c r="N17" s="15"/>
      <c r="O17" s="15"/>
      <c r="P17" s="15"/>
      <c r="Q17" s="15"/>
      <c r="R17" s="15"/>
      <c r="S17" s="15"/>
      <c r="T17" s="15"/>
      <c r="U17" s="15"/>
      <c r="V17" s="15"/>
      <c r="W17" s="15"/>
      <c r="X17" s="15"/>
      <c r="Y17" s="15"/>
      <c r="Z17" s="15"/>
    </row>
    <row r="18" spans="1:26">
      <c r="A18" s="14" t="s">
        <v>14</v>
      </c>
      <c r="B18" t="s">
        <v>134</v>
      </c>
      <c r="C18" s="3" t="str">
        <f>CONCATENATE("&lt;# ",B19," #&gt;")</f>
        <v>&lt;# C775T #&gt;</v>
      </c>
      <c r="J18" s="15"/>
      <c r="K18" s="15"/>
      <c r="L18" s="15"/>
      <c r="M18" s="15"/>
      <c r="N18" s="15"/>
      <c r="O18" s="15"/>
      <c r="P18" s="15"/>
      <c r="Q18" s="15"/>
      <c r="R18" s="15"/>
      <c r="S18" s="15"/>
      <c r="T18" s="15"/>
      <c r="U18" s="15"/>
      <c r="V18" s="15"/>
      <c r="W18" s="15"/>
      <c r="X18" s="15"/>
      <c r="Y18" s="15"/>
      <c r="Z18" s="15"/>
    </row>
    <row r="19" spans="1:26">
      <c r="A19" s="26" t="s">
        <v>15</v>
      </c>
      <c r="B19" t="s">
        <v>130</v>
      </c>
      <c r="J19" s="6"/>
      <c r="K19" s="15"/>
      <c r="L19" s="15"/>
      <c r="M19" s="15"/>
      <c r="N19" s="15"/>
      <c r="O19" s="15"/>
      <c r="P19" s="15"/>
      <c r="Q19" s="15"/>
      <c r="R19" s="15"/>
      <c r="S19" s="15"/>
      <c r="T19" s="15"/>
      <c r="U19" s="15"/>
      <c r="V19" s="15"/>
      <c r="W19" s="15"/>
      <c r="X19" s="15"/>
      <c r="Y19" s="15"/>
      <c r="Z19" s="15"/>
    </row>
    <row r="20" spans="1:26">
      <c r="A20" s="26" t="s">
        <v>17</v>
      </c>
      <c r="B20" t="s">
        <v>18</v>
      </c>
      <c r="C20" s="3" t="str">
        <f>CONCATENATE("  &lt;Variant hgvs=",CHAR(34),B18,CHAR(34)," name=",CHAR(34),B19,CHAR(34),"&gt; ")</f>
        <v xml:space="preserve">  &lt;Variant hgvs="NC_000013.10:g.100518634C&gt;T" name="C775T"&gt; </v>
      </c>
      <c r="J20" s="2"/>
      <c r="K20" s="15"/>
      <c r="L20" s="15"/>
      <c r="M20" s="15"/>
      <c r="N20" s="15"/>
      <c r="O20" s="15"/>
      <c r="P20" s="15"/>
      <c r="Q20" s="15"/>
      <c r="R20" s="15"/>
      <c r="S20" s="15"/>
      <c r="T20" s="15"/>
      <c r="U20" s="15"/>
      <c r="V20" s="15"/>
      <c r="W20" s="15"/>
      <c r="X20" s="15"/>
      <c r="Y20" s="15"/>
      <c r="Z20" s="15"/>
    </row>
    <row r="21" spans="1:26">
      <c r="A21" s="26" t="s">
        <v>19</v>
      </c>
      <c r="B21" t="s">
        <v>20</v>
      </c>
      <c r="H21" s="15"/>
      <c r="I21" s="15"/>
      <c r="J21" s="2"/>
      <c r="K21" s="15"/>
      <c r="L21" s="15"/>
      <c r="M21" s="15"/>
      <c r="N21" s="15"/>
      <c r="O21" s="15"/>
      <c r="P21" s="15"/>
      <c r="Q21" s="15"/>
      <c r="R21" s="15"/>
      <c r="S21" s="15"/>
      <c r="T21" s="15"/>
      <c r="U21" s="15"/>
      <c r="V21" s="15"/>
      <c r="W21" s="15"/>
      <c r="X21" s="15"/>
      <c r="Y21" s="15"/>
      <c r="Z21" s="15"/>
    </row>
    <row r="22" spans="1:26">
      <c r="A22" s="26" t="s">
        <v>21</v>
      </c>
      <c r="B22" t="s">
        <v>131</v>
      </c>
      <c r="C22" s="3" t="str">
        <f>CONCATENATE("    Instead of ",B20,", there is a ",B21," nucleotide.")</f>
        <v xml:space="preserve">    Instead of cytosine (C), there is a thymine (T) nucleotide.</v>
      </c>
      <c r="H22" s="15"/>
      <c r="I22" s="15"/>
      <c r="J22" s="7"/>
      <c r="K22" s="15"/>
      <c r="L22" s="15"/>
      <c r="M22" s="15"/>
      <c r="N22" s="15"/>
      <c r="O22" s="15"/>
      <c r="P22" s="15"/>
      <c r="Q22" s="15"/>
      <c r="R22" s="15"/>
      <c r="S22" s="15"/>
      <c r="T22" s="15"/>
      <c r="U22" s="15"/>
      <c r="V22" s="15"/>
      <c r="W22" s="15"/>
      <c r="X22" s="15"/>
      <c r="Y22" s="15"/>
      <c r="Z22" s="15"/>
    </row>
    <row r="23" spans="1:26">
      <c r="A23" s="3" t="s">
        <v>64</v>
      </c>
      <c r="B23" t="s">
        <v>135</v>
      </c>
      <c r="H23" s="2"/>
      <c r="I23" s="2"/>
      <c r="J23" s="15"/>
      <c r="K23" s="15"/>
      <c r="L23" s="15"/>
      <c r="M23" s="15"/>
      <c r="N23" s="15"/>
      <c r="O23" s="15"/>
      <c r="P23" s="15"/>
      <c r="Q23" s="15"/>
      <c r="R23" s="15"/>
      <c r="S23" s="15"/>
      <c r="T23" s="15"/>
      <c r="U23" s="15"/>
      <c r="V23" s="15"/>
      <c r="W23" s="15"/>
      <c r="X23" s="15"/>
      <c r="Y23" s="15"/>
      <c r="Z23" s="15"/>
    </row>
    <row r="24" spans="1:26">
      <c r="A24" s="3" t="s">
        <v>51</v>
      </c>
      <c r="B24" s="7" t="s">
        <v>136</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137</v>
      </c>
      <c r="J25" s="6"/>
    </row>
    <row r="26" spans="1:26">
      <c r="B26" s="3"/>
    </row>
    <row r="27" spans="1:26" s="21" customFormat="1">
      <c r="A27" s="28"/>
      <c r="B27" s="20"/>
    </row>
    <row r="28" spans="1:26" s="10" customFormat="1">
      <c r="A28" s="32"/>
      <c r="B28" s="33"/>
      <c r="C28" s="34" t="s">
        <v>368</v>
      </c>
      <c r="L28" s="38"/>
    </row>
    <row r="29" spans="1:26" s="10" customFormat="1">
      <c r="A29" s="32"/>
      <c r="B29" s="33"/>
      <c r="K29" s="39" t="s">
        <v>133</v>
      </c>
      <c r="L29" s="38"/>
      <c r="M29" s="11"/>
    </row>
    <row r="30" spans="1:26" s="21" customFormat="1">
      <c r="A30" s="28" t="s">
        <v>69</v>
      </c>
      <c r="B30" s="20" t="str">
        <f>CONCATENATE(B19," (C;T)")</f>
        <v>C775T (C;T)</v>
      </c>
      <c r="C30" s="21" t="str">
        <f>CONCATENATE("&lt;# ",B30," #&gt;")</f>
        <v>&lt;# C775T (C;T) #&gt;</v>
      </c>
      <c r="K30" s="21" t="str">
        <f>B19</f>
        <v>C775T</v>
      </c>
    </row>
    <row r="31" spans="1:26" s="10" customFormat="1">
      <c r="A31" s="3" t="s">
        <v>21</v>
      </c>
      <c r="B31" s="29" t="str">
        <f>K34</f>
        <v>NC_000013.10:g.[100518634C&gt;T];[100518634=]</v>
      </c>
      <c r="J31" s="3"/>
      <c r="K31" s="22" t="str">
        <f>B23</f>
        <v>NC_000013.10:g.</v>
      </c>
      <c r="L31" s="22"/>
    </row>
    <row r="32" spans="1:26">
      <c r="B32" s="29"/>
      <c r="C32" s="3" t="str">
        <f>CONCATENATE("  &lt;Analysis name=",CHAR(34),B30,CHAR(34))</f>
        <v xml:space="preserve">  &lt;Analysis name="C775T (C;T)"</v>
      </c>
      <c r="J32" s="3" t="s">
        <v>21</v>
      </c>
      <c r="K32" s="15" t="str">
        <f>B24</f>
        <v>[100518634C&gt;T]</v>
      </c>
      <c r="L32" s="22"/>
      <c r="M32" s="10"/>
    </row>
    <row r="33" spans="1:13">
      <c r="A33" s="5" t="s">
        <v>27</v>
      </c>
      <c r="B33" s="29" t="str">
        <f>CONCATENATE("People with this variant have one copy of the ",B22," variant. This substitution of a single nucleotide is known as a missense mutation.")</f>
        <v>People with this variant have one copy of the [C775T (Arg259Ter)](https://www.ncbi.nlm.nih.gov/pubmed/29100069) variant. This substitution of a single nucleotide is known as a missense mutation.</v>
      </c>
      <c r="C33" s="3" t="str">
        <f>CONCATENATE("            case={  variantCall ",CHAR(40),CHAR(34),K34,CHAR(34),CHAR(41))</f>
        <v xml:space="preserve">            case={  variantCall ("NC_000013.10:g.[100518634C&gt;T];[100518634=]")</v>
      </c>
      <c r="J33" s="3" t="s">
        <v>52</v>
      </c>
      <c r="K33" s="15" t="str">
        <f>B25</f>
        <v>[100518634=]</v>
      </c>
      <c r="L33" s="22"/>
      <c r="M33" s="10"/>
    </row>
    <row r="34" spans="1:13">
      <c r="A34" s="1" t="s">
        <v>28</v>
      </c>
      <c r="B34" s="29" t="s">
        <v>139</v>
      </c>
      <c r="C34" s="3" t="s">
        <v>70</v>
      </c>
      <c r="J34" s="3" t="s">
        <v>62</v>
      </c>
      <c r="K34" s="15" t="str">
        <f>CONCATENATE(K31,K32,";",K33)</f>
        <v>NC_000013.10:g.[100518634C&gt;T];[100518634=]</v>
      </c>
      <c r="L34" s="15"/>
      <c r="M34" s="15"/>
    </row>
    <row r="35" spans="1:13">
      <c r="A35" s="3" t="s">
        <v>72</v>
      </c>
      <c r="B35" s="29">
        <f>K37</f>
        <v>5.3</v>
      </c>
      <c r="C35" s="3" t="str">
        <f>CONCATENATE("                    ",CHAR(40),"variantCall ",CHAR(40),CHAR(34),L35,CHAR(34),CHAR(41)," or variantCall ",CHAR(40),CHAR(34),L36,CHAR(34),CHAR(41),CHAR(41))</f>
        <v xml:space="preserve">                    (variantCall ("") or variantCall (""))</v>
      </c>
      <c r="J35" s="3" t="s">
        <v>63</v>
      </c>
      <c r="K35" s="15" t="str">
        <f>CONCATENATE(K31,K32,";",K32)</f>
        <v>NC_000013.10:g.[100518634C&gt;T];[100518634C&gt;T]</v>
      </c>
      <c r="L35" s="15"/>
      <c r="M35" s="15"/>
    </row>
    <row r="36" spans="1:13">
      <c r="J36" s="3" t="s">
        <v>52</v>
      </c>
      <c r="K36" s="2" t="str">
        <f>CONCATENATE(K31,K33,";",K33)</f>
        <v>NC_000013.10:g.[100518634=];[100518634=]</v>
      </c>
      <c r="L36" s="2"/>
      <c r="M36" s="2"/>
    </row>
    <row r="37" spans="1:13">
      <c r="J37" s="3" t="s">
        <v>66</v>
      </c>
      <c r="K37" s="3">
        <v>5.3</v>
      </c>
      <c r="L37" s="2"/>
      <c r="M37" s="2"/>
    </row>
    <row r="38" spans="1:13">
      <c r="A38" s="14"/>
      <c r="C38" s="3" t="str">
        <f>CONCATENATE("                  } &gt; ")</f>
        <v xml:space="preserve">                  } &gt; </v>
      </c>
      <c r="J38" s="3" t="s">
        <v>67</v>
      </c>
      <c r="K38" s="3">
        <v>0.9</v>
      </c>
      <c r="L38" s="2"/>
      <c r="M38" s="2"/>
    </row>
    <row r="39" spans="1:13">
      <c r="A39" s="26"/>
      <c r="J39" s="3" t="s">
        <v>68</v>
      </c>
      <c r="K39" s="3">
        <v>93.8</v>
      </c>
      <c r="L39" s="2"/>
      <c r="M39" s="2"/>
    </row>
    <row r="40" spans="1:13">
      <c r="A40" s="14"/>
      <c r="C40" s="3" t="s">
        <v>26</v>
      </c>
      <c r="K40"/>
      <c r="L40" s="2"/>
      <c r="M40" s="2"/>
    </row>
    <row r="41" spans="1:13">
      <c r="A41" s="14"/>
      <c r="K41" s="15"/>
      <c r="L41" s="15"/>
      <c r="M41" s="15"/>
    </row>
    <row r="42" spans="1:13">
      <c r="A42" s="26"/>
      <c r="C42" s="3" t="str">
        <f>CONCATENATE("    ",B33)</f>
        <v xml:space="preserve">    People with this variant have one copy of the [C775T (Arg259Ter)](https://www.ncbi.nlm.nih.gov/pubmed/29100069) variant. This substitution of a single nucleotide is known as a missense mutation.</v>
      </c>
      <c r="K42" s="15"/>
      <c r="L42" s="15"/>
      <c r="M42" s="15"/>
    </row>
    <row r="43" spans="1:13">
      <c r="A43" s="14"/>
      <c r="K43" s="2"/>
      <c r="L43" s="2"/>
      <c r="M43" s="2"/>
    </row>
    <row r="44" spans="1:13">
      <c r="A44" s="14"/>
      <c r="C44" s="3" t="s">
        <v>29</v>
      </c>
    </row>
    <row r="45" spans="1:13">
      <c r="A45" s="14"/>
    </row>
    <row r="46" spans="1:13">
      <c r="A46" s="14"/>
      <c r="C46" s="3" t="str">
        <f>CONCATENATE(B34)</f>
        <v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row>
    <row r="47" spans="1:13">
      <c r="A47" s="26"/>
    </row>
    <row r="48" spans="1:13">
      <c r="A48" s="26"/>
      <c r="C48" s="3" t="s">
        <v>30</v>
      </c>
    </row>
    <row r="49" spans="1:13">
      <c r="A49" s="26"/>
    </row>
    <row r="50" spans="1:13">
      <c r="A50" s="26"/>
      <c r="C50" s="3" t="str">
        <f>CONCATENATE( "    &lt;piechart percentage=",B35," /&gt;")</f>
        <v xml:space="preserve">    &lt;piechart percentage=5.3 /&gt;</v>
      </c>
    </row>
    <row r="51" spans="1:13">
      <c r="A51" s="26"/>
      <c r="C51" s="3" t="str">
        <f>"  &lt;/Analysis&gt;"</f>
        <v xml:space="preserve">  &lt;/Analysis&gt;</v>
      </c>
      <c r="K51" s="3" t="str">
        <f t="shared" ref="K51:M51" si="0">K29</f>
        <v>rs41281112 </v>
      </c>
      <c r="L51" s="3">
        <f t="shared" si="0"/>
        <v>0</v>
      </c>
      <c r="M51" s="3">
        <f t="shared" si="0"/>
        <v>0</v>
      </c>
    </row>
    <row r="52" spans="1:13" s="21" customFormat="1">
      <c r="A52" s="28" t="s">
        <v>69</v>
      </c>
      <c r="B52" s="20" t="str">
        <f>CONCATENATE(B19," (T;T)")</f>
        <v>C775T (T;T)</v>
      </c>
      <c r="C52" s="21" t="str">
        <f>CONCATENATE("&lt;# ",B52," #&gt;")</f>
        <v>&lt;# C775T (T;T) #&gt;</v>
      </c>
      <c r="K52" s="21" t="str">
        <f t="shared" ref="K52:M53" si="1">K30</f>
        <v>C775T</v>
      </c>
      <c r="L52" s="21">
        <f t="shared" si="1"/>
        <v>0</v>
      </c>
      <c r="M52" s="21">
        <f t="shared" si="1"/>
        <v>0</v>
      </c>
    </row>
    <row r="53" spans="1:13">
      <c r="A53" s="3" t="s">
        <v>21</v>
      </c>
      <c r="B53" s="29" t="str">
        <f>K35</f>
        <v>NC_000013.10:g.[100518634C&gt;T];[100518634C&gt;T]</v>
      </c>
      <c r="C53" s="10"/>
      <c r="K53" s="3" t="str">
        <f t="shared" si="1"/>
        <v>NC_000013.10:g.</v>
      </c>
      <c r="L53" s="3">
        <f t="shared" si="1"/>
        <v>0</v>
      </c>
      <c r="M53" s="3">
        <f t="shared" si="1"/>
        <v>0</v>
      </c>
    </row>
    <row r="54" spans="1:13">
      <c r="B54" s="29"/>
      <c r="C54" s="3" t="str">
        <f>CONCATENATE("  &lt;Analysis name=",CHAR(34),B52,CHAR(34))</f>
        <v xml:space="preserve">  &lt;Analysis name="C775T (T;T)"</v>
      </c>
      <c r="J54" s="3" t="str">
        <f t="shared" ref="J54:M61" si="2">J32</f>
        <v>Variant</v>
      </c>
      <c r="K54" s="3" t="str">
        <f t="shared" si="2"/>
        <v>[100518634C&gt;T]</v>
      </c>
      <c r="L54" s="3">
        <f t="shared" si="2"/>
        <v>0</v>
      </c>
      <c r="M54" s="3">
        <f t="shared" si="2"/>
        <v>0</v>
      </c>
    </row>
    <row r="55" spans="1:13">
      <c r="A55" s="5" t="s">
        <v>74</v>
      </c>
      <c r="B55" s="2" t="str">
        <f>CONCATENATE("People with this variant have two copies of the ",B22," variant. This substitution of a single nucleotide is known as a missense mutation.")</f>
        <v>People with this variant have two copies of the [C775T (Arg259Ter)](https://www.ncbi.nlm.nih.gov/pubmed/29100069) variant. This substitution of a single nucleotide is known as a missense mutation.</v>
      </c>
      <c r="C55" s="3" t="str">
        <f>CONCATENATE("            case={  variantCall ",CHAR(40),CHAR(34),B53,CHAR(34),CHAR(41))</f>
        <v xml:space="preserve">            case={  variantCall ("NC_000013.10:g.[100518634C&gt;T];[100518634C&gt;T]")</v>
      </c>
      <c r="J55" s="3" t="str">
        <f t="shared" si="2"/>
        <v>Wildtype</v>
      </c>
      <c r="K55" s="3" t="str">
        <f t="shared" si="2"/>
        <v>[100518634=]</v>
      </c>
      <c r="L55" s="3">
        <f t="shared" si="2"/>
        <v>0</v>
      </c>
      <c r="M55" s="3">
        <f t="shared" si="2"/>
        <v>0</v>
      </c>
    </row>
    <row r="56" spans="1:13">
      <c r="A56" s="1" t="s">
        <v>28</v>
      </c>
      <c r="B56" s="29" t="s">
        <v>138</v>
      </c>
      <c r="C56" s="3" t="str">
        <f>CONCATENATE("                  } &gt; ")</f>
        <v xml:space="preserve">                  } &gt; </v>
      </c>
      <c r="J56" s="3" t="str">
        <f t="shared" si="2"/>
        <v>Het</v>
      </c>
      <c r="K56" s="3" t="str">
        <f t="shared" si="2"/>
        <v>NC_000013.10:g.[100518634C&gt;T];[100518634=]</v>
      </c>
      <c r="L56" s="3">
        <f t="shared" si="2"/>
        <v>0</v>
      </c>
      <c r="M56" s="3">
        <f t="shared" si="2"/>
        <v>0</v>
      </c>
    </row>
    <row r="57" spans="1:13">
      <c r="A57" s="3" t="s">
        <v>72</v>
      </c>
      <c r="B57" s="29">
        <f>K38</f>
        <v>0.9</v>
      </c>
      <c r="J57" s="3" t="str">
        <f t="shared" si="2"/>
        <v>Homo</v>
      </c>
      <c r="K57" s="3" t="str">
        <f t="shared" si="2"/>
        <v>NC_000013.10:g.[100518634C&gt;T];[100518634C&gt;T]</v>
      </c>
      <c r="L57" s="3">
        <f t="shared" si="2"/>
        <v>0</v>
      </c>
      <c r="M57" s="3">
        <f t="shared" si="2"/>
        <v>0</v>
      </c>
    </row>
    <row r="58" spans="1:13">
      <c r="C58" s="3" t="s">
        <v>26</v>
      </c>
      <c r="J58" s="3" t="str">
        <f t="shared" si="2"/>
        <v>Wildtype</v>
      </c>
      <c r="K58" s="3" t="str">
        <f t="shared" si="2"/>
        <v>NC_000013.10:g.[100518634=];[100518634=]</v>
      </c>
      <c r="L58" s="3">
        <f t="shared" si="2"/>
        <v>0</v>
      </c>
      <c r="M58" s="3">
        <f t="shared" si="2"/>
        <v>0</v>
      </c>
    </row>
    <row r="59" spans="1:13">
      <c r="J59" s="3" t="str">
        <f t="shared" si="2"/>
        <v>Het%</v>
      </c>
      <c r="K59" s="3">
        <f t="shared" ref="K59" si="3">K37</f>
        <v>5.3</v>
      </c>
      <c r="L59" s="3">
        <f t="shared" si="2"/>
        <v>0</v>
      </c>
      <c r="M59" s="3">
        <f t="shared" si="2"/>
        <v>0</v>
      </c>
    </row>
    <row r="60" spans="1:13">
      <c r="A60" s="14"/>
      <c r="C60" s="3" t="str">
        <f>CONCATENATE("    ",B55)</f>
        <v xml:space="preserve">    People with this variant have two copies of the [C775T (Arg259Ter)](https://www.ncbi.nlm.nih.gov/pubmed/29100069) variant. This substitution of a single nucleotide is known as a missense mutation.</v>
      </c>
      <c r="J60" s="3" t="str">
        <f t="shared" si="2"/>
        <v>Homo%</v>
      </c>
      <c r="K60" s="3">
        <f t="shared" ref="K60" si="4">K38</f>
        <v>0.9</v>
      </c>
      <c r="L60" s="3">
        <f t="shared" si="2"/>
        <v>0</v>
      </c>
      <c r="M60" s="3">
        <f t="shared" si="2"/>
        <v>0</v>
      </c>
    </row>
    <row r="61" spans="1:13">
      <c r="A61" s="26"/>
      <c r="J61" s="3" t="str">
        <f t="shared" si="2"/>
        <v>Wildtype%</v>
      </c>
      <c r="K61" s="3">
        <f t="shared" ref="K61" si="5">K39</f>
        <v>93.8</v>
      </c>
      <c r="L61" s="3">
        <f t="shared" si="2"/>
        <v>0</v>
      </c>
      <c r="M61" s="3">
        <f t="shared" si="2"/>
        <v>0</v>
      </c>
    </row>
    <row r="62" spans="1:13">
      <c r="A62" s="14"/>
      <c r="C62" s="3" t="s">
        <v>29</v>
      </c>
    </row>
    <row r="63" spans="1:13">
      <c r="A63" s="14"/>
    </row>
    <row r="64" spans="1:13">
      <c r="A64" s="26"/>
      <c r="C64" s="3" t="str">
        <f>CONCATENATE(B56)</f>
        <v xml:space="preserve">    This variant [shortens the protein](https://www.ncbi.nlm.nih.gov/pubmed/22367966), which may lead to [malabsorption of B12](https://www.ncbi.nlm.nih.gov/pubmed/25902009) due to improper binding with ions (electrically charged particles) and metals. People with this variant have blood serum vitamin B12 levels [36.2% lower](https://www.ncbi.nlm.nih.gov/pubmed/22367966) than normal. Vitamin B12 deficiency is linked to [anemia, loss of balance, numbness or tingling in the arms and legs, and weakness](https://medlineplus.gov/ency/article/002403.htm). Low levels of B12 may also cause increased levels of homocysteine, increasing the chance of [coronary heart disease, stroke, peripheral vascular disease, hardening of the arteries](https://labtestsonline.org/tests/homocysteine), and [mental fatigue](https://www.ncbi.nlm.nih.gov/pubmed/25902009).
    This variant is much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If elevated, consider taking [folate](https://medlineplus.gov/druginfo/natural/1017.html). 
    - If [homocysteine is elevated](https://www.ncbi.nlm.nih.gov/pubmed/18709886), watch for eye lens dislocations, “Marfan type” body shape, stroke, blood clotting issues, and low thyroid hormones (hypothyroidism).</v>
      </c>
    </row>
    <row r="65" spans="1:11">
      <c r="A65" s="14"/>
    </row>
    <row r="66" spans="1:11">
      <c r="A66" s="14"/>
      <c r="C66" s="3" t="s">
        <v>30</v>
      </c>
    </row>
    <row r="67" spans="1:11">
      <c r="A67" s="14"/>
    </row>
    <row r="68" spans="1:11">
      <c r="A68" s="14"/>
      <c r="C68" s="3" t="str">
        <f>CONCATENATE( "    &lt;piechart percentage=",B57," /&gt;")</f>
        <v xml:space="preserve">    &lt;piechart percentage=0.9 /&gt;</v>
      </c>
    </row>
    <row r="69" spans="1:11">
      <c r="A69" s="26"/>
      <c r="C69" s="3" t="str">
        <f>"  &lt;/Analysis&gt;"</f>
        <v xml:space="preserve">  &lt;/Analysis&gt;</v>
      </c>
    </row>
    <row r="70" spans="1:11">
      <c r="A70" s="26"/>
      <c r="K70" s="3" t="str">
        <f>K51</f>
        <v>rs41281112 </v>
      </c>
    </row>
    <row r="71" spans="1:11" s="21" customFormat="1">
      <c r="A71" s="28" t="s">
        <v>69</v>
      </c>
      <c r="B71" s="20" t="s">
        <v>83</v>
      </c>
      <c r="C71" s="21" t="str">
        <f>CONCATENATE("&lt;# ",B71," #&gt;")</f>
        <v>&lt;# Wild type #&gt;</v>
      </c>
      <c r="K71" s="21" t="str">
        <f>K30</f>
        <v>C775T</v>
      </c>
    </row>
    <row r="72" spans="1:11">
      <c r="A72" s="14" t="s">
        <v>21</v>
      </c>
      <c r="B72" s="15" t="str">
        <f>K36</f>
        <v>NC_000013.10:g.[100518634=];[100518634=]</v>
      </c>
      <c r="K72" s="21" t="str">
        <f t="shared" ref="J72:K80" si="6">K31</f>
        <v>NC_000013.10:g.</v>
      </c>
    </row>
    <row r="73" spans="1:11">
      <c r="A73" s="14" t="s">
        <v>71</v>
      </c>
      <c r="B73" s="15">
        <f>L36</f>
        <v>0</v>
      </c>
      <c r="C73" s="3" t="str">
        <f>CONCATENATE("  &lt;Analysis name=",CHAR(34),B71,CHAR(34))</f>
        <v xml:space="preserve">  &lt;Analysis name="Wild type"</v>
      </c>
      <c r="J73" s="21" t="str">
        <f t="shared" si="6"/>
        <v>Variant</v>
      </c>
      <c r="K73" s="21" t="str">
        <f t="shared" si="6"/>
        <v>[100518634C&gt;T]</v>
      </c>
    </row>
    <row r="74" spans="1:11">
      <c r="A74" s="26" t="s">
        <v>74</v>
      </c>
      <c r="B74" s="15" t="str">
        <f>CONCATENATE("Your ",B12," gene has no variants. A normal gene is referred to as a ",CHAR(34),"wild-type",CHAR(34)," gene.")</f>
        <v>Your CLYBL gene has no variants. A normal gene is referred to as a "wild-type" gene.</v>
      </c>
      <c r="C74" s="3" t="str">
        <f>CONCATENATE("            case={  variantCall ",CHAR(40),CHAR(34),B72,CHAR(34),CHAR(41))</f>
        <v xml:space="preserve">            case={  variantCall ("NC_000013.10:g.[100518634=];[100518634=]")</v>
      </c>
      <c r="J74" s="21" t="str">
        <f t="shared" ref="J74" si="7">J33</f>
        <v>Wildtype</v>
      </c>
      <c r="K74" s="21" t="str">
        <f t="shared" si="6"/>
        <v>[100518634=]</v>
      </c>
    </row>
    <row r="75" spans="1:11">
      <c r="A75" s="26" t="s">
        <v>28</v>
      </c>
      <c r="C75" s="3" t="str">
        <f>CONCATENATE("                  } &gt; ")</f>
        <v xml:space="preserve">                  } &gt; </v>
      </c>
      <c r="J75" s="21" t="str">
        <f t="shared" ref="J75" si="8">J34</f>
        <v>Het</v>
      </c>
      <c r="K75" s="21" t="str">
        <f t="shared" si="6"/>
        <v>NC_000013.10:g.[100518634C&gt;T];[100518634=]</v>
      </c>
    </row>
    <row r="76" spans="1:11">
      <c r="A76" s="26" t="s">
        <v>72</v>
      </c>
      <c r="J76" s="21" t="str">
        <f t="shared" ref="J76" si="9">J35</f>
        <v>Homo</v>
      </c>
      <c r="K76" s="21" t="str">
        <f t="shared" si="6"/>
        <v>NC_000013.10:g.[100518634C&gt;T];[100518634C&gt;T]</v>
      </c>
    </row>
    <row r="77" spans="1:11">
      <c r="A77" s="26"/>
      <c r="C77" s="3" t="s">
        <v>26</v>
      </c>
      <c r="J77" s="21" t="str">
        <f t="shared" ref="J77" si="10">J36</f>
        <v>Wildtype</v>
      </c>
      <c r="K77" s="21" t="str">
        <f t="shared" si="6"/>
        <v>NC_000013.10:g.[100518634=];[100518634=]</v>
      </c>
    </row>
    <row r="78" spans="1:11">
      <c r="A78" s="26"/>
      <c r="J78" s="21" t="str">
        <f t="shared" ref="J78" si="11">J37</f>
        <v>Het%</v>
      </c>
      <c r="K78" s="21">
        <f t="shared" si="6"/>
        <v>5.3</v>
      </c>
    </row>
    <row r="79" spans="1:11">
      <c r="A79" s="26"/>
      <c r="C79" s="3" t="str">
        <f>CONCATENATE("    ",B74)</f>
        <v xml:space="preserve">    Your CLYBL gene has no variants. A normal gene is referred to as a "wild-type" gene.</v>
      </c>
      <c r="J79" s="21" t="str">
        <f t="shared" ref="J79" si="12">J38</f>
        <v>Homo%</v>
      </c>
      <c r="K79" s="21">
        <f t="shared" si="6"/>
        <v>0.9</v>
      </c>
    </row>
    <row r="80" spans="1:11">
      <c r="A80" s="14"/>
      <c r="J80" s="21" t="str">
        <f t="shared" ref="J80" si="13">J39</f>
        <v>Wildtype%</v>
      </c>
      <c r="K80" s="21">
        <f t="shared" si="6"/>
        <v>93.8</v>
      </c>
    </row>
    <row r="81" spans="1:3">
      <c r="A81" s="14"/>
      <c r="C81" s="3" t="s">
        <v>30</v>
      </c>
    </row>
    <row r="82" spans="1:3">
      <c r="A82" s="14"/>
    </row>
    <row r="83" spans="1:3">
      <c r="A83" s="26"/>
      <c r="C83" s="3" t="str">
        <f>CONCATENATE( "    &lt;piechart percentage=",B76," /&gt;")</f>
        <v xml:space="preserve">    &lt;piechart percentage= /&gt;</v>
      </c>
    </row>
    <row r="84" spans="1:3">
      <c r="A84" s="26"/>
      <c r="C84" s="3" t="str">
        <f>"  &lt;/Analysis&gt;"</f>
        <v xml:space="preserve">  &lt;/Analysis&gt;</v>
      </c>
    </row>
    <row r="85" spans="1:3">
      <c r="A85" s="26"/>
    </row>
    <row r="86" spans="1:3" s="21" customFormat="1">
      <c r="A86" s="28" t="s">
        <v>69</v>
      </c>
      <c r="B86" s="20" t="s">
        <v>84</v>
      </c>
      <c r="C86" s="21" t="str">
        <f>CONCATENATE("&lt;# ",B86," #&gt;")</f>
        <v>&lt;# Unknown #&gt;</v>
      </c>
    </row>
    <row r="87" spans="1:3">
      <c r="A87" s="14" t="s">
        <v>21</v>
      </c>
      <c r="B87" s="15" t="str">
        <f>K54</f>
        <v>[100518634C&gt;T]</v>
      </c>
    </row>
    <row r="88" spans="1:3">
      <c r="A88" s="14" t="s">
        <v>71</v>
      </c>
      <c r="C88" s="3" t="str">
        <f>CONCATENATE("  &lt;Analysis name=",CHAR(34),B86,CHAR(34), " case=true&gt;")</f>
        <v xml:space="preserve">  &lt;Analysis name="Unknown" case=true&gt;</v>
      </c>
    </row>
    <row r="89" spans="1:3">
      <c r="A89" s="26" t="s">
        <v>74</v>
      </c>
      <c r="B89" s="15" t="s">
        <v>31</v>
      </c>
    </row>
    <row r="90" spans="1:3">
      <c r="A90" s="26" t="s">
        <v>72</v>
      </c>
      <c r="B90" s="15">
        <v>0</v>
      </c>
      <c r="C90" s="3" t="s">
        <v>26</v>
      </c>
    </row>
    <row r="91" spans="1:3">
      <c r="A91" s="26"/>
    </row>
    <row r="92" spans="1:3">
      <c r="A92" s="14"/>
      <c r="C92" s="3" t="str">
        <f>CONCATENATE("    ",B89)</f>
        <v xml:space="preserve">    The effect is unknown.</v>
      </c>
    </row>
    <row r="93" spans="1:3">
      <c r="A93" s="14"/>
    </row>
    <row r="94" spans="1:3">
      <c r="A94" s="14"/>
      <c r="C94" s="3" t="s">
        <v>30</v>
      </c>
    </row>
    <row r="95" spans="1:3">
      <c r="A95" s="26"/>
    </row>
    <row r="96" spans="1:3">
      <c r="A96" s="26"/>
      <c r="C96" s="3" t="str">
        <f>CONCATENATE( "    &lt;piechart percentage=",B90," /&gt;")</f>
        <v xml:space="preserve">    &lt;piechart percentage=0 /&gt;</v>
      </c>
    </row>
    <row r="97" spans="1:3">
      <c r="A97" s="26"/>
      <c r="C97" s="3" t="str">
        <f>"  &lt;/Analysis&gt;"</f>
        <v xml:space="preserve">  &lt;/Analysis&gt;</v>
      </c>
    </row>
    <row r="98" spans="1:3">
      <c r="A98" s="14"/>
      <c r="C98" s="31" t="s">
        <v>369</v>
      </c>
    </row>
    <row r="99" spans="1:3" s="21" customFormat="1">
      <c r="A99" s="19"/>
      <c r="B99" s="20"/>
      <c r="C99" s="35"/>
    </row>
    <row r="100" spans="1:3">
      <c r="A100" s="14" t="s">
        <v>77</v>
      </c>
      <c r="B100" s="40" t="s">
        <v>141</v>
      </c>
      <c r="C100" s="10" t="str">
        <f>CONCATENATE("&lt;# ",A100," ",B100," #&gt;")</f>
        <v>&lt;# Tissues [kidney, liver](https://www.ncbi.nlm.nih.gov/gene/171425#gene-expression), and blood; circulatory and cardiovascular system D002319 Kidney and urinary bladder D005221 liver D008099  #&gt;</v>
      </c>
    </row>
    <row r="101" spans="1:3">
      <c r="A101" s="14"/>
    </row>
    <row r="102" spans="1:3">
      <c r="A102" s="14"/>
      <c r="B102" s="40" t="s">
        <v>145</v>
      </c>
      <c r="C102" s="31" t="str">
        <f>CONCATENATE("&lt;TopicBar ",B102," /&gt;")</f>
        <v>&lt;TopicBar mesh_D002319 mesh_D005221 mesh_D008099  /&gt;</v>
      </c>
    </row>
    <row r="103" spans="1:3">
      <c r="A103" s="14"/>
    </row>
    <row r="104" spans="1:3">
      <c r="A104" s="14" t="s">
        <v>32</v>
      </c>
      <c r="B104" s="40" t="s">
        <v>140</v>
      </c>
      <c r="C104" s="10" t="str">
        <f>CONCATENATE("&lt;# ",A104," ",B104," #&gt;")</f>
        <v>&lt;# Symptoms fatigue D005221 memory problems D008569 inflamation D007249 muscle aches and pain D063806 #&gt;</v>
      </c>
    </row>
    <row r="105" spans="1:3">
      <c r="A105" s="14"/>
    </row>
    <row r="106" spans="1:3">
      <c r="A106" s="14"/>
      <c r="B106" s="40" t="s">
        <v>144</v>
      </c>
      <c r="C106" s="31" t="str">
        <f>CONCATENATE("&lt;TopicBar ",B106," /&gt;")</f>
        <v>&lt;TopicBar mesh_D005221 mesh_D008569 mesh_D007249 mesh_D063806 /&gt;</v>
      </c>
    </row>
    <row r="107" spans="1:3">
      <c r="A107" s="14"/>
      <c r="C107" s="31"/>
    </row>
    <row r="108" spans="1:3">
      <c r="A108" s="14" t="s">
        <v>48</v>
      </c>
      <c r="B108" s="40" t="s">
        <v>142</v>
      </c>
      <c r="C108" s="10" t="str">
        <f>CONCATENATE("&lt;# ",A108," ",B108," #&gt;")</f>
        <v>&lt;# Diseases anemia D000740 neurodegenerative disorder D000752 cardiovascular disease D002318 gastrointestinal disease D005767 ME/CFS D015673 coronary heart disease D003327 stroke  D016491 #&gt;</v>
      </c>
    </row>
    <row r="109" spans="1:3">
      <c r="A109" s="14"/>
    </row>
    <row r="110" spans="1:3">
      <c r="A110" s="14"/>
      <c r="B110" s="40" t="s">
        <v>143</v>
      </c>
      <c r="C110" s="31" t="str">
        <f>CONCATENATE("&lt;TopicBar ",B110," /&gt;")</f>
        <v>&lt;TopicBar mesh_D000740 mesh_D000752 mesh_D002318 mesh_D005767 mesh_D015673 mesh_D003327 mesh_D016491 /&gt;</v>
      </c>
    </row>
    <row r="111" spans="1:3">
      <c r="A111" s="14"/>
    </row>
    <row r="112" spans="1:3" s="21" customFormat="1">
      <c r="A112" s="28"/>
      <c r="B112" s="20"/>
    </row>
    <row r="113" spans="2:2">
      <c r="B113" s="30"/>
    </row>
    <row r="115" spans="2:2">
      <c r="B115" s="30"/>
    </row>
    <row r="117" spans="2:2">
      <c r="B117" s="30"/>
    </row>
    <row r="119" spans="2:2">
      <c r="B119" s="30"/>
    </row>
    <row r="121" spans="2:2">
      <c r="B121" s="3"/>
    </row>
    <row r="123" spans="2:2">
      <c r="B123" s="3"/>
    </row>
    <row r="795" spans="3:3">
      <c r="C795" s="3" t="str">
        <f>CONCATENATE("    This variant is a change at a specific point in the ",B786," gene from ",B795," to ",B796," resulting in incorrect ",B789,"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01" spans="3:3">
      <c r="C801" s="3" t="str">
        <f>CONCATENATE("    This variant is a change at a specific point in the ",B786," gene from ",B801," to ",B802," resulting in incorrect ",B789,"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1" spans="3:3">
      <c r="C931" s="3" t="str">
        <f>CONCATENATE("    This variant is a change at a specific point in the ",B922," gene from ",B931," to ",B932," resulting in incorrect ",B925,"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7" spans="3:3">
      <c r="C937" s="3" t="str">
        <f>CONCATENATE("    This variant is a change at a specific point in the ",B922," gene from ",B937," to ",B938," resulting in incorrect ",B925,"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9" spans="3:3">
      <c r="C1339" s="3" t="str">
        <f>CONCATENATE("    This variant is a change at a specific point in the ",B1330," gene from ",B1339," to ",B1340," resulting in incorrect ",B1333,"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45" spans="3:3">
      <c r="C1345" s="3" t="str">
        <f>CONCATENATE("    This variant is a change at a specific point in the ",B1330," gene from ",B1345," to ",B1346," resulting in incorrect ",B1333,"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5" spans="3:3">
      <c r="C1475" s="3" t="str">
        <f>CONCATENATE("    This variant is a change at a specific point in the ",B1466," gene from ",B1475," to ",B1476," resulting in incorrect ",B1469,"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81" spans="3:3">
      <c r="C1481" s="3" t="str">
        <f>CONCATENATE("    This variant is a change at a specific point in the ",B1466," gene from ",B1481," to ",B1482," resulting in incorrect ",B1469,"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c r="C1611" s="3" t="str">
        <f>CONCATENATE("    This variant is a change at a specific point in the ",B1602," gene from ",B1611," to ",B1612," resulting in incorrect ",B1605,"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7" spans="3:3">
      <c r="C1617" s="3" t="str">
        <f>CONCATENATE("    This variant is a change at a specific point in the ",B1602," gene from ",B1617," to ",B1618," resulting in incorrect ",B1605,"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c r="C1747" s="3" t="str">
        <f>CONCATENATE("    This variant is a change at a specific point in the ",B1738," gene from ",B1747," to ",B1748," resulting in incorrect ",B1741,"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3" spans="3:3">
      <c r="C1753" s="3" t="str">
        <f>CONCATENATE("    This variant is a change at a specific point in the ",B1738," gene from ",B1753," to ",B1754," resulting in incorrect ",B1741,"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c r="C1883" s="3" t="str">
        <f>CONCATENATE("    This variant is a change at a specific point in the ",B1874," gene from ",B1883," to ",B1884," resulting in incorrect ",B1877,"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9" spans="3:3">
      <c r="C1889" s="3" t="str">
        <f>CONCATENATE("    This variant is a change at a specific point in the ",B1874," gene from ",B1889," to ",B1890," resulting in incorrect ",B1877,"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c r="C2019" s="3" t="str">
        <f>CONCATENATE("    This variant is a change at a specific point in the ",B2010," gene from ",B2019," to ",B2020," resulting in incorrect ",B2013,"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25" spans="3:3">
      <c r="C2025" s="3" t="str">
        <f>CONCATENATE("    This variant is a change at a specific point in the ",B2010," gene from ",B2025," to ",B2026," resulting in incorrect ",B2013,"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c r="C2155" s="3" t="str">
        <f>CONCATENATE("    This variant is a change at a specific point in the ",B2146," gene from ",B2155," to ",B2156," resulting in incorrect ",B2149,"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1" spans="3:3">
      <c r="C2161" s="3" t="str">
        <f>CONCATENATE("    This variant is a change at a specific point in the ",B2146," gene from ",B2161," to ",B2162," resulting in incorrect ",B2149,"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c r="C2291" s="3" t="str">
        <f>CONCATENATE("    This variant is a change at a specific point in the ",B2282," gene from ",B2291," to ",B2292," resulting in incorrect ",B2285,"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7" spans="3:3">
      <c r="C2297" s="3" t="str">
        <f>CONCATENATE("    This variant is a change at a specific point in the ",B2282," gene from ",B2297," to ",B2298," resulting in incorrect ",B2285,"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6DA1-8BF5-4DD7-AE1F-947BA5354E92}">
  <dimension ref="A1:AJ2297"/>
  <sheetViews>
    <sheetView workbookViewId="0">
      <selection activeCell="B38" sqref="B38"/>
    </sheetView>
  </sheetViews>
  <sheetFormatPr defaultRowHeight="15.75"/>
  <cols>
    <col min="1" max="1" width="16.28515625" style="3" customWidth="1"/>
    <col min="2" max="2" width="58.28515625" style="15" customWidth="1"/>
    <col min="3" max="6" width="9.140625" style="3"/>
    <col min="7" max="7" width="10.28515625" style="3" bestFit="1" customWidth="1"/>
    <col min="8" max="8" width="13" style="3" customWidth="1"/>
    <col min="9" max="9" width="13.4257812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t="s">
        <v>322</v>
      </c>
      <c r="C2" s="3" t="str">
        <f>CONCATENATE("&lt;",A2," ",B2," /&gt;")</f>
        <v>&lt;Gene_Name GRIK2 /&gt;</v>
      </c>
      <c r="D2" s="15"/>
      <c r="H2" s="10"/>
      <c r="I2" s="11"/>
      <c r="J2" s="10"/>
      <c r="K2" s="10"/>
      <c r="L2" s="10"/>
      <c r="Y2" s="12"/>
      <c r="AC2" s="12"/>
      <c r="AF2" s="13"/>
      <c r="AG2" s="13"/>
      <c r="AJ2" s="13"/>
    </row>
    <row r="3" spans="1:36">
      <c r="A3" s="8"/>
      <c r="B3" s="9"/>
      <c r="C3" s="8"/>
      <c r="D3" s="15"/>
      <c r="H3" s="10"/>
      <c r="I3" s="11"/>
      <c r="J3" s="10"/>
      <c r="K3" s="10"/>
      <c r="L3" s="10"/>
      <c r="Y3" s="12"/>
      <c r="AC3" s="12"/>
      <c r="AF3" s="13"/>
      <c r="AG3" s="13"/>
      <c r="AJ3" s="13"/>
    </row>
    <row r="4" spans="1:36">
      <c r="A4" s="14" t="s">
        <v>37</v>
      </c>
      <c r="B4" s="15" t="s">
        <v>323</v>
      </c>
      <c r="C4" s="3" t="str">
        <f>CONCATENATE("&lt;",A4," ",B4," /&gt;")</f>
        <v>&lt;GeneName_full glutamate ionotropic receptor kainate type subunit 2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GRIK2 gene do?</v>
      </c>
      <c r="H6" s="10"/>
      <c r="I6" s="11"/>
      <c r="J6" s="10"/>
      <c r="K6" s="10"/>
      <c r="L6" s="10"/>
      <c r="Y6" s="16"/>
      <c r="Z6" s="16"/>
      <c r="AA6" s="16"/>
      <c r="AC6" s="16"/>
      <c r="AF6" s="13"/>
      <c r="AJ6" s="13"/>
    </row>
    <row r="7" spans="1:36">
      <c r="A7" s="14"/>
      <c r="I7" s="17"/>
      <c r="Y7" s="16"/>
      <c r="Z7" s="16"/>
      <c r="AA7" s="16"/>
      <c r="AC7" s="16"/>
      <c r="AF7" s="13"/>
      <c r="AJ7" s="13"/>
    </row>
    <row r="8" spans="1:36">
      <c r="A8" s="14" t="s">
        <v>5</v>
      </c>
      <c r="B8" s="37" t="s">
        <v>127</v>
      </c>
      <c r="C8" s="3" t="str">
        <f>CONCATENATE(B8," This gene is located on chromosome ",B9,".")</f>
        <v>[CLYBL](http://www.uniprot.org/uniprot/Q8N0X4) creates an energy production enzyme involved in the metabolism of vitamin B12 . It also involved in removing metals like magnesium and the citric acid cycle, which controls energy production and biosynthesis. Vitamin B12 is required for red blood cell formation, protein metabolism, neurological function, homocysteine conversion, and replicating DNA. Vitamin B12 plays a fundamental role in [detoxification](https://www.ncbi.nlm.nih.gov/pubmed/19409980) due to its substantial [antioxidant](https://www.ncbi.nlm.nih.gov/pubmed/19799418) properties. Vitamin B12 deficiency is linked with [anemia, neurodegenerative disorder, cardiovascular disease, gastrointestinal disease](https://www.ncbi.nlm.nih.gov/pubmed/22367966), and [ME/CFS](https://www.ncbi.nlm.nih.gov/pubmed/29100069). This gene is located on chromosome 13.</v>
      </c>
      <c r="I8" s="17"/>
      <c r="X8" s="18"/>
      <c r="Y8" s="16"/>
      <c r="Z8" s="16"/>
      <c r="AA8" s="16"/>
      <c r="AC8" s="16"/>
    </row>
    <row r="9" spans="1:36">
      <c r="A9" s="14" t="s">
        <v>6</v>
      </c>
      <c r="B9" s="2">
        <v>13</v>
      </c>
      <c r="I9" s="17"/>
      <c r="Y9" s="16"/>
      <c r="Z9" s="16"/>
      <c r="AA9" s="16"/>
      <c r="AC9" s="16"/>
    </row>
    <row r="10" spans="1:36">
      <c r="A10" s="14" t="s">
        <v>7</v>
      </c>
      <c r="B10" s="2" t="s">
        <v>128</v>
      </c>
      <c r="Y10" s="12"/>
      <c r="AC10" s="16"/>
    </row>
    <row r="11" spans="1:36" s="21" customFormat="1" ht="16.5" thickBot="1">
      <c r="A11" s="19"/>
      <c r="B11" s="20"/>
    </row>
    <row r="12" spans="1:36" ht="16.5" thickBot="1">
      <c r="A12" s="14" t="s">
        <v>3</v>
      </c>
      <c r="B12" t="s">
        <v>322</v>
      </c>
      <c r="C12" s="3" t="str">
        <f>CONCATENATE("&lt;GeneMap name= ",CHAR(34),B12,CHAR(34)," interval=",CHAR(34),B13,"=",CHAR(34),"&gt;")</f>
        <v>&lt;GeneMap name= "GRIK2" interval="NC_000006.11:g.101841584_102517958="&gt;</v>
      </c>
      <c r="J12" s="23"/>
      <c r="K12" s="23"/>
      <c r="L12" s="23"/>
      <c r="M12" s="23"/>
      <c r="N12" s="23"/>
      <c r="O12" s="24"/>
      <c r="P12" s="25"/>
      <c r="Q12" s="24"/>
      <c r="R12" s="24"/>
      <c r="S12" s="25"/>
      <c r="T12" s="25"/>
      <c r="U12" s="24"/>
      <c r="V12" s="24"/>
      <c r="W12" s="25"/>
      <c r="X12" s="25"/>
      <c r="Y12" s="25"/>
      <c r="Z12" s="25"/>
    </row>
    <row r="13" spans="1:36">
      <c r="A13" s="14" t="s">
        <v>9</v>
      </c>
      <c r="B13" t="s">
        <v>324</v>
      </c>
      <c r="J13" s="15"/>
      <c r="K13" s="15"/>
      <c r="L13" s="15"/>
      <c r="M13" s="15"/>
      <c r="N13" s="15"/>
      <c r="O13" s="15"/>
      <c r="P13" s="15"/>
      <c r="Q13" s="15"/>
      <c r="R13" s="15"/>
      <c r="S13" s="15"/>
      <c r="T13" s="15"/>
      <c r="U13" s="15"/>
      <c r="V13" s="15"/>
      <c r="W13" s="15"/>
      <c r="X13" s="15"/>
      <c r="Y13" s="15"/>
      <c r="Z13" s="15"/>
    </row>
    <row r="14" spans="1:36">
      <c r="A14" s="14" t="s">
        <v>11</v>
      </c>
      <c r="B14" t="s">
        <v>129</v>
      </c>
      <c r="C14" s="3" t="str">
        <f>CONCATENATE("# What are some common variants of ",B12,"?")</f>
        <v># What are some common variants of GRIK2?</v>
      </c>
      <c r="J14" s="15"/>
      <c r="K14" s="15"/>
      <c r="L14" s="15"/>
      <c r="M14" s="15"/>
      <c r="N14" s="15"/>
      <c r="O14" s="15"/>
      <c r="P14" s="15"/>
      <c r="Q14" s="15"/>
      <c r="R14" s="15"/>
      <c r="S14" s="15"/>
      <c r="T14" s="15"/>
      <c r="U14" s="15"/>
      <c r="V14" s="15"/>
      <c r="W14" s="15"/>
      <c r="X14" s="15"/>
      <c r="Y14" s="15"/>
      <c r="Z14" s="15"/>
    </row>
    <row r="15" spans="1:36">
      <c r="A15" s="14"/>
      <c r="B15"/>
      <c r="C15" s="3" t="s">
        <v>13</v>
      </c>
      <c r="J15" s="15"/>
      <c r="K15" s="15"/>
      <c r="L15" s="15"/>
      <c r="M15" s="15"/>
      <c r="N15" s="15"/>
      <c r="O15" s="15"/>
      <c r="P15" s="15"/>
      <c r="Q15" s="15"/>
      <c r="R15" s="15"/>
      <c r="S15" s="15"/>
      <c r="T15" s="15"/>
      <c r="U15" s="15"/>
      <c r="V15" s="15"/>
      <c r="W15" s="15"/>
      <c r="X15" s="15"/>
      <c r="Y15" s="15"/>
      <c r="Z15" s="15"/>
    </row>
    <row r="16" spans="1:36">
      <c r="B16"/>
      <c r="C16" s="3" t="str">
        <f>CONCATENATE("A variant is a change at a specific point in the gene from the expected nucleotide sequence to another, resulting in incorrect ", B10," function. There is ",B14," common variant in ",B12,": ",B22,".")</f>
        <v>A variant is a change at a specific point in the gene from the expected nucleotide sequence to another, resulting in incorrect mitochondrial enzyme function. There is one common variant in GRIK2: [A101518578G](https://www.ncbi.nlm.nih.gov/projects/SNP/snp_ref.cgi?rs=2247215).</v>
      </c>
      <c r="J16" s="15"/>
      <c r="K16" s="15"/>
      <c r="L16" s="15"/>
      <c r="M16" s="15"/>
      <c r="N16" s="15"/>
      <c r="O16" s="15"/>
      <c r="P16" s="15"/>
      <c r="Q16" s="15"/>
      <c r="R16" s="15"/>
      <c r="S16" s="15"/>
      <c r="T16" s="15"/>
      <c r="U16" s="15"/>
      <c r="V16" s="15"/>
      <c r="W16" s="15"/>
      <c r="X16" s="15"/>
      <c r="Y16" s="15"/>
      <c r="Z16" s="15"/>
    </row>
    <row r="17" spans="1:26">
      <c r="B17"/>
      <c r="J17" s="15"/>
      <c r="K17" s="15"/>
      <c r="L17" s="15"/>
      <c r="M17" s="15"/>
      <c r="N17" s="15"/>
      <c r="O17" s="15"/>
      <c r="P17" s="15"/>
      <c r="Q17" s="15"/>
      <c r="R17" s="15"/>
      <c r="S17" s="15"/>
      <c r="T17" s="15"/>
      <c r="U17" s="15"/>
      <c r="V17" s="15"/>
      <c r="W17" s="15"/>
      <c r="X17" s="15"/>
      <c r="Y17" s="15"/>
      <c r="Z17" s="15"/>
    </row>
    <row r="18" spans="1:26">
      <c r="A18" s="14" t="s">
        <v>14</v>
      </c>
      <c r="B18" t="s">
        <v>325</v>
      </c>
      <c r="C18" s="3" t="str">
        <f>CONCATENATE("&lt;# ",B19," #&gt;")</f>
        <v>&lt;# A101518578G #&gt;</v>
      </c>
      <c r="J18" s="15"/>
      <c r="K18" s="15"/>
      <c r="L18" s="15"/>
      <c r="M18" s="15"/>
      <c r="N18" s="15"/>
      <c r="O18" s="15"/>
      <c r="P18" s="15"/>
      <c r="Q18" s="15"/>
      <c r="R18" s="15"/>
      <c r="S18" s="15"/>
      <c r="T18" s="15"/>
      <c r="U18" s="15"/>
      <c r="V18" s="15"/>
      <c r="W18" s="15"/>
      <c r="X18" s="15"/>
      <c r="Y18" s="15"/>
      <c r="Z18" s="15"/>
    </row>
    <row r="19" spans="1:26">
      <c r="A19" s="26" t="s">
        <v>15</v>
      </c>
      <c r="B19" s="29" t="s">
        <v>329</v>
      </c>
      <c r="J19" s="6"/>
      <c r="K19" s="15"/>
      <c r="L19" s="15"/>
      <c r="M19" s="15"/>
      <c r="N19" s="15"/>
      <c r="O19" s="15"/>
      <c r="P19" s="15"/>
      <c r="Q19" s="15"/>
      <c r="R19" s="15"/>
      <c r="S19" s="15"/>
      <c r="T19" s="15"/>
      <c r="U19" s="15"/>
      <c r="V19" s="15"/>
      <c r="W19" s="15"/>
      <c r="X19" s="15"/>
      <c r="Y19" s="15"/>
      <c r="Z19" s="15"/>
    </row>
    <row r="20" spans="1:26">
      <c r="A20" s="26" t="s">
        <v>17</v>
      </c>
      <c r="B20" s="15" t="s">
        <v>24</v>
      </c>
      <c r="C20" s="3" t="str">
        <f>CONCATENATE("  &lt;Variant hgvs=",CHAR(34),B18,CHAR(34)," name=",CHAR(34),B19,CHAR(34),"&gt; ")</f>
        <v xml:space="preserve">  &lt;Variant hgvs="NC_000006.11:g.101966454A&gt;G" name="A101518578G"&gt; </v>
      </c>
      <c r="J20" s="2"/>
      <c r="K20" s="15"/>
      <c r="L20" s="15"/>
      <c r="M20" s="15"/>
      <c r="N20" s="15"/>
      <c r="O20" s="15"/>
      <c r="P20" s="15"/>
      <c r="Q20" s="15"/>
      <c r="R20" s="15"/>
      <c r="S20" s="15"/>
      <c r="T20" s="15"/>
      <c r="U20" s="15"/>
      <c r="V20" s="15"/>
      <c r="W20" s="15"/>
      <c r="X20" s="15"/>
      <c r="Y20" s="15"/>
      <c r="Z20" s="15"/>
    </row>
    <row r="21" spans="1:26">
      <c r="A21" s="26" t="s">
        <v>19</v>
      </c>
      <c r="B21" s="15" t="s">
        <v>44</v>
      </c>
      <c r="H21" s="15"/>
      <c r="I21" s="15"/>
      <c r="J21" s="2"/>
      <c r="K21" s="15"/>
      <c r="L21" s="15"/>
      <c r="M21" s="15"/>
      <c r="N21" s="15"/>
      <c r="O21" s="15"/>
      <c r="P21" s="15"/>
      <c r="Q21" s="15"/>
      <c r="R21" s="15"/>
      <c r="S21" s="15"/>
      <c r="T21" s="15"/>
      <c r="U21" s="15"/>
      <c r="V21" s="15"/>
      <c r="W21" s="15"/>
      <c r="X21" s="15"/>
      <c r="Y21" s="15"/>
      <c r="Z21" s="15"/>
    </row>
    <row r="22" spans="1:26">
      <c r="A22" s="26" t="s">
        <v>21</v>
      </c>
      <c r="B22" s="15" t="s">
        <v>330</v>
      </c>
      <c r="C22" s="3" t="str">
        <f>CONCATENATE("    Instead of ",B20,", there is a ",B21," nucleotide.")</f>
        <v xml:space="preserve">    Instead of adenine (A), there is a guanine (G) nucleotide.</v>
      </c>
      <c r="H22" s="15"/>
      <c r="I22" s="15"/>
      <c r="J22" s="7"/>
      <c r="K22" s="15"/>
      <c r="L22" s="15"/>
      <c r="M22" s="15"/>
      <c r="N22" s="15"/>
      <c r="O22" s="15"/>
      <c r="P22" s="15"/>
      <c r="Q22" s="15"/>
      <c r="R22" s="15"/>
      <c r="S22" s="15"/>
      <c r="T22" s="15"/>
      <c r="U22" s="15"/>
      <c r="V22" s="15"/>
      <c r="W22" s="15"/>
      <c r="X22" s="15"/>
      <c r="Y22" s="15"/>
      <c r="Z22" s="15"/>
    </row>
    <row r="23" spans="1:26">
      <c r="A23" s="3" t="s">
        <v>64</v>
      </c>
      <c r="B23" t="s">
        <v>326</v>
      </c>
      <c r="H23" s="2"/>
      <c r="I23" s="2"/>
      <c r="J23" s="15"/>
      <c r="K23" s="15"/>
      <c r="L23" s="15"/>
      <c r="M23" s="15"/>
      <c r="N23" s="15"/>
      <c r="O23" s="15"/>
      <c r="P23" s="15"/>
      <c r="Q23" s="15"/>
      <c r="R23" s="15"/>
      <c r="S23" s="15"/>
      <c r="T23" s="15"/>
      <c r="U23" s="15"/>
      <c r="V23" s="15"/>
      <c r="W23" s="15"/>
      <c r="X23" s="15"/>
      <c r="Y23" s="15"/>
      <c r="Z23" s="15"/>
    </row>
    <row r="24" spans="1:26">
      <c r="A24" s="3" t="s">
        <v>51</v>
      </c>
      <c r="B24" s="7" t="s">
        <v>327</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328</v>
      </c>
      <c r="J25" s="6"/>
    </row>
    <row r="26" spans="1:26">
      <c r="B26" s="3"/>
    </row>
    <row r="27" spans="1:26" s="21" customFormat="1">
      <c r="A27" s="28"/>
      <c r="B27" s="20"/>
    </row>
    <row r="28" spans="1:26" s="10" customFormat="1">
      <c r="A28" s="32"/>
      <c r="B28" s="33"/>
      <c r="C28" s="34" t="s">
        <v>368</v>
      </c>
      <c r="L28" s="38"/>
    </row>
    <row r="29" spans="1:26" s="10" customFormat="1">
      <c r="A29" s="32"/>
      <c r="B29" s="33"/>
      <c r="K29" s="6" t="s">
        <v>331</v>
      </c>
      <c r="L29" s="38"/>
      <c r="M29" s="11"/>
    </row>
    <row r="30" spans="1:26" s="21" customFormat="1">
      <c r="A30" s="28" t="s">
        <v>69</v>
      </c>
      <c r="B30" s="20" t="str">
        <f>CONCATENATE(B19," (A;G)")</f>
        <v>A101518578G (A;G)</v>
      </c>
      <c r="C30" s="21" t="str">
        <f>CONCATENATE("&lt;# ",B30," #&gt;")</f>
        <v>&lt;# A101518578G (A;G) #&gt;</v>
      </c>
      <c r="K30" s="21" t="str">
        <f>B19</f>
        <v>A101518578G</v>
      </c>
    </row>
    <row r="31" spans="1:26" s="10" customFormat="1">
      <c r="A31" s="3" t="s">
        <v>21</v>
      </c>
      <c r="B31" s="29" t="str">
        <f>K34</f>
        <v>NC_000006.11:g.[101966454A&gt;G];[101966454A&gt;G=]</v>
      </c>
      <c r="J31" s="3"/>
      <c r="K31" s="22" t="str">
        <f>B23</f>
        <v>NC_000006.11:g.</v>
      </c>
      <c r="L31" s="22"/>
    </row>
    <row r="32" spans="1:26">
      <c r="B32" s="29"/>
      <c r="C32" s="3" t="str">
        <f>CONCATENATE("  &lt;Analysis name=",CHAR(34),B30,CHAR(34))</f>
        <v xml:space="preserve">  &lt;Analysis name="A101518578G (A;G)"</v>
      </c>
      <c r="J32" s="3" t="s">
        <v>21</v>
      </c>
      <c r="K32" s="15" t="str">
        <f>B24</f>
        <v>[101966454A&gt;G]</v>
      </c>
      <c r="L32" s="22"/>
      <c r="M32" s="10"/>
    </row>
    <row r="33" spans="1:13">
      <c r="A33" s="5" t="s">
        <v>27</v>
      </c>
      <c r="B33" s="2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C33" s="3" t="str">
        <f>CONCATENATE("            case={  variantCall ",CHAR(40),CHAR(34),K34,CHAR(34),CHAR(41))</f>
        <v xml:space="preserve">            case={  variantCall ("NC_000006.11:g.[101966454A&gt;G];[101966454A&gt;G=]")</v>
      </c>
      <c r="J33" s="3" t="s">
        <v>52</v>
      </c>
      <c r="K33" s="15" t="str">
        <f>B25</f>
        <v>[101966454A&gt;G=]</v>
      </c>
      <c r="L33" s="22"/>
      <c r="M33" s="10"/>
    </row>
    <row r="34" spans="1:13">
      <c r="A34" s="1" t="s">
        <v>28</v>
      </c>
      <c r="B34" s="29" t="s">
        <v>139</v>
      </c>
      <c r="C34" s="3" t="s">
        <v>70</v>
      </c>
      <c r="J34" s="3" t="s">
        <v>62</v>
      </c>
      <c r="K34" s="15" t="str">
        <f>CONCATENATE(K31,K32,";",K33)</f>
        <v>NC_000006.11:g.[101966454A&gt;G];[101966454A&gt;G=]</v>
      </c>
      <c r="L34" s="15"/>
      <c r="M34" s="15"/>
    </row>
    <row r="35" spans="1:13">
      <c r="A35" s="3" t="s">
        <v>72</v>
      </c>
      <c r="B35" s="29">
        <f>K37</f>
        <v>49.2</v>
      </c>
      <c r="C35" s="3" t="str">
        <f>CONCATENATE("                    ",CHAR(40),"variantCall ",CHAR(40),CHAR(34),L35,CHAR(34),CHAR(41)," or variantCall ",CHAR(40),CHAR(34),L36,CHAR(34),CHAR(41),CHAR(41))</f>
        <v xml:space="preserve">                    (variantCall ("") or variantCall (""))</v>
      </c>
      <c r="J35" s="3" t="s">
        <v>63</v>
      </c>
      <c r="K35" s="15" t="str">
        <f>CONCATENATE(K31,K32,";",K32)</f>
        <v>NC_000006.11:g.[101966454A&gt;G];[101966454A&gt;G]</v>
      </c>
      <c r="L35" s="15"/>
      <c r="M35" s="15"/>
    </row>
    <row r="36" spans="1:13">
      <c r="J36" s="3" t="s">
        <v>52</v>
      </c>
      <c r="K36" s="2" t="str">
        <f>CONCATENATE(K31,K33,";",K33)</f>
        <v>NC_000006.11:g.[101966454A&gt;G=];[101966454A&gt;G=]</v>
      </c>
      <c r="L36" s="2"/>
      <c r="M36" s="2"/>
    </row>
    <row r="37" spans="1:13">
      <c r="J37" s="3" t="s">
        <v>66</v>
      </c>
      <c r="K37" s="15">
        <v>49.2</v>
      </c>
      <c r="L37" s="2"/>
      <c r="M37" s="2"/>
    </row>
    <row r="38" spans="1:13">
      <c r="A38" s="14"/>
      <c r="C38" s="3" t="str">
        <f>CONCATENATE("                  } &gt; ")</f>
        <v xml:space="preserve">                  } &gt; </v>
      </c>
      <c r="J38" s="3" t="s">
        <v>67</v>
      </c>
      <c r="K38" s="15">
        <v>31.6</v>
      </c>
      <c r="L38" s="2"/>
      <c r="M38" s="2"/>
    </row>
    <row r="39" spans="1:13">
      <c r="A39" s="26"/>
      <c r="J39" s="3" t="s">
        <v>68</v>
      </c>
      <c r="K39" s="15">
        <v>19.3</v>
      </c>
      <c r="L39" s="2"/>
      <c r="M39" s="2"/>
    </row>
    <row r="40" spans="1:13">
      <c r="A40" s="14"/>
      <c r="C40" s="3" t="s">
        <v>26</v>
      </c>
      <c r="K40"/>
      <c r="L40" s="2"/>
      <c r="M40" s="2"/>
    </row>
    <row r="41" spans="1:13">
      <c r="A41" s="14"/>
      <c r="K41" s="15"/>
      <c r="L41" s="15"/>
      <c r="M41" s="15"/>
    </row>
    <row r="42" spans="1:13">
      <c r="A42" s="26"/>
      <c r="C42" s="3" t="str">
        <f>CONCATENATE("    ",B33)</f>
        <v xml:space="preserve">    People with this variant have one copy of the [A101518578G](https://www.ncbi.nlm.nih.gov/projects/SNP/snp_ref.cgi?rs=2247215) variant. This substitution of a single nucleotide is known as a missense mutation.</v>
      </c>
      <c r="K42" s="15"/>
      <c r="L42" s="15"/>
      <c r="M42" s="15"/>
    </row>
    <row r="43" spans="1:13">
      <c r="A43" s="14"/>
      <c r="K43" s="2"/>
      <c r="L43" s="2"/>
      <c r="M43" s="2"/>
    </row>
    <row r="44" spans="1:13">
      <c r="A44" s="14"/>
      <c r="C44" s="3" t="s">
        <v>29</v>
      </c>
    </row>
    <row r="45" spans="1:13">
      <c r="A45" s="14"/>
    </row>
    <row r="46" spans="1:13">
      <c r="A46" s="14"/>
      <c r="C46" s="3" t="str">
        <f>CONCATENATE(B34)</f>
        <v xml:space="preserve">    This variant [shortens the protein](https://www.ncbi.nlm.nih.gov/pubmed/22367966), which may lead to [malabsorption of B12 and mental fatigue](https://www.ncbi.nlm.nih.gov/pubmed/25902009) due to improper binding between the protein and ions (electrically charged particles) or metals. People with this variant have blood serum vitamin B12 levels [88.9% lower](https://www.ncbi.nlm.nih.gov/pubmed/22367966) than normal and may have higher homocysteine levels. 
    This variant is also more common in people with [ME/CFS](https://www.ncbi.nlm.nih.gov/pubmed/29100069). In ME/CFS, [hypomethylation](http://dx.doi.org/10.4172/2155-9899.1000228), or reduced gene expression and protein expression, is seen in a majority of certain [immune cells](https://www.ncbi.nlm.nih.gov/pubmed/25111603/). Hypomethylation is greatly affected by the vitamins B12 and folate (B9), suggesting a blockage of B12 across the blood brain barrier. The reduction of circulating vitamin B12 also causes increased levels of [itaconate](https://www.ncbi.nlm.nih.gov/pubmed/29056341), an anti-microbial and immune regulating metabolic compound, which in turn deactivates vitamin B12. 
    # What should I do about this?
    - Check blood serum vitamin B12 levels. If too low, consider an [oral or injectable B12](https://www.ncbi.nlm.nih.gov/pubmed/25902009) supplement if low. 
    - Be cautious when taking [opioids, duloxetine, pregabalin](https://www.ncbi.nlm.nih.gov/pubmed/25902009), and [metformin](https://www.ncbi.nlm.nih.gov/pubmed/20488910?dopt=Abstract), which lower B12 levels.</v>
      </c>
    </row>
    <row r="47" spans="1:13">
      <c r="A47" s="26"/>
    </row>
    <row r="48" spans="1:13">
      <c r="A48" s="26"/>
      <c r="C48" s="3" t="s">
        <v>30</v>
      </c>
    </row>
    <row r="49" spans="1:13">
      <c r="A49" s="26"/>
    </row>
    <row r="50" spans="1:13">
      <c r="A50" s="26"/>
      <c r="C50" s="3" t="str">
        <f>CONCATENATE( "    &lt;piechart percentage=",B35," /&gt;")</f>
        <v xml:space="preserve">    &lt;piechart percentage=49.2 /&gt;</v>
      </c>
    </row>
    <row r="51" spans="1:13">
      <c r="A51" s="26"/>
      <c r="C51" s="3" t="str">
        <f>"  &lt;/Analysis&gt;"</f>
        <v xml:space="preserve">  &lt;/Analysis&gt;</v>
      </c>
      <c r="K51" s="3" t="str">
        <f t="shared" ref="K51:M53" si="0">K29</f>
        <v>rs2247215</v>
      </c>
      <c r="L51" s="3">
        <f t="shared" si="0"/>
        <v>0</v>
      </c>
      <c r="M51" s="3">
        <f t="shared" si="0"/>
        <v>0</v>
      </c>
    </row>
    <row r="52" spans="1:13" s="21" customFormat="1">
      <c r="A52" s="28" t="s">
        <v>69</v>
      </c>
      <c r="B52" s="20" t="str">
        <f>CONCATENATE(B19," (G;G)")</f>
        <v>A101518578G (G;G)</v>
      </c>
      <c r="C52" s="21" t="str">
        <f>CONCATENATE("&lt;# ",B52," #&gt;")</f>
        <v>&lt;# A101518578G (G;G) #&gt;</v>
      </c>
      <c r="K52" s="21" t="str">
        <f t="shared" si="0"/>
        <v>A101518578G</v>
      </c>
      <c r="L52" s="21">
        <f t="shared" si="0"/>
        <v>0</v>
      </c>
      <c r="M52" s="21">
        <f t="shared" si="0"/>
        <v>0</v>
      </c>
    </row>
    <row r="53" spans="1:13">
      <c r="A53" s="3" t="s">
        <v>21</v>
      </c>
      <c r="B53" s="29" t="str">
        <f>K35</f>
        <v>NC_000006.11:g.[101966454A&gt;G];[101966454A&gt;G]</v>
      </c>
      <c r="C53" s="10"/>
      <c r="K53" s="3" t="str">
        <f t="shared" si="0"/>
        <v>NC_000006.11:g.</v>
      </c>
      <c r="L53" s="3">
        <f t="shared" si="0"/>
        <v>0</v>
      </c>
      <c r="M53" s="3">
        <f t="shared" si="0"/>
        <v>0</v>
      </c>
    </row>
    <row r="54" spans="1:13">
      <c r="B54" s="29"/>
      <c r="C54" s="3" t="str">
        <f>CONCATENATE("  &lt;Analysis name=",CHAR(34),B52,CHAR(34))</f>
        <v xml:space="preserve">  &lt;Analysis name="A101518578G (G;G)"</v>
      </c>
      <c r="J54" s="3" t="str">
        <f t="shared" ref="J54:M61" si="1">J32</f>
        <v>Variant</v>
      </c>
      <c r="K54" s="3" t="str">
        <f t="shared" si="1"/>
        <v>[101966454A&gt;G]</v>
      </c>
      <c r="L54" s="3">
        <f t="shared" si="1"/>
        <v>0</v>
      </c>
      <c r="M54" s="3">
        <f t="shared" si="1"/>
        <v>0</v>
      </c>
    </row>
    <row r="55" spans="1:13">
      <c r="A55" s="5" t="s">
        <v>74</v>
      </c>
      <c r="B55" s="2"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C55" s="3" t="str">
        <f>CONCATENATE("            case={  variantCall ",CHAR(40),CHAR(34),B53,CHAR(34),CHAR(41))</f>
        <v xml:space="preserve">            case={  variantCall ("NC_000006.11:g.[101966454A&gt;G];[101966454A&gt;G]")</v>
      </c>
      <c r="J55" s="3" t="str">
        <f t="shared" si="1"/>
        <v>Wildtype</v>
      </c>
      <c r="K55" s="3" t="str">
        <f t="shared" si="1"/>
        <v>[101966454A&gt;G=]</v>
      </c>
      <c r="L55" s="3">
        <f t="shared" si="1"/>
        <v>0</v>
      </c>
      <c r="M55" s="3">
        <f t="shared" si="1"/>
        <v>0</v>
      </c>
    </row>
    <row r="56" spans="1:13">
      <c r="A56" s="1" t="s">
        <v>28</v>
      </c>
      <c r="B56" s="29"/>
      <c r="C56" s="3" t="str">
        <f>CONCATENATE("                  } &gt; ")</f>
        <v xml:space="preserve">                  } &gt; </v>
      </c>
      <c r="J56" s="3" t="str">
        <f t="shared" si="1"/>
        <v>Het</v>
      </c>
      <c r="K56" s="3" t="str">
        <f t="shared" si="1"/>
        <v>NC_000006.11:g.[101966454A&gt;G];[101966454A&gt;G=]</v>
      </c>
      <c r="L56" s="3">
        <f t="shared" si="1"/>
        <v>0</v>
      </c>
      <c r="M56" s="3">
        <f t="shared" si="1"/>
        <v>0</v>
      </c>
    </row>
    <row r="57" spans="1:13">
      <c r="A57" s="3" t="s">
        <v>72</v>
      </c>
      <c r="B57" s="29">
        <f>K38</f>
        <v>31.6</v>
      </c>
      <c r="J57" s="3" t="str">
        <f t="shared" si="1"/>
        <v>Homo</v>
      </c>
      <c r="K57" s="3" t="str">
        <f t="shared" si="1"/>
        <v>NC_000006.11:g.[101966454A&gt;G];[101966454A&gt;G]</v>
      </c>
      <c r="L57" s="3">
        <f t="shared" si="1"/>
        <v>0</v>
      </c>
      <c r="M57" s="3">
        <f t="shared" si="1"/>
        <v>0</v>
      </c>
    </row>
    <row r="58" spans="1:13">
      <c r="C58" s="3" t="s">
        <v>26</v>
      </c>
      <c r="J58" s="3" t="str">
        <f t="shared" si="1"/>
        <v>Wildtype</v>
      </c>
      <c r="K58" s="3" t="str">
        <f t="shared" si="1"/>
        <v>NC_000006.11:g.[101966454A&gt;G=];[101966454A&gt;G=]</v>
      </c>
      <c r="L58" s="3">
        <f t="shared" si="1"/>
        <v>0</v>
      </c>
      <c r="M58" s="3">
        <f t="shared" si="1"/>
        <v>0</v>
      </c>
    </row>
    <row r="59" spans="1:13">
      <c r="J59" s="3" t="str">
        <f t="shared" si="1"/>
        <v>Het%</v>
      </c>
      <c r="K59" s="3">
        <f t="shared" si="1"/>
        <v>49.2</v>
      </c>
      <c r="L59" s="3">
        <f t="shared" si="1"/>
        <v>0</v>
      </c>
      <c r="M59" s="3">
        <f t="shared" si="1"/>
        <v>0</v>
      </c>
    </row>
    <row r="60" spans="1:13">
      <c r="A60" s="14"/>
      <c r="C60" s="3" t="str">
        <f>CONCATENATE("    ",B55)</f>
        <v xml:space="preserve">    People with this variant have two copies of the [A101518578G](https://www.ncbi.nlm.nih.gov/projects/SNP/snp_ref.cgi?rs=2247215) variant. This substitution of a single nucleotide is known as a missense mutation.</v>
      </c>
      <c r="J60" s="3" t="str">
        <f t="shared" si="1"/>
        <v>Homo%</v>
      </c>
      <c r="K60" s="3">
        <f t="shared" si="1"/>
        <v>31.6</v>
      </c>
      <c r="L60" s="3">
        <f t="shared" si="1"/>
        <v>0</v>
      </c>
      <c r="M60" s="3">
        <f t="shared" si="1"/>
        <v>0</v>
      </c>
    </row>
    <row r="61" spans="1:13">
      <c r="A61" s="26"/>
      <c r="J61" s="3" t="str">
        <f t="shared" si="1"/>
        <v>Wildtype%</v>
      </c>
      <c r="K61" s="3">
        <f t="shared" si="1"/>
        <v>19.3</v>
      </c>
      <c r="L61" s="3">
        <f t="shared" si="1"/>
        <v>0</v>
      </c>
      <c r="M61" s="3">
        <f t="shared" si="1"/>
        <v>0</v>
      </c>
    </row>
    <row r="62" spans="1:13">
      <c r="A62" s="14"/>
      <c r="C62" s="3" t="s">
        <v>29</v>
      </c>
    </row>
    <row r="63" spans="1:13">
      <c r="A63" s="14"/>
    </row>
    <row r="64" spans="1:13">
      <c r="A64" s="26"/>
      <c r="C64" s="3" t="str">
        <f>CONCATENATE(B56)</f>
        <v/>
      </c>
    </row>
    <row r="65" spans="1:11">
      <c r="A65" s="14"/>
    </row>
    <row r="66" spans="1:11">
      <c r="A66" s="14"/>
      <c r="C66" s="3" t="s">
        <v>30</v>
      </c>
    </row>
    <row r="67" spans="1:11">
      <c r="A67" s="14"/>
    </row>
    <row r="68" spans="1:11">
      <c r="A68" s="14"/>
      <c r="C68" s="3" t="str">
        <f>CONCATENATE( "    &lt;piechart percentage=",B57," /&gt;")</f>
        <v xml:space="preserve">    &lt;piechart percentage=31.6 /&gt;</v>
      </c>
    </row>
    <row r="69" spans="1:11">
      <c r="A69" s="26"/>
      <c r="C69" s="3" t="str">
        <f>"  &lt;/Analysis&gt;"</f>
        <v xml:space="preserve">  &lt;/Analysis&gt;</v>
      </c>
    </row>
    <row r="70" spans="1:11">
      <c r="A70" s="26"/>
      <c r="K70" s="3" t="str">
        <f>K51</f>
        <v>rs2247215</v>
      </c>
    </row>
    <row r="71" spans="1:11" s="21" customFormat="1">
      <c r="A71" s="28" t="s">
        <v>69</v>
      </c>
      <c r="B71" s="20" t="s">
        <v>83</v>
      </c>
      <c r="C71" s="21" t="str">
        <f>CONCATENATE("&lt;# ",B71," #&gt;")</f>
        <v>&lt;# Wild type #&gt;</v>
      </c>
      <c r="K71" s="21" t="str">
        <f>K30</f>
        <v>A101518578G</v>
      </c>
    </row>
    <row r="72" spans="1:11">
      <c r="A72" s="14" t="s">
        <v>21</v>
      </c>
      <c r="B72" s="15" t="str">
        <f>K36</f>
        <v>NC_000006.11:g.[101966454A&gt;G=];[101966454A&gt;G=]</v>
      </c>
      <c r="K72" s="21" t="str">
        <f t="shared" ref="J72:K80" si="2">K31</f>
        <v>NC_000006.11:g.</v>
      </c>
    </row>
    <row r="73" spans="1:11">
      <c r="A73" s="14" t="s">
        <v>71</v>
      </c>
      <c r="C73" s="3" t="str">
        <f>CONCATENATE("  &lt;Analysis name=",CHAR(34),B71,CHAR(34))</f>
        <v xml:space="preserve">  &lt;Analysis name="Wild type"</v>
      </c>
      <c r="J73" s="21" t="str">
        <f t="shared" si="2"/>
        <v>Variant</v>
      </c>
      <c r="K73" s="21" t="str">
        <f t="shared" si="2"/>
        <v>[101966454A&gt;G]</v>
      </c>
    </row>
    <row r="74" spans="1:11">
      <c r="A74" s="26" t="s">
        <v>74</v>
      </c>
      <c r="B74" s="15" t="str">
        <f>CONCATENATE("Your ",B12," gene has no variants. A normal gene is referred to as a ",CHAR(34),"wild-type",CHAR(34)," gene.")</f>
        <v>Your GRIK2 gene has no variants. A normal gene is referred to as a "wild-type" gene.</v>
      </c>
      <c r="C74" s="3" t="str">
        <f>CONCATENATE("            case={  variantCall ",CHAR(40),CHAR(34),B72,CHAR(34),CHAR(41))</f>
        <v xml:space="preserve">            case={  variantCall ("NC_000006.11:g.[101966454A&gt;G=];[101966454A&gt;G=]")</v>
      </c>
      <c r="J74" s="21" t="str">
        <f t="shared" si="2"/>
        <v>Wildtype</v>
      </c>
      <c r="K74" s="21" t="str">
        <f t="shared" si="2"/>
        <v>[101966454A&gt;G=]</v>
      </c>
    </row>
    <row r="75" spans="1:11">
      <c r="A75" s="26" t="s">
        <v>28</v>
      </c>
      <c r="C75" s="3" t="str">
        <f>CONCATENATE("                  } &gt; ")</f>
        <v xml:space="preserve">                  } &gt; </v>
      </c>
      <c r="J75" s="21" t="str">
        <f t="shared" si="2"/>
        <v>Het</v>
      </c>
      <c r="K75" s="21" t="str">
        <f t="shared" si="2"/>
        <v>NC_000006.11:g.[101966454A&gt;G];[101966454A&gt;G=]</v>
      </c>
    </row>
    <row r="76" spans="1:11">
      <c r="A76" s="26" t="s">
        <v>72</v>
      </c>
      <c r="J76" s="21" t="str">
        <f t="shared" si="2"/>
        <v>Homo</v>
      </c>
      <c r="K76" s="21" t="str">
        <f t="shared" si="2"/>
        <v>NC_000006.11:g.[101966454A&gt;G];[101966454A&gt;G]</v>
      </c>
    </row>
    <row r="77" spans="1:11">
      <c r="A77" s="26"/>
      <c r="C77" s="3" t="s">
        <v>26</v>
      </c>
      <c r="J77" s="21" t="str">
        <f t="shared" si="2"/>
        <v>Wildtype</v>
      </c>
      <c r="K77" s="21" t="str">
        <f t="shared" si="2"/>
        <v>NC_000006.11:g.[101966454A&gt;G=];[101966454A&gt;G=]</v>
      </c>
    </row>
    <row r="78" spans="1:11">
      <c r="A78" s="26"/>
      <c r="J78" s="21" t="str">
        <f t="shared" si="2"/>
        <v>Het%</v>
      </c>
      <c r="K78" s="21">
        <f t="shared" si="2"/>
        <v>49.2</v>
      </c>
    </row>
    <row r="79" spans="1:11">
      <c r="A79" s="26"/>
      <c r="C79" s="3" t="str">
        <f>CONCATENATE("    ",B74)</f>
        <v xml:space="preserve">    Your GRIK2 gene has no variants. A normal gene is referred to as a "wild-type" gene.</v>
      </c>
      <c r="J79" s="21" t="str">
        <f t="shared" si="2"/>
        <v>Homo%</v>
      </c>
      <c r="K79" s="21">
        <f t="shared" si="2"/>
        <v>31.6</v>
      </c>
    </row>
    <row r="80" spans="1:11">
      <c r="A80" s="14"/>
      <c r="J80" s="21" t="str">
        <f t="shared" si="2"/>
        <v>Wildtype%</v>
      </c>
      <c r="K80" s="21">
        <f t="shared" si="2"/>
        <v>19.3</v>
      </c>
    </row>
    <row r="81" spans="1:3">
      <c r="A81" s="14"/>
      <c r="C81" s="3" t="s">
        <v>30</v>
      </c>
    </row>
    <row r="82" spans="1:3">
      <c r="A82" s="14"/>
    </row>
    <row r="83" spans="1:3">
      <c r="A83" s="26"/>
      <c r="C83" s="3" t="str">
        <f>CONCATENATE( "    &lt;piechart percentage=",B76," /&gt;")</f>
        <v xml:space="preserve">    &lt;piechart percentage= /&gt;</v>
      </c>
    </row>
    <row r="84" spans="1:3">
      <c r="A84" s="26"/>
      <c r="C84" s="3" t="str">
        <f>"  &lt;/Analysis&gt;"</f>
        <v xml:space="preserve">  &lt;/Analysis&gt;</v>
      </c>
    </row>
    <row r="85" spans="1:3">
      <c r="A85" s="26"/>
    </row>
    <row r="86" spans="1:3" s="21" customFormat="1">
      <c r="A86" s="28" t="s">
        <v>69</v>
      </c>
      <c r="B86" s="20" t="s">
        <v>84</v>
      </c>
      <c r="C86" s="21" t="str">
        <f>CONCATENATE("&lt;# ",B86," #&gt;")</f>
        <v>&lt;# Unknown #&gt;</v>
      </c>
    </row>
    <row r="87" spans="1:3">
      <c r="A87" s="14" t="s">
        <v>21</v>
      </c>
      <c r="B87" s="15" t="str">
        <f>K54</f>
        <v>[101966454A&gt;G]</v>
      </c>
    </row>
    <row r="88" spans="1:3">
      <c r="A88" s="14" t="s">
        <v>71</v>
      </c>
      <c r="C88" s="3" t="str">
        <f>CONCATENATE("  &lt;Analysis name=",CHAR(34),B86,CHAR(34), " case=true&gt;")</f>
        <v xml:space="preserve">  &lt;Analysis name="Unknown" case=true&gt;</v>
      </c>
    </row>
    <row r="89" spans="1:3">
      <c r="A89" s="26" t="s">
        <v>74</v>
      </c>
      <c r="B89" s="15" t="s">
        <v>31</v>
      </c>
    </row>
    <row r="90" spans="1:3">
      <c r="A90" s="26" t="s">
        <v>72</v>
      </c>
      <c r="C90" s="3" t="s">
        <v>26</v>
      </c>
    </row>
    <row r="91" spans="1:3">
      <c r="A91" s="26"/>
    </row>
    <row r="92" spans="1:3">
      <c r="A92" s="14"/>
      <c r="C92" s="3" t="str">
        <f>CONCATENATE("    ",B89)</f>
        <v xml:space="preserve">    The effect is unknown.</v>
      </c>
    </row>
    <row r="93" spans="1:3">
      <c r="A93" s="14"/>
    </row>
    <row r="94" spans="1:3">
      <c r="A94" s="14"/>
      <c r="C94" s="3" t="s">
        <v>30</v>
      </c>
    </row>
    <row r="95" spans="1:3">
      <c r="A95" s="26"/>
    </row>
    <row r="96" spans="1:3">
      <c r="A96" s="26"/>
      <c r="C96" s="3" t="str">
        <f>CONCATENATE( "    &lt;piechart percentage=",B90," /&gt;")</f>
        <v xml:space="preserve">    &lt;piechart percentage= /&gt;</v>
      </c>
    </row>
    <row r="97" spans="1:3">
      <c r="A97" s="26"/>
      <c r="C97" s="3" t="str">
        <f>"  &lt;/Analysis&gt;"</f>
        <v xml:space="preserve">  &lt;/Analysis&gt;</v>
      </c>
    </row>
    <row r="98" spans="1:3">
      <c r="A98" s="14"/>
      <c r="C98" s="31" t="s">
        <v>369</v>
      </c>
    </row>
    <row r="99" spans="1:3" s="21" customFormat="1">
      <c r="A99" s="19"/>
      <c r="B99" s="20"/>
      <c r="C99" s="35"/>
    </row>
    <row r="100" spans="1:3">
      <c r="A100" s="14" t="s">
        <v>77</v>
      </c>
      <c r="B100" s="40" t="s">
        <v>141</v>
      </c>
      <c r="C100" s="10" t="str">
        <f>CONCATENATE("&lt;# ",A100," ",B100," #&gt;")</f>
        <v>&lt;# Tissues [kidney, liver](https://www.ncbi.nlm.nih.gov/gene/171425#gene-expression), and blood; circulatory and cardiovascular system D002319 Kidney and urinary bladder D005221 liver D008099  #&gt;</v>
      </c>
    </row>
    <row r="101" spans="1:3">
      <c r="A101" s="14"/>
    </row>
    <row r="102" spans="1:3">
      <c r="A102" s="14"/>
      <c r="B102" s="40" t="s">
        <v>145</v>
      </c>
      <c r="C102" s="31" t="str">
        <f>CONCATENATE("&lt;TopicBar ",B102," /&gt;")</f>
        <v>&lt;TopicBar mesh_D002319 mesh_D005221 mesh_D008099  /&gt;</v>
      </c>
    </row>
    <row r="103" spans="1:3">
      <c r="A103" s="14"/>
    </row>
    <row r="104" spans="1:3">
      <c r="A104" s="14" t="s">
        <v>32</v>
      </c>
      <c r="B104" s="40" t="s">
        <v>140</v>
      </c>
      <c r="C104" s="10" t="str">
        <f>CONCATENATE("&lt;# ",A104," ",B104," #&gt;")</f>
        <v>&lt;# Symptoms fatigue D005221 memory problems D008569 inflamation D007249 muscle aches and pain D063806 #&gt;</v>
      </c>
    </row>
    <row r="105" spans="1:3">
      <c r="A105" s="14"/>
    </row>
    <row r="106" spans="1:3">
      <c r="A106" s="14"/>
      <c r="B106" s="40" t="s">
        <v>144</v>
      </c>
      <c r="C106" s="31" t="str">
        <f>CONCATENATE("&lt;TopicBar ",B106," /&gt;")</f>
        <v>&lt;TopicBar mesh_D005221 mesh_D008569 mesh_D007249 mesh_D063806 /&gt;</v>
      </c>
    </row>
    <row r="107" spans="1:3">
      <c r="A107" s="14"/>
      <c r="C107" s="31"/>
    </row>
    <row r="108" spans="1:3">
      <c r="A108" s="14" t="s">
        <v>48</v>
      </c>
      <c r="B108" s="40" t="s">
        <v>142</v>
      </c>
      <c r="C108" s="10" t="str">
        <f>CONCATENATE("&lt;# ",A108," ",B108," #&gt;")</f>
        <v>&lt;# Diseases anemia D000740 neurodegenerative disorder D000752 cardiovascular disease D002318 gastrointestinal disease D005767 ME/CFS D015673 coronary heart disease D003327 stroke  D016491 #&gt;</v>
      </c>
    </row>
    <row r="109" spans="1:3">
      <c r="A109" s="14"/>
    </row>
    <row r="110" spans="1:3">
      <c r="A110" s="14"/>
      <c r="B110" s="40" t="s">
        <v>143</v>
      </c>
      <c r="C110" s="31" t="str">
        <f>CONCATENATE("&lt;TopicBar ",B110," /&gt;")</f>
        <v>&lt;TopicBar mesh_D000740 mesh_D000752 mesh_D002318 mesh_D005767 mesh_D015673 mesh_D003327 mesh_D016491 /&gt;</v>
      </c>
    </row>
    <row r="111" spans="1:3">
      <c r="A111" s="14"/>
    </row>
    <row r="112" spans="1:3" s="21" customFormat="1">
      <c r="A112" s="28"/>
      <c r="B112" s="20"/>
    </row>
    <row r="113" spans="2:2">
      <c r="B113" s="30"/>
    </row>
    <row r="115" spans="2:2">
      <c r="B115" s="30"/>
    </row>
    <row r="117" spans="2:2">
      <c r="B117" s="30"/>
    </row>
    <row r="119" spans="2:2">
      <c r="B119" s="30"/>
    </row>
    <row r="121" spans="2:2">
      <c r="B121" s="3"/>
    </row>
    <row r="123" spans="2:2">
      <c r="B123" s="3"/>
    </row>
    <row r="795" spans="3:3">
      <c r="C795" s="3" t="str">
        <f>CONCATENATE("    This variant is a change at a specific point in the ",B786," gene from ",B795," to ",B796," resulting in incorrect ",B789,"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01" spans="3:3">
      <c r="C801" s="3" t="str">
        <f>CONCATENATE("    This variant is a change at a specific point in the ",B786," gene from ",B801," to ",B802," resulting in incorrect ",B789,"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1" spans="3:3">
      <c r="C931" s="3" t="str">
        <f>CONCATENATE("    This variant is a change at a specific point in the ",B922," gene from ",B931," to ",B932," resulting in incorrect ",B925,"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7" spans="3:3">
      <c r="C937" s="3" t="str">
        <f>CONCATENATE("    This variant is a change at a specific point in the ",B922," gene from ",B937," to ",B938," resulting in incorrect ",B925,"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9" spans="3:3">
      <c r="C1339" s="3" t="str">
        <f>CONCATENATE("    This variant is a change at a specific point in the ",B1330," gene from ",B1339," to ",B1340," resulting in incorrect ",B1333,"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45" spans="3:3">
      <c r="C1345" s="3" t="str">
        <f>CONCATENATE("    This variant is a change at a specific point in the ",B1330," gene from ",B1345," to ",B1346," resulting in incorrect ",B1333,"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5" spans="3:3">
      <c r="C1475" s="3" t="str">
        <f>CONCATENATE("    This variant is a change at a specific point in the ",B1466," gene from ",B1475," to ",B1476," resulting in incorrect ",B1469,"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81" spans="3:3">
      <c r="C1481" s="3" t="str">
        <f>CONCATENATE("    This variant is a change at a specific point in the ",B1466," gene from ",B1481," to ",B1482," resulting in incorrect ",B1469,"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1" spans="3:3">
      <c r="C1611" s="3" t="str">
        <f>CONCATENATE("    This variant is a change at a specific point in the ",B1602," gene from ",B1611," to ",B1612," resulting in incorrect ",B1605,"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7" spans="3:3">
      <c r="C1617" s="3" t="str">
        <f>CONCATENATE("    This variant is a change at a specific point in the ",B1602," gene from ",B1617," to ",B1618," resulting in incorrect ",B1605,"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7" spans="3:3">
      <c r="C1747" s="3" t="str">
        <f>CONCATENATE("    This variant is a change at a specific point in the ",B1738," gene from ",B1747," to ",B1748," resulting in incorrect ",B1741,"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3" spans="3:3">
      <c r="C1753" s="3" t="str">
        <f>CONCATENATE("    This variant is a change at a specific point in the ",B1738," gene from ",B1753," to ",B1754," resulting in incorrect ",B1741,"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3" spans="3:3">
      <c r="C1883" s="3" t="str">
        <f>CONCATENATE("    This variant is a change at a specific point in the ",B1874," gene from ",B1883," to ",B1884," resulting in incorrect ",B1877,"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9" spans="3:3">
      <c r="C1889" s="3" t="str">
        <f>CONCATENATE("    This variant is a change at a specific point in the ",B1874," gene from ",B1889," to ",B1890," resulting in incorrect ",B1877,"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9" spans="3:3">
      <c r="C2019" s="3" t="str">
        <f>CONCATENATE("    This variant is a change at a specific point in the ",B2010," gene from ",B2019," to ",B2020," resulting in incorrect ",B2013,"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25" spans="3:3">
      <c r="C2025" s="3" t="str">
        <f>CONCATENATE("    This variant is a change at a specific point in the ",B2010," gene from ",B2025," to ",B2026," resulting in incorrect ",B2013,"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5" spans="3:3">
      <c r="C2155" s="3" t="str">
        <f>CONCATENATE("    This variant is a change at a specific point in the ",B2146," gene from ",B2155," to ",B2156," resulting in incorrect ",B2149,"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1" spans="3:3">
      <c r="C2161" s="3" t="str">
        <f>CONCATENATE("    This variant is a change at a specific point in the ",B2146," gene from ",B2161," to ",B2162," resulting in incorrect ",B2149,"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1" spans="3:3">
      <c r="C2291" s="3" t="str">
        <f>CONCATENATE("    This variant is a change at a specific point in the ",B2282," gene from ",B2291," to ",B2292," resulting in incorrect ",B2285,"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7" spans="3:3">
      <c r="C2297" s="3" t="str">
        <f>CONCATENATE("    This variant is a change at a specific point in the ",B2282," gene from ",B2297," to ",B2298," resulting in incorrect ",B2285,"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3C06-3F47-41E4-AA51-5E837A06BA0E}">
  <dimension ref="A1:AJ2365"/>
  <sheetViews>
    <sheetView topLeftCell="A115" workbookViewId="0">
      <selection activeCell="B11" sqref="B11"/>
    </sheetView>
  </sheetViews>
  <sheetFormatPr defaultRowHeight="15.75"/>
  <cols>
    <col min="1" max="1" width="16.28515625" style="3" customWidth="1"/>
    <col min="2" max="2" width="42.7109375" style="15" customWidth="1"/>
    <col min="3" max="6" width="9.140625" style="3"/>
    <col min="7" max="7" width="10.28515625" style="3" bestFit="1" customWidth="1"/>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s="2" t="s">
        <v>4</v>
      </c>
      <c r="C2" s="3" t="str">
        <f>CONCATENATE("&lt;",A2," ",B2," /&gt;")</f>
        <v>&lt;Gene_Name MTHFR /&gt;</v>
      </c>
      <c r="D2" s="15"/>
      <c r="H2" s="10"/>
      <c r="I2" s="11"/>
      <c r="J2" s="10"/>
      <c r="K2" s="10"/>
      <c r="L2" s="10"/>
      <c r="Y2" s="12"/>
      <c r="AC2" s="12"/>
      <c r="AF2" s="13"/>
      <c r="AG2" s="13"/>
      <c r="AJ2" s="13"/>
    </row>
    <row r="3" spans="1:36">
      <c r="A3" s="8"/>
      <c r="B3" s="2"/>
      <c r="C3" s="8"/>
      <c r="D3" s="15"/>
      <c r="H3" s="10"/>
      <c r="I3" s="11"/>
      <c r="J3" s="10"/>
      <c r="K3" s="10"/>
      <c r="L3" s="10"/>
      <c r="Y3" s="12"/>
      <c r="AC3" s="12"/>
      <c r="AF3" s="13"/>
      <c r="AG3" s="13"/>
      <c r="AJ3" s="13"/>
    </row>
    <row r="4" spans="1:36" ht="17.25">
      <c r="A4" s="14" t="s">
        <v>37</v>
      </c>
      <c r="B4" s="4" t="s">
        <v>50</v>
      </c>
      <c r="C4" s="3" t="str">
        <f>CONCATENATE("&lt;",A4," ",B4," /&gt;")</f>
        <v>&lt;GeneName_full Methylenetetrahydrofolate reductase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MTHFR gene do?</v>
      </c>
      <c r="H6" s="10"/>
      <c r="I6" s="11"/>
      <c r="J6" s="10"/>
      <c r="K6" s="10"/>
      <c r="L6" s="10"/>
      <c r="Y6" s="16"/>
      <c r="Z6" s="16"/>
      <c r="AA6" s="16"/>
      <c r="AC6" s="16"/>
      <c r="AF6" s="13"/>
      <c r="AJ6" s="13"/>
    </row>
    <row r="7" spans="1:36">
      <c r="A7" s="14"/>
      <c r="I7" s="17"/>
      <c r="Y7" s="16"/>
      <c r="Z7" s="16"/>
      <c r="AA7" s="16"/>
      <c r="AC7" s="16"/>
      <c r="AF7" s="13"/>
      <c r="AJ7" s="13"/>
    </row>
    <row r="8" spans="1:36" ht="17.25">
      <c r="A8" s="14" t="s">
        <v>5</v>
      </c>
      <c r="B8" s="4" t="s">
        <v>34</v>
      </c>
      <c r="C8" s="3" t="str">
        <f>CONCATENATE(B8," This gene is located on chromosome ",B9,".")</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c r="I8" s="17"/>
      <c r="X8" s="18"/>
      <c r="Y8" s="16"/>
      <c r="Z8" s="16"/>
      <c r="AA8" s="16"/>
      <c r="AC8" s="16"/>
    </row>
    <row r="9" spans="1:36">
      <c r="A9" s="14" t="s">
        <v>6</v>
      </c>
      <c r="B9" s="2">
        <v>1</v>
      </c>
      <c r="I9" s="17"/>
      <c r="Y9" s="16"/>
      <c r="Z9" s="16"/>
      <c r="AA9" s="16"/>
      <c r="AC9" s="16"/>
    </row>
    <row r="10" spans="1:36">
      <c r="A10" s="14" t="s">
        <v>7</v>
      </c>
      <c r="B10" s="2" t="s">
        <v>8</v>
      </c>
      <c r="Y10" s="12"/>
      <c r="AC10" s="16"/>
    </row>
    <row r="11" spans="1:36" s="21" customFormat="1" ht="16.5" thickBot="1">
      <c r="A11" s="19"/>
      <c r="B11" s="20"/>
    </row>
    <row r="12" spans="1:36" ht="16.5" thickBot="1">
      <c r="A12" s="14" t="s">
        <v>3</v>
      </c>
      <c r="B12" s="2" t="str">
        <f>B2</f>
        <v>MTHFR</v>
      </c>
      <c r="C12" s="3" t="str">
        <f>CONCATENATE("&lt;GeneMap name= ",CHAR(34),B12,CHAR(34)," interval=",CHAR(34),B13,"=",CHAR(34),"&gt;")</f>
        <v>&lt;GeneMap name= "MTHFR" interval="NC_000001.11 :g.11785730_11806103="&gt;</v>
      </c>
      <c r="J12" s="23"/>
      <c r="K12" s="23"/>
      <c r="L12" s="23"/>
      <c r="M12" s="23"/>
      <c r="N12" s="23"/>
      <c r="O12" s="24"/>
      <c r="P12" s="25"/>
      <c r="Q12" s="24"/>
      <c r="R12" s="24"/>
      <c r="S12" s="25"/>
      <c r="T12" s="25"/>
      <c r="U12" s="24"/>
      <c r="V12" s="24"/>
      <c r="W12" s="25"/>
      <c r="X12" s="25"/>
      <c r="Y12" s="25"/>
      <c r="Z12" s="25"/>
    </row>
    <row r="13" spans="1:36">
      <c r="A13" s="14" t="s">
        <v>9</v>
      </c>
      <c r="B13" s="2" t="s">
        <v>10</v>
      </c>
      <c r="J13" s="15"/>
      <c r="K13" s="15"/>
      <c r="L13" s="15"/>
      <c r="M13" s="15"/>
      <c r="N13" s="15"/>
      <c r="O13" s="15"/>
      <c r="P13" s="15"/>
      <c r="Q13" s="15"/>
      <c r="R13" s="15"/>
      <c r="S13" s="15"/>
      <c r="T13" s="15"/>
      <c r="U13" s="15"/>
      <c r="V13" s="15"/>
      <c r="W13" s="15"/>
      <c r="X13" s="15"/>
      <c r="Y13" s="15"/>
      <c r="Z13" s="15"/>
    </row>
    <row r="14" spans="1:36">
      <c r="A14" s="14" t="s">
        <v>11</v>
      </c>
      <c r="B14" s="2" t="s">
        <v>12</v>
      </c>
      <c r="C14" s="3" t="str">
        <f>CONCATENATE("# What are some common variants of ",B12,"?")</f>
        <v># What are some common variants of MTHFR?</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enzyme function. There are two common variants in MTHFR: [C677T](http://gnomad.broadinstitute.org/variant/1-11856378-G-A) and [A1298C](https://www.ncbi.nlm.nih.gov/projects/SNP/snp_ref.cgi?rs=1801131).</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6" t="s">
        <v>58</v>
      </c>
      <c r="C18" s="3" t="str">
        <f>CONCATENATE("&lt;# ",B19," #&gt;")</f>
        <v>&lt;# C677T #&gt;</v>
      </c>
      <c r="J18" s="15"/>
      <c r="K18" s="15"/>
      <c r="L18" s="15"/>
      <c r="M18" s="15"/>
      <c r="N18" s="15"/>
      <c r="O18" s="15"/>
      <c r="P18" s="15"/>
      <c r="Q18" s="15"/>
      <c r="R18" s="15"/>
      <c r="S18" s="15"/>
      <c r="T18" s="15"/>
      <c r="U18" s="15"/>
      <c r="V18" s="15"/>
      <c r="W18" s="15"/>
      <c r="X18" s="15"/>
      <c r="Y18" s="15"/>
      <c r="Z18" s="15"/>
    </row>
    <row r="19" spans="1:26">
      <c r="A19" s="26" t="s">
        <v>15</v>
      </c>
      <c r="B19" s="6" t="s">
        <v>16</v>
      </c>
      <c r="J19" s="6"/>
      <c r="K19" s="15"/>
      <c r="L19" s="15"/>
      <c r="M19" s="15"/>
      <c r="N19" s="15"/>
      <c r="O19" s="15"/>
      <c r="P19" s="15"/>
      <c r="Q19" s="15"/>
      <c r="R19" s="15"/>
      <c r="S19" s="15"/>
      <c r="T19" s="15"/>
      <c r="U19" s="15"/>
      <c r="V19" s="15"/>
      <c r="W19" s="15"/>
      <c r="X19" s="15"/>
      <c r="Y19" s="15"/>
      <c r="Z19" s="15"/>
    </row>
    <row r="20" spans="1:26">
      <c r="A20" s="26" t="s">
        <v>17</v>
      </c>
      <c r="B20" s="2" t="s">
        <v>18</v>
      </c>
      <c r="C20" s="3" t="str">
        <f>CONCATENATE("  &lt;Variant hgvs=",CHAR(34),B18,CHAR(34)," name=",CHAR(34),B19,CHAR(34),"&gt; ")</f>
        <v xml:space="preserve">  &lt;Variant hgvs="NC_000001.10:g.11856378G&gt;A" name="C677T"&gt; </v>
      </c>
      <c r="J20" s="2"/>
      <c r="K20" s="15"/>
      <c r="L20" s="15"/>
      <c r="M20" s="15"/>
      <c r="N20" s="15"/>
      <c r="O20" s="15"/>
      <c r="P20" s="15"/>
      <c r="Q20" s="15"/>
      <c r="R20" s="15"/>
      <c r="S20" s="15"/>
      <c r="T20" s="15"/>
      <c r="U20" s="15"/>
      <c r="V20" s="15"/>
      <c r="W20" s="15"/>
      <c r="X20" s="15"/>
      <c r="Y20" s="15"/>
      <c r="Z20" s="15"/>
    </row>
    <row r="21" spans="1:26">
      <c r="A21" s="26" t="s">
        <v>19</v>
      </c>
      <c r="B21" s="2" t="s">
        <v>20</v>
      </c>
      <c r="H21" s="15"/>
      <c r="I21" s="15"/>
      <c r="J21" s="2"/>
      <c r="K21" s="15"/>
      <c r="L21" s="15"/>
      <c r="M21" s="15"/>
      <c r="N21" s="15"/>
      <c r="O21" s="15"/>
      <c r="P21" s="15"/>
      <c r="Q21" s="15"/>
      <c r="R21" s="15"/>
      <c r="S21" s="15"/>
      <c r="T21" s="15"/>
      <c r="U21" s="15"/>
      <c r="V21" s="15"/>
      <c r="W21" s="15"/>
      <c r="X21" s="15"/>
      <c r="Y21" s="15"/>
      <c r="Z21" s="15"/>
    </row>
    <row r="22" spans="1:26">
      <c r="A22" s="26" t="s">
        <v>21</v>
      </c>
      <c r="B22" s="7" t="s">
        <v>22</v>
      </c>
      <c r="C22" s="3" t="str">
        <f>CONCATENATE("    Instead of ",B20,", there is a ",B21," nucleotide.")</f>
        <v xml:space="preserve">    Instead of cytosine (C), there is a thymine (T) nucleotide.</v>
      </c>
      <c r="H22" s="15"/>
      <c r="I22" s="15"/>
      <c r="J22" s="7"/>
      <c r="K22" s="15"/>
      <c r="L22" s="15"/>
      <c r="M22" s="15"/>
      <c r="N22" s="15"/>
      <c r="O22" s="15"/>
      <c r="P22" s="15"/>
      <c r="Q22" s="15"/>
      <c r="R22" s="15"/>
      <c r="S22" s="15"/>
      <c r="T22" s="15"/>
      <c r="U22" s="15"/>
      <c r="V22" s="15"/>
      <c r="W22" s="15"/>
      <c r="X22" s="15"/>
      <c r="Y22" s="15"/>
      <c r="Z22" s="15"/>
    </row>
    <row r="23" spans="1:26">
      <c r="A23" s="3" t="s">
        <v>64</v>
      </c>
      <c r="B23" s="3" t="s">
        <v>65</v>
      </c>
      <c r="H23" s="2"/>
      <c r="I23" s="2"/>
      <c r="J23" s="15"/>
      <c r="K23" s="15"/>
      <c r="L23" s="15"/>
      <c r="M23" s="15"/>
      <c r="N23" s="15"/>
      <c r="O23" s="15"/>
      <c r="P23" s="15"/>
      <c r="Q23" s="15"/>
      <c r="R23" s="15"/>
      <c r="S23" s="15"/>
      <c r="T23" s="15"/>
      <c r="U23" s="15"/>
      <c r="V23" s="15"/>
      <c r="W23" s="15"/>
      <c r="X23" s="15"/>
      <c r="Y23" s="15"/>
      <c r="Z23" s="15"/>
    </row>
    <row r="24" spans="1:26">
      <c r="A24" s="3" t="s">
        <v>51</v>
      </c>
      <c r="B24" s="7" t="s">
        <v>59</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60</v>
      </c>
      <c r="J25" s="6"/>
    </row>
    <row r="26" spans="1:26">
      <c r="B26" s="3"/>
      <c r="C26" s="3" t="str">
        <f>CONCATENATE("&lt;# ",B28," #&gt;")</f>
        <v>&lt;# A1298C #&gt;</v>
      </c>
      <c r="J26" s="6"/>
    </row>
    <row r="27" spans="1:26">
      <c r="A27" s="14" t="s">
        <v>14</v>
      </c>
      <c r="B27" s="6" t="s">
        <v>55</v>
      </c>
      <c r="J27" s="2"/>
    </row>
    <row r="28" spans="1:26">
      <c r="A28" s="26" t="s">
        <v>15</v>
      </c>
      <c r="B28" s="7" t="s">
        <v>23</v>
      </c>
      <c r="C28" s="3" t="str">
        <f>CONCATENATE("  &lt;Variant hgvs=",CHAR(34),B27,CHAR(34)," name=",CHAR(34),B28,CHAR(34),"&gt; ")</f>
        <v xml:space="preserve">  &lt;Variant hgvs="NC_000001.10:g.11854476T&gt;G" name="A1298C"&gt; </v>
      </c>
      <c r="J28" s="2"/>
    </row>
    <row r="29" spans="1:26">
      <c r="A29" s="26" t="s">
        <v>17</v>
      </c>
      <c r="B29" s="2" t="s">
        <v>24</v>
      </c>
      <c r="J29" s="7"/>
    </row>
    <row r="30" spans="1:26">
      <c r="A30" s="26" t="s">
        <v>19</v>
      </c>
      <c r="B30" s="2" t="str">
        <f>"cytosine (C)"</f>
        <v>cytosine (C)</v>
      </c>
      <c r="C30" s="3" t="str">
        <f>CONCATENATE("    Instead of ",B29,", there is a ",B30," nucleotide.")</f>
        <v xml:space="preserve">    Instead of adenine (A), there is a cytosine (C) nucleotide.</v>
      </c>
    </row>
    <row r="31" spans="1:26">
      <c r="A31" s="26" t="s">
        <v>21</v>
      </c>
      <c r="B31" s="7" t="s">
        <v>25</v>
      </c>
      <c r="J31" s="7"/>
    </row>
    <row r="32" spans="1:26">
      <c r="A32" s="3" t="s">
        <v>64</v>
      </c>
      <c r="B32" s="3" t="s">
        <v>65</v>
      </c>
      <c r="C32" s="3" t="str">
        <f>"  &lt;/Variant&gt;"</f>
        <v xml:space="preserve">  &lt;/Variant&gt;</v>
      </c>
      <c r="J32" s="7"/>
    </row>
    <row r="33" spans="1:12">
      <c r="A33" s="3" t="s">
        <v>51</v>
      </c>
      <c r="B33" s="3" t="s">
        <v>56</v>
      </c>
    </row>
    <row r="34" spans="1:12">
      <c r="A34" s="26" t="s">
        <v>52</v>
      </c>
      <c r="B34" s="7" t="s">
        <v>57</v>
      </c>
      <c r="C34" s="3" t="s">
        <v>61</v>
      </c>
    </row>
    <row r="35" spans="1:12" s="21" customFormat="1">
      <c r="A35" s="28"/>
      <c r="B35" s="20"/>
    </row>
    <row r="36" spans="1:12" s="10" customFormat="1">
      <c r="A36" s="32"/>
      <c r="B36" s="33"/>
      <c r="C36" s="34" t="s">
        <v>368</v>
      </c>
    </row>
    <row r="37" spans="1:12" s="10" customFormat="1">
      <c r="A37" s="32"/>
      <c r="B37" s="33"/>
      <c r="K37" s="10" t="s">
        <v>53</v>
      </c>
      <c r="L37" s="11" t="s">
        <v>54</v>
      </c>
    </row>
    <row r="38" spans="1:12" s="21" customFormat="1">
      <c r="A38" s="28" t="s">
        <v>69</v>
      </c>
      <c r="B38" s="20" t="str">
        <f>CONCATENATE(B19," (C;T)")</f>
        <v>C677T (C;T)</v>
      </c>
      <c r="C38" s="21" t="str">
        <f>CONCATENATE("&lt;# ",B38," #&gt;")</f>
        <v>&lt;# C677T (C;T) #&gt;</v>
      </c>
      <c r="K38" s="21" t="str">
        <f>B19</f>
        <v>C677T</v>
      </c>
      <c r="L38" s="21" t="str">
        <f>B28</f>
        <v>A1298C</v>
      </c>
    </row>
    <row r="39" spans="1:12" s="10" customFormat="1">
      <c r="A39" s="3" t="s">
        <v>21</v>
      </c>
      <c r="B39" s="29" t="str">
        <f>K42</f>
        <v>NC_000001.10:g.[11856378G&gt;A];[11856378=]</v>
      </c>
      <c r="J39" s="3"/>
      <c r="K39" s="22" t="str">
        <f>B23</f>
        <v>NC_000001.10:g.</v>
      </c>
      <c r="L39" s="22" t="str">
        <f>B32</f>
        <v>NC_000001.10:g.</v>
      </c>
    </row>
    <row r="40" spans="1:12">
      <c r="A40" s="3" t="s">
        <v>71</v>
      </c>
      <c r="B40" s="29" t="str">
        <f>L44</f>
        <v>NC_000001.10:g.[11854476=];[11854476=]</v>
      </c>
      <c r="C40" s="3" t="str">
        <f>CONCATENATE("  &lt;Analysis name=",CHAR(34),B38,CHAR(34))</f>
        <v xml:space="preserve">  &lt;Analysis name="C677T (C;T)"</v>
      </c>
      <c r="J40" s="3" t="s">
        <v>21</v>
      </c>
      <c r="K40" s="15" t="str">
        <f>B24</f>
        <v>[11856378G&gt;A]</v>
      </c>
      <c r="L40" s="22" t="str">
        <f>B33</f>
        <v>[11854476T&gt;G]</v>
      </c>
    </row>
    <row r="41" spans="1:12">
      <c r="A41" s="5" t="s">
        <v>27</v>
      </c>
      <c r="B41" s="2"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41" s="3" t="str">
        <f>CONCATENATE("            case={  variantCall ",CHAR(40),CHAR(34),B39,CHAR(34),CHAR(41))</f>
        <v xml:space="preserve">            case={  variantCall ("NC_000001.10:g.[11856378G&gt;A];[11856378=]")</v>
      </c>
      <c r="J41" s="3" t="s">
        <v>52</v>
      </c>
      <c r="K41" s="15" t="str">
        <f>B25</f>
        <v>[11856378=]</v>
      </c>
      <c r="L41" s="22" t="str">
        <f>B34</f>
        <v>[11854476=]</v>
      </c>
    </row>
    <row r="42" spans="1:12">
      <c r="A42" s="1" t="s">
        <v>28</v>
      </c>
      <c r="B42" s="2" t="s">
        <v>73</v>
      </c>
      <c r="C42" s="3" t="s">
        <v>70</v>
      </c>
      <c r="J42" s="3" t="s">
        <v>62</v>
      </c>
      <c r="K42" s="15" t="str">
        <f>CONCATENATE(K39,K40,";",K41)</f>
        <v>NC_000001.10:g.[11856378G&gt;A];[11856378=]</v>
      </c>
      <c r="L42" s="15" t="str">
        <f>CONCATENATE(L39,L40,";",L41)</f>
        <v>NC_000001.10:g.[11854476T&gt;G];[11854476=]</v>
      </c>
    </row>
    <row r="43" spans="1:12">
      <c r="A43" s="3" t="s">
        <v>72</v>
      </c>
      <c r="B43" s="29">
        <f>K45</f>
        <v>30</v>
      </c>
      <c r="C43" s="3" t="str">
        <f>CONCATENATE("                    variantCall ",CHAR(40),CHAR(34),B40,CHAR(34),CHAR(41))</f>
        <v xml:space="preserve">                    variantCall ("NC_000001.10:g.[11854476=];[11854476=]")</v>
      </c>
      <c r="J43" s="3" t="s">
        <v>63</v>
      </c>
      <c r="K43" s="15" t="str">
        <f>CONCATENATE(K39,K40,";",K40)</f>
        <v>NC_000001.10:g.[11856378G&gt;A];[11856378G&gt;A]</v>
      </c>
      <c r="L43" s="15" t="str">
        <f>CONCATENATE(L39,L40,";",L40)</f>
        <v>NC_000001.10:g.[11854476T&gt;G];[11854476T&gt;G]</v>
      </c>
    </row>
    <row r="44" spans="1:12">
      <c r="C44" s="3" t="str">
        <f>CONCATENATE("                  } &gt; ")</f>
        <v xml:space="preserve">                  } &gt; </v>
      </c>
      <c r="J44" s="3" t="s">
        <v>52</v>
      </c>
      <c r="K44" s="2" t="str">
        <f>CONCATENATE(K39,K41,";",K41)</f>
        <v>NC_000001.10:g.[11856378=];[11856378=]</v>
      </c>
      <c r="L44" s="2" t="str">
        <f>CONCATENATE(L39,L41,";",L41)</f>
        <v>NC_000001.10:g.[11854476=];[11854476=]</v>
      </c>
    </row>
    <row r="45" spans="1:12">
      <c r="J45" s="3" t="s">
        <v>66</v>
      </c>
      <c r="K45" s="15">
        <v>30</v>
      </c>
      <c r="L45" s="15">
        <v>20</v>
      </c>
    </row>
    <row r="46" spans="1:12">
      <c r="A46" s="14"/>
      <c r="C46" s="3" t="s">
        <v>26</v>
      </c>
      <c r="J46" s="3" t="s">
        <v>67</v>
      </c>
      <c r="K46" s="2">
        <v>9</v>
      </c>
      <c r="L46" s="2">
        <v>4</v>
      </c>
    </row>
    <row r="47" spans="1:12">
      <c r="A47" s="26"/>
      <c r="J47" s="3" t="s">
        <v>68</v>
      </c>
      <c r="K47" s="2">
        <v>61</v>
      </c>
      <c r="L47" s="2">
        <v>76</v>
      </c>
    </row>
    <row r="48" spans="1:12">
      <c r="A48" s="14"/>
      <c r="C48" s="3" t="str">
        <f>CONCATENATE("    ",B41)</f>
        <v xml:space="preserve">    People with this variant have one copy of the [C677T](http://gnomad.broadinstitute.org/variant/1-11856378-G-A) variant. This substitution of a single nucleotide is known as a missense mutation.</v>
      </c>
    </row>
    <row r="49" spans="1:3">
      <c r="A49" s="14"/>
    </row>
    <row r="50" spans="1:3">
      <c r="A50" s="26"/>
      <c r="C50" s="3" t="s">
        <v>29</v>
      </c>
    </row>
    <row r="51" spans="1:3">
      <c r="A51" s="14"/>
    </row>
    <row r="52" spans="1:3">
      <c r="A52" s="14"/>
      <c r="C52" s="3" t="str">
        <f>CONCATENATE(B42)</f>
        <v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v>
      </c>
    </row>
    <row r="53" spans="1:3">
      <c r="A53" s="14"/>
    </row>
    <row r="54" spans="1:3">
      <c r="A54" s="14"/>
      <c r="C54" s="3" t="s">
        <v>30</v>
      </c>
    </row>
    <row r="55" spans="1:3">
      <c r="A55" s="26"/>
    </row>
    <row r="56" spans="1:3">
      <c r="A56" s="26"/>
      <c r="C56" s="3" t="str">
        <f>CONCATENATE( "    &lt;piechart percentage=",B43," /&gt;")</f>
        <v xml:space="preserve">    &lt;piechart percentage=30 /&gt;</v>
      </c>
    </row>
    <row r="57" spans="1:3">
      <c r="A57" s="26"/>
      <c r="C57" s="3" t="str">
        <f>"  &lt;/Analysis&gt;"</f>
        <v xml:space="preserve">  &lt;/Analysis&gt;</v>
      </c>
    </row>
    <row r="58" spans="1:3" s="21" customFormat="1">
      <c r="A58" s="28" t="s">
        <v>69</v>
      </c>
      <c r="B58" s="20" t="str">
        <f>CONCATENATE(B19," (T;T)")</f>
        <v>C677T (T;T)</v>
      </c>
      <c r="C58" s="21" t="str">
        <f>CONCATENATE("&lt;# ",B58," #&gt;")</f>
        <v>&lt;# C677T (T;T) #&gt;</v>
      </c>
    </row>
    <row r="59" spans="1:3">
      <c r="A59" s="3" t="s">
        <v>21</v>
      </c>
      <c r="B59" s="29" t="str">
        <f>K43</f>
        <v>NC_000001.10:g.[11856378G&gt;A];[11856378G&gt;A]</v>
      </c>
      <c r="C59" s="10"/>
    </row>
    <row r="60" spans="1:3">
      <c r="A60" s="3" t="s">
        <v>71</v>
      </c>
      <c r="B60" s="29" t="str">
        <f>L44</f>
        <v>NC_000001.10:g.[11854476=];[11854476=]</v>
      </c>
      <c r="C60" s="3" t="str">
        <f>CONCATENATE("  &lt;Analysis name=",CHAR(34),B58,CHAR(34))</f>
        <v xml:space="preserve">  &lt;Analysis name="C677T (T;T)"</v>
      </c>
    </row>
    <row r="61" spans="1:3">
      <c r="A61" s="5" t="s">
        <v>74</v>
      </c>
      <c r="B61" s="2"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61" s="3" t="str">
        <f>CONCATENATE("            case={  variantCall ",CHAR(40),CHAR(34),B59,CHAR(34),CHAR(41))</f>
        <v xml:space="preserve">            case={  variantCall ("NC_000001.10:g.[11856378G&gt;A];[11856378G&gt;A]")</v>
      </c>
    </row>
    <row r="62" spans="1:3">
      <c r="A62" s="1" t="s">
        <v>28</v>
      </c>
      <c r="B62" s="2" t="s">
        <v>75</v>
      </c>
      <c r="C62" s="3" t="s">
        <v>70</v>
      </c>
    </row>
    <row r="63" spans="1:3">
      <c r="A63" s="3" t="s">
        <v>72</v>
      </c>
      <c r="B63" s="29">
        <f>K46</f>
        <v>9</v>
      </c>
      <c r="C63" s="3" t="str">
        <f>CONCATENATE("                    variantCall ",CHAR(40),CHAR(34),B60,CHAR(34),CHAR(41))</f>
        <v xml:space="preserve">                    variantCall ("NC_000001.10:g.[11854476=];[11854476=]")</v>
      </c>
    </row>
    <row r="64" spans="1:3">
      <c r="C64" s="3" t="str">
        <f>CONCATENATE("                  } &gt; ")</f>
        <v xml:space="preserve">                  } &gt; </v>
      </c>
    </row>
    <row r="66" spans="1:12">
      <c r="A66" s="14"/>
      <c r="C66" s="3" t="s">
        <v>26</v>
      </c>
    </row>
    <row r="67" spans="1:12">
      <c r="A67" s="26"/>
    </row>
    <row r="68" spans="1:12">
      <c r="A68" s="14"/>
      <c r="C68" s="3" t="str">
        <f>CONCATENATE("    ",B61)</f>
        <v xml:space="preserve">    People with this variant have two copies of the [C677T](http://gnomad.broadinstitute.org/variant/1-11856378-G-A) variant. This substitution of a single nucleotide is known as a missense mutation.</v>
      </c>
    </row>
    <row r="69" spans="1:12">
      <c r="A69" s="14"/>
    </row>
    <row r="70" spans="1:12">
      <c r="A70" s="26"/>
      <c r="C70" s="3" t="s">
        <v>29</v>
      </c>
    </row>
    <row r="71" spans="1:12">
      <c r="A71" s="14"/>
    </row>
    <row r="72" spans="1:12">
      <c r="A72" s="14"/>
      <c r="C72" s="3" t="str">
        <f>CONCATENATE(B62)</f>
        <v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73" spans="1:12">
      <c r="A73" s="14"/>
    </row>
    <row r="74" spans="1:12">
      <c r="A74" s="14"/>
      <c r="C74" s="3" t="s">
        <v>30</v>
      </c>
    </row>
    <row r="75" spans="1:12">
      <c r="A75" s="26"/>
    </row>
    <row r="76" spans="1:12">
      <c r="A76" s="26"/>
      <c r="C76" s="3" t="str">
        <f>CONCATENATE( "    &lt;piechart percentage=",B63," /&gt;")</f>
        <v xml:space="preserve">    &lt;piechart percentage=9 /&gt;</v>
      </c>
    </row>
    <row r="77" spans="1:12">
      <c r="A77" s="26"/>
      <c r="C77" s="3" t="str">
        <f>"  &lt;/Analysis&gt;"</f>
        <v xml:space="preserve">  &lt;/Analysis&gt;</v>
      </c>
    </row>
    <row r="78" spans="1:12" s="21" customFormat="1">
      <c r="A78" s="28" t="s">
        <v>69</v>
      </c>
      <c r="B78" s="20" t="str">
        <f>CONCATENATE(B28," (A;C)")</f>
        <v>A1298C (A;C)</v>
      </c>
      <c r="C78" s="21" t="str">
        <f>CONCATENATE("&lt;# ",B78," #&gt;")</f>
        <v>&lt;# A1298C (A;C) #&gt;</v>
      </c>
    </row>
    <row r="79" spans="1:12" s="10" customFormat="1">
      <c r="A79" s="3" t="s">
        <v>21</v>
      </c>
      <c r="B79" s="29" t="str">
        <f>K44</f>
        <v>NC_000001.10:g.[11856378=];[11856378=]</v>
      </c>
      <c r="J79" s="3"/>
      <c r="K79" s="22"/>
      <c r="L79" s="22"/>
    </row>
    <row r="80" spans="1:12">
      <c r="A80" s="3" t="s">
        <v>71</v>
      </c>
      <c r="B80" s="29" t="str">
        <f>L42</f>
        <v>NC_000001.10:g.[11854476T&gt;G];[11854476=]</v>
      </c>
      <c r="C80" s="3" t="str">
        <f>CONCATENATE("  &lt;Analysis name=",CHAR(34),B78,CHAR(34))</f>
        <v xml:space="preserve">  &lt;Analysis name="A1298C (A;C)"</v>
      </c>
      <c r="K80" s="15"/>
      <c r="L80" s="22"/>
    </row>
    <row r="81" spans="1:12">
      <c r="A81" s="5" t="s">
        <v>27</v>
      </c>
      <c r="B81" s="2" t="str">
        <f>CONCATENATE("People with this variant have one copy of the ",B31," variant. This substitution of a single nucleotide is known as a missense mutation.")</f>
        <v>People with this variant have one copy of the [A1298C](https://www.ncbi.nlm.nih.gov/projects/SNP/snp_ref.cgi?rs=1801131) variant. This substitution of a single nucleotide is known as a missense mutation.</v>
      </c>
      <c r="C81" s="3" t="str">
        <f>CONCATENATE("            case={  variantCall ",CHAR(40),CHAR(34),B79,CHAR(34),CHAR(41))</f>
        <v xml:space="preserve">            case={  variantCall ("NC_000001.10:g.[11856378=];[11856378=]")</v>
      </c>
      <c r="K81" s="15"/>
      <c r="L81" s="22"/>
    </row>
    <row r="82" spans="1:12">
      <c r="A82" s="1" t="s">
        <v>28</v>
      </c>
      <c r="B82" s="2" t="s">
        <v>75</v>
      </c>
      <c r="C82" s="3" t="s">
        <v>70</v>
      </c>
      <c r="K82" s="15"/>
      <c r="L82" s="15"/>
    </row>
    <row r="83" spans="1:12">
      <c r="A83" s="3" t="s">
        <v>72</v>
      </c>
      <c r="B83" s="29">
        <f>L45</f>
        <v>20</v>
      </c>
      <c r="C83" s="3" t="str">
        <f>CONCATENATE("                    variantCall ",CHAR(40),CHAR(34),B80,CHAR(34),CHAR(41))</f>
        <v xml:space="preserve">                    variantCall ("NC_000001.10:g.[11854476T&gt;G];[11854476=]")</v>
      </c>
      <c r="K83" s="15"/>
      <c r="L83" s="15"/>
    </row>
    <row r="84" spans="1:12">
      <c r="C84" s="3" t="str">
        <f>CONCATENATE("                  } &gt; ")</f>
        <v xml:space="preserve">                  } &gt; </v>
      </c>
      <c r="K84" s="2"/>
      <c r="L84" s="2"/>
    </row>
    <row r="85" spans="1:12">
      <c r="K85" s="15"/>
      <c r="L85" s="15"/>
    </row>
    <row r="86" spans="1:12">
      <c r="A86" s="14"/>
      <c r="C86" s="3" t="s">
        <v>26</v>
      </c>
      <c r="K86" s="2"/>
      <c r="L86" s="2"/>
    </row>
    <row r="87" spans="1:12">
      <c r="A87" s="26"/>
      <c r="K87" s="2"/>
      <c r="L87" s="2"/>
    </row>
    <row r="88" spans="1:12">
      <c r="A88" s="14"/>
      <c r="C88" s="3" t="str">
        <f>CONCATENATE("    ",B81)</f>
        <v xml:space="preserve">    People with this variant have one copy of the [A1298C](https://www.ncbi.nlm.nih.gov/projects/SNP/snp_ref.cgi?rs=1801131) variant. This substitution of a single nucleotide is known as a missense mutation.</v>
      </c>
    </row>
    <row r="89" spans="1:12">
      <c r="A89" s="14"/>
    </row>
    <row r="90" spans="1:12">
      <c r="A90" s="26"/>
      <c r="C90" s="3" t="s">
        <v>29</v>
      </c>
    </row>
    <row r="91" spans="1:12">
      <c r="A91" s="14"/>
    </row>
    <row r="92" spans="1:12">
      <c r="A92" s="14"/>
      <c r="C92" s="3" t="str">
        <f>CONCATENATE(B82)</f>
        <v xml:space="preserve">    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93" spans="1:12">
      <c r="A93" s="14"/>
    </row>
    <row r="94" spans="1:12">
      <c r="A94" s="14"/>
      <c r="C94" s="3" t="s">
        <v>30</v>
      </c>
    </row>
    <row r="95" spans="1:12">
      <c r="A95" s="26"/>
    </row>
    <row r="96" spans="1:12">
      <c r="A96" s="26"/>
      <c r="C96" s="3" t="str">
        <f>CONCATENATE( "    &lt;piechart percentage=",B83," /&gt;")</f>
        <v xml:space="preserve">    &lt;piechart percentage=20 /&gt;</v>
      </c>
    </row>
    <row r="97" spans="1:3">
      <c r="A97" s="26"/>
      <c r="C97" s="3" t="str">
        <f>"  &lt;/Analysis&gt;"</f>
        <v xml:space="preserve">  &lt;/Analysis&gt;</v>
      </c>
    </row>
    <row r="98" spans="1:3" s="21" customFormat="1">
      <c r="A98" s="28" t="s">
        <v>69</v>
      </c>
      <c r="B98" s="20" t="str">
        <f>CONCATENATE(B28," (C;C)")</f>
        <v>A1298C (C;C)</v>
      </c>
      <c r="C98" s="21" t="str">
        <f>CONCATENATE("&lt;# ",B98," #&gt;")</f>
        <v>&lt;# A1298C (C;C) #&gt;</v>
      </c>
    </row>
    <row r="99" spans="1:3">
      <c r="A99" s="3" t="s">
        <v>21</v>
      </c>
      <c r="B99" s="29" t="str">
        <f>K44</f>
        <v>NC_000001.10:g.[11856378=];[11856378=]</v>
      </c>
      <c r="C99" s="10"/>
    </row>
    <row r="100" spans="1:3">
      <c r="A100" s="3" t="s">
        <v>71</v>
      </c>
      <c r="B100" s="29" t="str">
        <f>L43</f>
        <v>NC_000001.10:g.[11854476T&gt;G];[11854476T&gt;G]</v>
      </c>
      <c r="C100" s="3" t="str">
        <f>CONCATENATE("  &lt;Analysis name=",CHAR(34),B98,CHAR(34))</f>
        <v xml:space="preserve">  &lt;Analysis name="A1298C (C;C)"</v>
      </c>
    </row>
    <row r="101" spans="1:3">
      <c r="A101" s="5" t="s">
        <v>74</v>
      </c>
      <c r="B101" s="2" t="str">
        <f>CONCATENATE("People with this variant have two copies of the ",B31," variant. This substitution of a single nucleotide is known as a missense mutation.")</f>
        <v>People with this variant have two copies of the [A1298C](https://www.ncbi.nlm.nih.gov/projects/SNP/snp_ref.cgi?rs=1801131) variant. This substitution of a single nucleotide is known as a missense mutation.</v>
      </c>
      <c r="C101" s="3" t="str">
        <f>CONCATENATE("            case={  variantCall ",CHAR(40),CHAR(34),B99,CHAR(34),CHAR(41))</f>
        <v xml:space="preserve">            case={  variantCall ("NC_000001.10:g.[11856378=];[11856378=]")</v>
      </c>
    </row>
    <row r="102" spans="1:3">
      <c r="A102" s="1" t="s">
        <v>28</v>
      </c>
      <c r="B102" s="2" t="s">
        <v>73</v>
      </c>
      <c r="C102" s="3" t="s">
        <v>70</v>
      </c>
    </row>
    <row r="103" spans="1:3">
      <c r="A103" s="3" t="s">
        <v>72</v>
      </c>
      <c r="B103" s="29">
        <f>L46</f>
        <v>4</v>
      </c>
      <c r="C103" s="3" t="str">
        <f>CONCATENATE("                    variantCall ",CHAR(40),CHAR(34),B100,CHAR(34),CHAR(41))</f>
        <v xml:space="preserve">                    variantCall ("NC_000001.10:g.[11854476T&gt;G];[11854476T&gt;G]")</v>
      </c>
    </row>
    <row r="104" spans="1:3">
      <c r="C104" s="3" t="str">
        <f>CONCATENATE("                  } &gt; ")</f>
        <v xml:space="preserve">                  } &gt; </v>
      </c>
    </row>
    <row r="106" spans="1:3">
      <c r="A106" s="14"/>
      <c r="C106" s="3" t="s">
        <v>26</v>
      </c>
    </row>
    <row r="107" spans="1:3">
      <c r="A107" s="26"/>
    </row>
    <row r="108" spans="1:3">
      <c r="A108" s="14"/>
      <c r="C108" s="3" t="str">
        <f>CONCATENATE("    ",B101)</f>
        <v xml:space="preserve">    People with this variant have two copies of the [A1298C](https://www.ncbi.nlm.nih.gov/projects/SNP/snp_ref.cgi?rs=1801131) variant. This substitution of a single nucleotide is known as a missense mutation.</v>
      </c>
    </row>
    <row r="109" spans="1:3">
      <c r="A109" s="14"/>
    </row>
    <row r="110" spans="1:3">
      <c r="A110" s="26"/>
      <c r="C110" s="3" t="s">
        <v>29</v>
      </c>
    </row>
    <row r="111" spans="1:3">
      <c r="A111" s="14"/>
    </row>
    <row r="112" spans="1:3">
      <c r="A112" s="14"/>
      <c r="C112" s="3" t="str">
        <f>CONCATENATE(B102)</f>
        <v xml:space="preserve">    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
    # What should I do about this?
    Some people with mild loss of function variant may benefit from supplementing their diets with an [oral folic acid](https://www.ncbi.nlm.nih.gov/pubmed/25902009) supplement. Consult your physician. </v>
      </c>
    </row>
    <row r="113" spans="1:3">
      <c r="A113" s="14"/>
    </row>
    <row r="114" spans="1:3">
      <c r="A114" s="14"/>
      <c r="C114" s="3" t="s">
        <v>30</v>
      </c>
    </row>
    <row r="115" spans="1:3">
      <c r="A115" s="26"/>
    </row>
    <row r="116" spans="1:3">
      <c r="A116" s="26"/>
      <c r="C116" s="3" t="str">
        <f>CONCATENATE( "    &lt;piechart percentage=",B103," /&gt;")</f>
        <v xml:space="preserve">    &lt;piechart percentage=4 /&gt;</v>
      </c>
    </row>
    <row r="117" spans="1:3">
      <c r="A117" s="26"/>
      <c r="C117" s="3" t="str">
        <f>"  &lt;/Analysis&gt;"</f>
        <v xml:space="preserve">  &lt;/Analysis&gt;</v>
      </c>
    </row>
    <row r="118" spans="1:3" s="21" customFormat="1">
      <c r="A118" s="28" t="s">
        <v>69</v>
      </c>
      <c r="B118" s="20" t="str">
        <f>CONCATENATE(B38," and ",B78)</f>
        <v>C677T (C;T) and A1298C (A;C)</v>
      </c>
      <c r="C118" s="21" t="str">
        <f>CONCATENATE("&lt;# ",B118," #&gt;")</f>
        <v>&lt;# C677T (C;T) and A1298C (A;C) #&gt;</v>
      </c>
    </row>
    <row r="119" spans="1:3">
      <c r="A119" s="14" t="s">
        <v>21</v>
      </c>
      <c r="B119" s="15" t="str">
        <f>K42</f>
        <v>NC_000001.10:g.[11856378G&gt;A];[11856378=]</v>
      </c>
    </row>
    <row r="120" spans="1:3">
      <c r="A120" s="14" t="s">
        <v>71</v>
      </c>
      <c r="B120" s="15" t="str">
        <f>L42</f>
        <v>NC_000001.10:g.[11854476T&gt;G];[11854476=]</v>
      </c>
      <c r="C120" s="3" t="str">
        <f>CONCATENATE("  &lt;Analysis name=",CHAR(34),B118,CHAR(34))</f>
        <v xml:space="preserve">  &lt;Analysis name="C677T (C;T) and A1298C (A;C)"</v>
      </c>
    </row>
    <row r="121" spans="1:3">
      <c r="A121" s="26" t="s">
        <v>74</v>
      </c>
      <c r="B121" s="15" t="str">
        <f>CONCATENATE("People with this variant have two copies of the ",B51," variant. This substitution of a single nucleotide is known as a missense mutation.")</f>
        <v>People with this variant have two copies of the  variant. This substitution of a single nucleotide is known as a missense mutation.</v>
      </c>
      <c r="C121" s="3" t="str">
        <f>CONCATENATE("            case={  variantCall ",CHAR(40),CHAR(34),B119,CHAR(34),CHAR(41))</f>
        <v xml:space="preserve">            case={  variantCall ("NC_000001.10:g.[11856378G&gt;A];[11856378=]")</v>
      </c>
    </row>
    <row r="122" spans="1:3">
      <c r="A122" s="26" t="s">
        <v>28</v>
      </c>
      <c r="B122" s="15" t="s">
        <v>76</v>
      </c>
      <c r="C122" s="3" t="s">
        <v>70</v>
      </c>
    </row>
    <row r="123" spans="1:3">
      <c r="A123" s="26" t="s">
        <v>72</v>
      </c>
      <c r="B123" s="15">
        <v>6</v>
      </c>
      <c r="C123" s="3" t="str">
        <f>CONCATENATE("                    variantCall ",CHAR(40),CHAR(34),B120,CHAR(34),CHAR(41))</f>
        <v xml:space="preserve">                    variantCall ("NC_000001.10:g.[11854476T&gt;G];[11854476=]")</v>
      </c>
    </row>
    <row r="124" spans="1:3">
      <c r="A124" s="26"/>
      <c r="C124" s="3" t="str">
        <f>CONCATENATE("                  } &gt; ")</f>
        <v xml:space="preserve">                  } &gt; </v>
      </c>
    </row>
    <row r="125" spans="1:3">
      <c r="A125" s="26"/>
    </row>
    <row r="126" spans="1:3">
      <c r="A126" s="26"/>
      <c r="C126" s="3" t="s">
        <v>26</v>
      </c>
    </row>
    <row r="127" spans="1:3">
      <c r="A127" s="14"/>
    </row>
    <row r="128" spans="1:3">
      <c r="A128" s="14"/>
      <c r="C128" s="3" t="str">
        <f>CONCATENATE("    ",B121)</f>
        <v xml:space="preserve">    People with this variant have two copies of the  variant. This substitution of a single nucleotide is known as a missense mutation.</v>
      </c>
    </row>
    <row r="129" spans="1:3">
      <c r="A129" s="14"/>
    </row>
    <row r="130" spans="1:3">
      <c r="A130" s="14"/>
      <c r="C130" s="3" t="s">
        <v>29</v>
      </c>
    </row>
    <row r="131" spans="1:3">
      <c r="A131" s="14"/>
    </row>
    <row r="132" spans="1:3">
      <c r="A132" s="26"/>
      <c r="C132" s="3" t="str">
        <f>CONCATENATE(B122)</f>
        <v xml:space="preserve">
    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 What should I do about this?
    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33" spans="1:3">
      <c r="A133" s="26"/>
    </row>
    <row r="134" spans="1:3">
      <c r="A134" s="26"/>
      <c r="C134" s="3" t="s">
        <v>30</v>
      </c>
    </row>
    <row r="135" spans="1:3">
      <c r="A135" s="26"/>
    </row>
    <row r="136" spans="1:3">
      <c r="A136" s="26"/>
      <c r="C136" s="3" t="str">
        <f>CONCATENATE( "    &lt;piechart percentage=",B123," /&gt;")</f>
        <v xml:space="preserve">    &lt;piechart percentage=6 /&gt;</v>
      </c>
    </row>
    <row r="137" spans="1:3">
      <c r="A137" s="26"/>
      <c r="C137" s="3" t="str">
        <f>"  &lt;/Analysis&gt;"</f>
        <v xml:space="preserve">  &lt;/Analysis&gt;</v>
      </c>
    </row>
    <row r="138" spans="1:3" s="21" customFormat="1">
      <c r="A138" s="28" t="s">
        <v>69</v>
      </c>
      <c r="B138" s="20" t="s">
        <v>83</v>
      </c>
      <c r="C138" s="21" t="str">
        <f>CONCATENATE("&lt;# ",B138," #&gt;")</f>
        <v>&lt;# Wild type #&gt;</v>
      </c>
    </row>
    <row r="139" spans="1:3">
      <c r="A139" s="14" t="s">
        <v>21</v>
      </c>
      <c r="B139" s="15" t="str">
        <f>K44</f>
        <v>NC_000001.10:g.[11856378=];[11856378=]</v>
      </c>
    </row>
    <row r="140" spans="1:3">
      <c r="A140" s="14" t="s">
        <v>71</v>
      </c>
      <c r="B140" s="15" t="str">
        <f>L44</f>
        <v>NC_000001.10:g.[11854476=];[11854476=]</v>
      </c>
      <c r="C140" s="3" t="str">
        <f>CONCATENATE("  &lt;Analysis name=",CHAR(34),B138,CHAR(34))</f>
        <v xml:space="preserve">  &lt;Analysis name="Wild type"</v>
      </c>
    </row>
    <row r="141" spans="1:3">
      <c r="A141" s="26" t="s">
        <v>74</v>
      </c>
      <c r="B141" s="15" t="str">
        <f>CONCATENATE("Your ",B12," gene has no variants. A normal gene is referred to as a ",CHAR(34),"wild-type",CHAR(34)," gene.")</f>
        <v>Your MTHFR gene has no variants. A normal gene is referred to as a "wild-type" gene.</v>
      </c>
      <c r="C141" s="3" t="str">
        <f>CONCATENATE("            case={  variantCall ",CHAR(40),CHAR(34),B139,CHAR(34),CHAR(41))</f>
        <v xml:space="preserve">            case={  variantCall ("NC_000001.10:g.[11856378=];[11856378=]")</v>
      </c>
    </row>
    <row r="142" spans="1:3">
      <c r="A142" s="26" t="s">
        <v>28</v>
      </c>
      <c r="C142" s="3" t="s">
        <v>70</v>
      </c>
    </row>
    <row r="143" spans="1:3">
      <c r="A143" s="26" t="s">
        <v>72</v>
      </c>
      <c r="B143" s="15">
        <v>61</v>
      </c>
      <c r="C143" s="3" t="str">
        <f>CONCATENATE("                    variantCall ",CHAR(40),CHAR(34),B140,CHAR(34),CHAR(41))</f>
        <v xml:space="preserve">                    variantCall ("NC_000001.10:g.[11854476=];[11854476=]")</v>
      </c>
    </row>
    <row r="144" spans="1:3">
      <c r="A144" s="26"/>
      <c r="C144" s="3" t="str">
        <f>CONCATENATE("                  } &gt; ")</f>
        <v xml:space="preserve">                  } &gt; </v>
      </c>
    </row>
    <row r="145" spans="1:3">
      <c r="A145" s="26"/>
    </row>
    <row r="146" spans="1:3">
      <c r="A146" s="26"/>
      <c r="C146" s="3" t="s">
        <v>26</v>
      </c>
    </row>
    <row r="147" spans="1:3">
      <c r="A147" s="14"/>
    </row>
    <row r="148" spans="1:3">
      <c r="A148" s="14"/>
      <c r="C148" s="3" t="str">
        <f>CONCATENATE("    ",B141)</f>
        <v xml:space="preserve">    Your MTHFR gene has no variants. A normal gene is referred to as a "wild-type" gene.</v>
      </c>
    </row>
    <row r="149" spans="1:3">
      <c r="A149" s="14"/>
    </row>
    <row r="150" spans="1:3">
      <c r="A150" s="26"/>
      <c r="C150" s="3" t="s">
        <v>30</v>
      </c>
    </row>
    <row r="151" spans="1:3">
      <c r="A151" s="26"/>
    </row>
    <row r="152" spans="1:3">
      <c r="A152" s="26"/>
      <c r="C152" s="3" t="str">
        <f>CONCATENATE( "    &lt;piechart percentage=",B143," /&gt;")</f>
        <v xml:space="preserve">    &lt;piechart percentage=61 /&gt;</v>
      </c>
    </row>
    <row r="153" spans="1:3">
      <c r="A153" s="26"/>
      <c r="C153" s="3" t="str">
        <f>"  &lt;/Analysis&gt;"</f>
        <v xml:space="preserve">  &lt;/Analysis&gt;</v>
      </c>
    </row>
    <row r="154" spans="1:3" s="21" customFormat="1">
      <c r="A154" s="28" t="s">
        <v>69</v>
      </c>
      <c r="B154" s="20" t="s">
        <v>84</v>
      </c>
      <c r="C154" s="21" t="str">
        <f>CONCATENATE("&lt;# ",B154," #&gt;")</f>
        <v>&lt;# Unknown #&gt;</v>
      </c>
    </row>
    <row r="155" spans="1:3">
      <c r="A155" s="14" t="s">
        <v>21</v>
      </c>
      <c r="B155" s="15">
        <f>K60</f>
        <v>0</v>
      </c>
    </row>
    <row r="156" spans="1:3">
      <c r="A156" s="14" t="s">
        <v>71</v>
      </c>
      <c r="C156" s="3" t="str">
        <f>CONCATENATE("  &lt;Analysis name=",CHAR(34),B154,CHAR(34), " case=true&gt;")</f>
        <v xml:space="preserve">  &lt;Analysis name="Unknown" case=true&gt;</v>
      </c>
    </row>
    <row r="157" spans="1:3">
      <c r="A157" s="26" t="s">
        <v>74</v>
      </c>
      <c r="B157" s="15" t="s">
        <v>31</v>
      </c>
    </row>
    <row r="158" spans="1:3">
      <c r="A158" s="26" t="s">
        <v>72</v>
      </c>
      <c r="B158" s="15">
        <v>0</v>
      </c>
      <c r="C158" s="3" t="s">
        <v>26</v>
      </c>
    </row>
    <row r="159" spans="1:3">
      <c r="A159" s="26"/>
    </row>
    <row r="160" spans="1:3">
      <c r="A160" s="14"/>
      <c r="C160" s="3" t="str">
        <f>CONCATENATE("    ",B157)</f>
        <v xml:space="preserve">    The effect is unknown.</v>
      </c>
    </row>
    <row r="161" spans="1:3">
      <c r="A161" s="14"/>
    </row>
    <row r="162" spans="1:3">
      <c r="A162" s="14"/>
      <c r="C162" s="3" t="s">
        <v>30</v>
      </c>
    </row>
    <row r="163" spans="1:3">
      <c r="A163" s="26"/>
    </row>
    <row r="164" spans="1:3">
      <c r="A164" s="26"/>
      <c r="C164" s="3" t="str">
        <f>CONCATENATE( "    &lt;piechart percentage=",B158," /&gt;")</f>
        <v xml:space="preserve">    &lt;piechart percentage=0 /&gt;</v>
      </c>
    </row>
    <row r="165" spans="1:3">
      <c r="A165" s="26"/>
      <c r="C165" s="3" t="str">
        <f>"  &lt;/Analysis&gt;"</f>
        <v xml:space="preserve">  &lt;/Analysis&gt;</v>
      </c>
    </row>
    <row r="166" spans="1:3">
      <c r="A166" s="14"/>
      <c r="C166" s="31" t="s">
        <v>369</v>
      </c>
    </row>
    <row r="167" spans="1:3" s="21" customFormat="1">
      <c r="A167" s="19"/>
      <c r="B167" s="20"/>
      <c r="C167" s="35"/>
    </row>
    <row r="168" spans="1:3">
      <c r="A168" s="14" t="s">
        <v>77</v>
      </c>
      <c r="B168" s="15" t="s">
        <v>78</v>
      </c>
      <c r="C168" s="10" t="str">
        <f>CONCATENATE("&lt;# ",A168," ",B168," #&gt;")</f>
        <v>&lt;# Tissues endocrineSystem and pancreas #&gt;</v>
      </c>
    </row>
    <row r="169" spans="1:3">
      <c r="A169" s="14"/>
    </row>
    <row r="170" spans="1:3">
      <c r="A170" s="14"/>
      <c r="B170" s="15" t="s">
        <v>79</v>
      </c>
      <c r="C170" s="31" t="str">
        <f>CONCATENATE("&lt;TopicBar ",B170," /&gt;")</f>
        <v>&lt;TopicBar endocrineSystem pancreas /&gt;</v>
      </c>
    </row>
    <row r="171" spans="1:3">
      <c r="A171" s="14"/>
    </row>
    <row r="172" spans="1:3">
      <c r="A172" s="14" t="s">
        <v>32</v>
      </c>
      <c r="B172" s="15" t="s">
        <v>33</v>
      </c>
      <c r="C172" s="10" t="str">
        <f>CONCATENATE("&lt;# ",A172," ",B172," #&gt;")</f>
        <v>&lt;# Symptoms fatigue D005221 memory problems D008569 inflamation D007249 #&gt;</v>
      </c>
    </row>
    <row r="173" spans="1:3">
      <c r="A173" s="14"/>
    </row>
    <row r="174" spans="1:3">
      <c r="A174" s="14"/>
      <c r="B174" s="15" t="s">
        <v>80</v>
      </c>
      <c r="C174" s="31" t="str">
        <f>CONCATENATE("&lt;TopicBar ",B174," /&gt;")</f>
        <v>&lt;TopicBar mesh_D005221 mesh_D008569 mesh_D007249 /&gt;</v>
      </c>
    </row>
    <row r="175" spans="1:3">
      <c r="A175" s="14"/>
      <c r="C175" s="31"/>
    </row>
    <row r="176" spans="1:3">
      <c r="A176" s="14" t="s">
        <v>48</v>
      </c>
      <c r="B176" s="15" t="s">
        <v>81</v>
      </c>
      <c r="C176" s="10" t="str">
        <f>CONCATENATE("&lt;# ",A176," ",B176," #&gt;")</f>
        <v>&lt;# Diseases depression D003866 hypothyroid D007037  #&gt;</v>
      </c>
    </row>
    <row r="177" spans="1:3">
      <c r="A177" s="14"/>
    </row>
    <row r="178" spans="1:3">
      <c r="A178" s="14"/>
      <c r="B178" s="15" t="s">
        <v>82</v>
      </c>
      <c r="C178" s="31" t="str">
        <f>CONCATENATE("&lt;TopicBar ",B178," /&gt;")</f>
        <v>&lt;TopicBar mesh_D003866 mesh_D007037  /&gt;</v>
      </c>
    </row>
    <row r="179" spans="1:3">
      <c r="A179" s="14"/>
    </row>
    <row r="180" spans="1:3" s="21" customFormat="1">
      <c r="A180" s="28"/>
      <c r="B180" s="20"/>
    </row>
    <row r="181" spans="1:3">
      <c r="B181" s="30"/>
    </row>
    <row r="183" spans="1:3">
      <c r="B183" s="30"/>
    </row>
    <row r="185" spans="1:3">
      <c r="B185" s="30"/>
    </row>
    <row r="187" spans="1:3">
      <c r="B187" s="30"/>
    </row>
    <row r="189" spans="1:3">
      <c r="B189" s="3"/>
    </row>
    <row r="191" spans="1:3">
      <c r="B191" s="3"/>
    </row>
    <row r="863" spans="3:3">
      <c r="C863" s="3" t="str">
        <f>CONCATENATE("    This variant is a change at a specific point in the ",B854," gene from ",B863," to ",B864," resulting in incorrect ",B857,"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9" spans="3:3">
      <c r="C869" s="3" t="str">
        <f>CONCATENATE("    This variant is a change at a specific point in the ",B854," gene from ",B869," to ",B870," resulting in incorrect ",B857,"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c r="C999" s="3" t="str">
        <f>CONCATENATE("    This variant is a change at a specific point in the ",B990," gene from ",B999," to ",B1000," resulting in incorrect ",B993,"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5" spans="3:3">
      <c r="C1005" s="3" t="str">
        <f>CONCATENATE("    This variant is a change at a specific point in the ",B990," gene from ",B1005," to ",B1006," resulting in incorrect ",B993,"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c r="C1407" s="3" t="str">
        <f>CONCATENATE("    This variant is a change at a specific point in the ",B1398," gene from ",B1407," to ",B1408," resulting in incorrect ",B1401,"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13" spans="3:3">
      <c r="C1413" s="3" t="str">
        <f>CONCATENATE("    This variant is a change at a specific point in the ",B1398," gene from ",B1413," to ",B1414," resulting in incorrect ",B1401,"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c r="C1543" s="3" t="str">
        <f>CONCATENATE("    This variant is a change at a specific point in the ",B1534," gene from ",B1543," to ",B1544," resulting in incorrect ",B1537,"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9" spans="3:3">
      <c r="C1549" s="3" t="str">
        <f>CONCATENATE("    This variant is a change at a specific point in the ",B1534," gene from ",B1549," to ",B1550," resulting in incorrect ",B1537,"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c r="C1679" s="3" t="str">
        <f>CONCATENATE("    This variant is a change at a specific point in the ",B1670," gene from ",B1679," to ",B1680," resulting in incorrect ",B1673,"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5" spans="3:3">
      <c r="C1685" s="3" t="str">
        <f>CONCATENATE("    This variant is a change at a specific point in the ",B1670," gene from ",B1685," to ",B1686," resulting in incorrect ",B1673,"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c r="C1815" s="3" t="str">
        <f>CONCATENATE("    This variant is a change at a specific point in the ",B1806," gene from ",B1815," to ",B1816," resulting in incorrect ",B1809,"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21" spans="3:3">
      <c r="C1821" s="3" t="str">
        <f>CONCATENATE("    This variant is a change at a specific point in the ",B1806," gene from ",B1821," to ",B1822," resulting in incorrect ",B1809,"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c r="C1951" s="3" t="str">
        <f>CONCATENATE("    This variant is a change at a specific point in the ",B1942," gene from ",B1951," to ",B1952," resulting in incorrect ",B1945,"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7" spans="3:3">
      <c r="C1957" s="3" t="str">
        <f>CONCATENATE("    This variant is a change at a specific point in the ",B1942," gene from ",B1957," to ",B1958," resulting in incorrect ",B1945,"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c r="C2087" s="3" t="str">
        <f>CONCATENATE("    This variant is a change at a specific point in the ",B2078," gene from ",B2087," to ",B2088," resulting in incorrect ",B2081,"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93" spans="3:3">
      <c r="C2093" s="3" t="str">
        <f>CONCATENATE("    This variant is a change at a specific point in the ",B2078," gene from ",B2093," to ",B2094," resulting in incorrect ",B2081,"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c r="C2223" s="3" t="str">
        <f>CONCATENATE("    This variant is a change at a specific point in the ",B2214," gene from ",B2223," to ",B2224," resulting in incorrect ",B2217,"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9" spans="3:3">
      <c r="C2229" s="3" t="str">
        <f>CONCATENATE("    This variant is a change at a specific point in the ",B2214," gene from ",B2229," to ",B2230," resulting in incorrect ",B2217,"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c r="C2359" s="3" t="str">
        <f>CONCATENATE("    This variant is a change at a specific point in the ",B2350," gene from ",B2359," to ",B2360," resulting in incorrect ",B2353,"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5" spans="3:3">
      <c r="C2365" s="3" t="str">
        <f>CONCATENATE("    This variant is a change at a specific point in the ",B2350," gene from ",B2365," to ",B2366," resulting in incorrect ",B2353,"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40DA-9F8F-4C0A-AD40-7FCDCB3E90F4}">
  <dimension ref="A1:AJ2425"/>
  <sheetViews>
    <sheetView topLeftCell="A60" workbookViewId="0">
      <selection activeCell="B62" sqref="B62"/>
    </sheetView>
  </sheetViews>
  <sheetFormatPr defaultRowHeight="15.75"/>
  <cols>
    <col min="1" max="1" width="16.28515625" style="3" customWidth="1"/>
    <col min="2" max="2" width="42.7109375" style="15" customWidth="1"/>
    <col min="3" max="6" width="9.140625" style="3"/>
    <col min="7" max="7" width="10.28515625" style="3" bestFit="1" customWidth="1"/>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c r="A1" s="8" t="s">
        <v>0</v>
      </c>
      <c r="B1" s="9" t="s">
        <v>1</v>
      </c>
      <c r="C1" s="8" t="s">
        <v>2</v>
      </c>
      <c r="H1" s="10"/>
      <c r="I1" s="11"/>
      <c r="J1" s="10"/>
      <c r="K1" s="10"/>
      <c r="L1" s="10"/>
      <c r="Y1" s="12"/>
      <c r="AC1" s="12"/>
      <c r="AF1" s="13"/>
      <c r="AG1" s="13"/>
      <c r="AJ1" s="13"/>
    </row>
    <row r="2" spans="1:36">
      <c r="A2" s="14" t="s">
        <v>35</v>
      </c>
      <c r="B2" s="2" t="s">
        <v>36</v>
      </c>
      <c r="C2" s="3" t="str">
        <f>CONCATENATE("&lt;",A2," ",B2," /&gt;")</f>
        <v>&lt;Gene_Name CHRNA3 /&gt;</v>
      </c>
      <c r="D2" s="15"/>
      <c r="H2" s="10"/>
      <c r="I2" s="11"/>
      <c r="J2" s="10"/>
      <c r="K2" s="10"/>
      <c r="L2" s="10"/>
      <c r="Y2" s="12"/>
      <c r="AC2" s="12"/>
      <c r="AF2" s="13"/>
      <c r="AG2" s="13"/>
      <c r="AJ2" s="13"/>
    </row>
    <row r="3" spans="1:36">
      <c r="A3" s="8"/>
      <c r="B3" s="2"/>
      <c r="C3" s="8"/>
      <c r="D3" s="15"/>
      <c r="H3" s="10"/>
      <c r="I3" s="11"/>
      <c r="J3" s="10"/>
      <c r="K3" s="10"/>
      <c r="L3" s="10"/>
      <c r="Y3" s="12"/>
      <c r="AC3" s="12"/>
      <c r="AF3" s="13"/>
      <c r="AG3" s="13"/>
      <c r="AJ3" s="13"/>
    </row>
    <row r="4" spans="1:36" ht="17.25">
      <c r="A4" s="14" t="s">
        <v>37</v>
      </c>
      <c r="B4" s="4" t="s">
        <v>38</v>
      </c>
      <c r="C4" s="3" t="str">
        <f>CONCATENATE("&lt;",A4," ",B4," /&gt;")</f>
        <v>&lt;GeneName_full Neuronal acetylcholine receptor subunit alpha-3 /&gt;</v>
      </c>
      <c r="D4" s="15"/>
      <c r="H4" s="10"/>
      <c r="I4" s="11"/>
      <c r="J4" s="10"/>
      <c r="K4" s="10"/>
      <c r="L4" s="10"/>
      <c r="Y4" s="12"/>
      <c r="AC4" s="12"/>
      <c r="AF4" s="13"/>
      <c r="AG4" s="13"/>
      <c r="AJ4" s="13"/>
    </row>
    <row r="5" spans="1:36">
      <c r="A5" s="14"/>
      <c r="B5" s="9"/>
      <c r="C5" s="8"/>
      <c r="D5" s="15"/>
      <c r="H5" s="10"/>
      <c r="I5" s="11"/>
      <c r="J5" s="10"/>
      <c r="K5" s="10"/>
      <c r="L5" s="10"/>
      <c r="Y5" s="12"/>
      <c r="AC5" s="12"/>
      <c r="AF5" s="13"/>
      <c r="AG5" s="13"/>
      <c r="AJ5" s="13"/>
    </row>
    <row r="6" spans="1:36">
      <c r="A6" s="14"/>
      <c r="B6" s="3"/>
      <c r="C6" s="3" t="str">
        <f>CONCATENATE("# What does the ",B2," gene do?")</f>
        <v># What does the CHRNA3 gene do?</v>
      </c>
      <c r="H6" s="10"/>
      <c r="I6" s="11"/>
      <c r="J6" s="10"/>
      <c r="K6" s="10"/>
      <c r="L6" s="10"/>
      <c r="Y6" s="16"/>
      <c r="Z6" s="16"/>
      <c r="AA6" s="16"/>
      <c r="AC6" s="16"/>
      <c r="AF6" s="13"/>
      <c r="AJ6" s="13"/>
    </row>
    <row r="7" spans="1:36">
      <c r="A7" s="14"/>
      <c r="I7" s="17"/>
      <c r="Y7" s="16"/>
      <c r="Z7" s="16"/>
      <c r="AA7" s="16"/>
      <c r="AC7" s="16"/>
      <c r="AF7" s="13"/>
      <c r="AJ7" s="13"/>
    </row>
    <row r="8" spans="1:36" ht="17.25">
      <c r="A8" s="14" t="s">
        <v>5</v>
      </c>
      <c r="B8" s="4" t="s">
        <v>39</v>
      </c>
      <c r="C8" s="3" t="str">
        <f>CONCATENATE(B8," This gene is located on chromosome ",B9,".")</f>
        <v>CHRNA3 encodes a neurotransmitter called [acetylcholine](http://www.uniprot.org/citations/8906617) that regulates the creation and destruction of nicotine receptors in the nervous system. It also controls [serotonin](https://www.ebi.ac.uk/QuickGO/term/GO:0022850) channels in the brain. Variants in this gene have been associated with [nicotine dependence](https://www.ncbi.nlm.nih.gov/pubmed/22290489), [lung cancer](https://www.ncbi.nlm.nih.gov/pubmed/19836008), [COPD](https://www.ncbi.nlm.nih.gov/pubmed/24621683) (Chronic Obstructive Pulmonary Disease), [cocaine dependence](https://www.ncbi.nlm.nih.gov/pubmed/20485328), and ME/[CFS](https://www.ncbi.nlm.nih.gov/pubmed/27099524). This gene is located on chromosome 15.</v>
      </c>
      <c r="I8" s="17"/>
      <c r="X8" s="18"/>
      <c r="Y8" s="16"/>
      <c r="Z8" s="16"/>
      <c r="AA8" s="16"/>
      <c r="AC8" s="16"/>
    </row>
    <row r="9" spans="1:36">
      <c r="A9" s="14" t="s">
        <v>6</v>
      </c>
      <c r="B9" s="2">
        <v>15</v>
      </c>
      <c r="I9" s="17"/>
      <c r="Y9" s="16"/>
      <c r="Z9" s="16"/>
      <c r="AA9" s="16"/>
      <c r="AC9" s="16"/>
    </row>
    <row r="10" spans="1:36">
      <c r="A10" s="14" t="s">
        <v>7</v>
      </c>
      <c r="B10" s="2" t="s">
        <v>40</v>
      </c>
      <c r="Y10" s="12"/>
      <c r="AC10" s="16"/>
    </row>
    <row r="11" spans="1:36" s="21" customFormat="1" ht="16.5" thickBot="1">
      <c r="A11" s="19"/>
      <c r="B11" s="20"/>
    </row>
    <row r="12" spans="1:36" ht="16.5" thickBot="1">
      <c r="A12" s="14" t="s">
        <v>3</v>
      </c>
      <c r="B12" s="2" t="s">
        <v>36</v>
      </c>
      <c r="C12" s="3" t="str">
        <f>CONCATENATE("&lt;GeneMap name= ",CHAR(34),B12,CHAR(34)," interval=",CHAR(34),B13,"=",CHAR(34),"&gt;")</f>
        <v>&lt;GeneMap name= "CHRNA3" interval="NC_000015.9:g.78885394_78913637="&gt;</v>
      </c>
      <c r="J12" s="23"/>
      <c r="K12" s="23"/>
      <c r="L12" s="23"/>
      <c r="M12" s="23"/>
      <c r="N12" s="23"/>
      <c r="O12" s="24"/>
      <c r="P12" s="25"/>
      <c r="Q12" s="24"/>
      <c r="R12" s="24"/>
      <c r="S12" s="25"/>
      <c r="T12" s="25"/>
      <c r="U12" s="24"/>
      <c r="V12" s="24"/>
      <c r="W12" s="25"/>
      <c r="X12" s="25"/>
      <c r="Y12" s="25"/>
      <c r="Z12" s="25"/>
    </row>
    <row r="13" spans="1:36">
      <c r="A13" s="14" t="s">
        <v>9</v>
      </c>
      <c r="B13" s="2" t="s">
        <v>146</v>
      </c>
      <c r="J13" s="15"/>
      <c r="K13" s="15"/>
      <c r="L13" s="15"/>
      <c r="M13" s="15"/>
      <c r="N13" s="15"/>
      <c r="O13" s="15"/>
      <c r="P13" s="15"/>
      <c r="Q13" s="15"/>
      <c r="R13" s="15"/>
      <c r="S13" s="15"/>
      <c r="T13" s="15"/>
      <c r="U13" s="15"/>
      <c r="V13" s="15"/>
      <c r="W13" s="15"/>
      <c r="X13" s="15"/>
      <c r="Y13" s="15"/>
      <c r="Z13" s="15"/>
    </row>
    <row r="14" spans="1:36">
      <c r="A14" s="14" t="s">
        <v>11</v>
      </c>
      <c r="B14" s="2" t="s">
        <v>12</v>
      </c>
      <c r="C14" s="3" t="str">
        <f>CONCATENATE("# What are some common variants of ",B12,"?")</f>
        <v># What are some common variants of CHRNA3?</v>
      </c>
      <c r="J14" s="15"/>
      <c r="K14" s="15"/>
      <c r="L14" s="15"/>
      <c r="M14" s="15"/>
      <c r="N14" s="15"/>
      <c r="O14" s="15"/>
      <c r="P14" s="15"/>
      <c r="Q14" s="15"/>
      <c r="R14" s="15"/>
      <c r="S14" s="15"/>
      <c r="T14" s="15"/>
      <c r="U14" s="15"/>
      <c r="V14" s="15"/>
      <c r="W14" s="15"/>
      <c r="X14" s="15"/>
      <c r="Y14" s="15"/>
      <c r="Z14" s="15"/>
    </row>
    <row r="15" spans="1:36">
      <c r="A15" s="14"/>
      <c r="B15" s="2"/>
      <c r="C15" s="3" t="s">
        <v>13</v>
      </c>
      <c r="J15" s="15"/>
      <c r="K15" s="15"/>
      <c r="L15" s="15"/>
      <c r="M15" s="15"/>
      <c r="N15" s="15"/>
      <c r="O15" s="15"/>
      <c r="P15" s="15"/>
      <c r="Q15" s="15"/>
      <c r="R15" s="15"/>
      <c r="S15" s="15"/>
      <c r="T15" s="15"/>
      <c r="U15" s="15"/>
      <c r="V15" s="15"/>
      <c r="W15" s="15"/>
      <c r="X15" s="15"/>
      <c r="Y15" s="15"/>
      <c r="Z15" s="15"/>
    </row>
    <row r="16" spans="1:36">
      <c r="B16" s="2"/>
      <c r="C16" s="3" t="str">
        <f>CONCATENATE("A variant is a change at a specific point in the gene from the expected nucleotide sequence to another, resulting in incorrect ", B10," function. There are ",B14," common variants in ",B12,": ",B22," and ",B31,".")</f>
        <v>A variant is a change at a specific point in the gene from the expected nucleotide sequence to another, resulting in incorrect protein function. There are two common variants in CHRNA3: [C78606381T](https://www.ncbi.nlm.nih.gov/projects/SNP/snp_ref.cgi?rs=12914385) and [C645T](https://www.ncbi.nlm.nih.gov/clinvar/variation/17503/).</v>
      </c>
      <c r="J16" s="15"/>
      <c r="K16" s="15"/>
      <c r="L16" s="15"/>
      <c r="M16" s="15"/>
      <c r="N16" s="15"/>
      <c r="O16" s="15"/>
      <c r="P16" s="15"/>
      <c r="Q16" s="15"/>
      <c r="R16" s="15"/>
      <c r="S16" s="15"/>
      <c r="T16" s="15"/>
      <c r="U16" s="15"/>
      <c r="V16" s="15"/>
      <c r="W16" s="15"/>
      <c r="X16" s="15"/>
      <c r="Y16" s="15"/>
      <c r="Z16" s="15"/>
    </row>
    <row r="17" spans="1:26">
      <c r="B17" s="2"/>
      <c r="J17" s="15"/>
      <c r="K17" s="15"/>
      <c r="L17" s="15"/>
      <c r="M17" s="15"/>
      <c r="N17" s="15"/>
      <c r="O17" s="15"/>
      <c r="P17" s="15"/>
      <c r="Q17" s="15"/>
      <c r="R17" s="15"/>
      <c r="S17" s="15"/>
      <c r="T17" s="15"/>
      <c r="U17" s="15"/>
      <c r="V17" s="15"/>
      <c r="W17" s="15"/>
      <c r="X17" s="15"/>
      <c r="Y17" s="15"/>
      <c r="Z17" s="15"/>
    </row>
    <row r="18" spans="1:26">
      <c r="A18" s="14" t="s">
        <v>14</v>
      </c>
      <c r="B18" s="22" t="s">
        <v>149</v>
      </c>
      <c r="C18" s="3" t="str">
        <f>CONCATENATE("&lt;# ",B19," #&gt;")</f>
        <v>&lt;# C78606381T #&gt;</v>
      </c>
      <c r="J18" s="15"/>
      <c r="K18" s="15"/>
      <c r="L18" s="15"/>
      <c r="M18" s="15"/>
      <c r="N18" s="15"/>
      <c r="O18" s="15"/>
      <c r="P18" s="15"/>
      <c r="Q18" s="15"/>
      <c r="R18" s="15"/>
      <c r="S18" s="15"/>
      <c r="T18" s="15"/>
      <c r="U18" s="15"/>
      <c r="V18" s="15"/>
      <c r="W18" s="15"/>
      <c r="X18" s="15"/>
      <c r="Y18" s="15"/>
      <c r="Z18" s="15"/>
    </row>
    <row r="19" spans="1:26">
      <c r="A19" s="26" t="s">
        <v>15</v>
      </c>
      <c r="B19" s="27" t="s">
        <v>41</v>
      </c>
      <c r="J19" s="6"/>
      <c r="K19" s="15"/>
      <c r="L19" s="15"/>
      <c r="M19" s="15"/>
      <c r="N19" s="15"/>
      <c r="O19" s="15"/>
      <c r="P19" s="15"/>
      <c r="Q19" s="15"/>
      <c r="R19" s="15"/>
      <c r="S19" s="15"/>
      <c r="T19" s="15"/>
      <c r="U19" s="15"/>
      <c r="V19" s="15"/>
      <c r="W19" s="15"/>
      <c r="X19" s="15"/>
      <c r="Y19" s="15"/>
      <c r="Z19" s="15"/>
    </row>
    <row r="20" spans="1:26">
      <c r="A20" s="26" t="s">
        <v>17</v>
      </c>
      <c r="B20" s="2" t="s">
        <v>18</v>
      </c>
      <c r="C20" s="3" t="str">
        <f>CONCATENATE("  &lt;Variant hgvs=",CHAR(34),B18,CHAR(34)," name=",CHAR(34),B19,CHAR(34),"&gt; ")</f>
        <v xml:space="preserve">  &lt;Variant hgvs="NC_000015.9:g.78898723C&gt;T" name="C78606381T"&gt; </v>
      </c>
      <c r="J20" s="2"/>
      <c r="K20" s="15"/>
      <c r="L20" s="15"/>
      <c r="M20" s="15"/>
      <c r="N20" s="15"/>
      <c r="O20" s="15"/>
      <c r="P20" s="15"/>
      <c r="Q20" s="15"/>
      <c r="R20" s="15"/>
      <c r="S20" s="15"/>
      <c r="T20" s="15"/>
      <c r="U20" s="15"/>
      <c r="V20" s="15"/>
      <c r="W20" s="15"/>
      <c r="X20" s="15"/>
      <c r="Y20" s="15"/>
      <c r="Z20" s="15"/>
    </row>
    <row r="21" spans="1:26">
      <c r="A21" s="26" t="s">
        <v>19</v>
      </c>
      <c r="B21" s="2" t="s">
        <v>20</v>
      </c>
      <c r="H21" s="15"/>
      <c r="I21" s="15"/>
      <c r="J21" s="2"/>
      <c r="K21" s="15"/>
      <c r="L21" s="15"/>
      <c r="M21" s="15"/>
      <c r="N21" s="15"/>
      <c r="O21" s="15"/>
      <c r="P21" s="15"/>
      <c r="Q21" s="15"/>
      <c r="R21" s="15"/>
      <c r="S21" s="15"/>
      <c r="T21" s="15"/>
      <c r="U21" s="15"/>
      <c r="V21" s="15"/>
      <c r="W21" s="15"/>
      <c r="X21" s="15"/>
      <c r="Y21" s="15"/>
      <c r="Z21" s="15"/>
    </row>
    <row r="22" spans="1:26">
      <c r="A22" s="26" t="s">
        <v>21</v>
      </c>
      <c r="B22" s="27" t="s">
        <v>42</v>
      </c>
      <c r="C22" s="3" t="str">
        <f>CONCATENATE("    Instead of ",B20,", there is a ",B21," nucleotide.")</f>
        <v xml:space="preserve">    Instead of cytosine (C), there is a thymine (T) nucleotide.</v>
      </c>
      <c r="H22" s="15"/>
      <c r="I22" s="15"/>
      <c r="J22" s="7"/>
      <c r="K22" s="15"/>
      <c r="L22" s="15"/>
      <c r="M22" s="15"/>
      <c r="N22" s="15"/>
      <c r="O22" s="15"/>
      <c r="P22" s="15"/>
      <c r="Q22" s="15"/>
      <c r="R22" s="15"/>
      <c r="S22" s="15"/>
      <c r="T22" s="15"/>
      <c r="U22" s="15"/>
      <c r="V22" s="15"/>
      <c r="W22" s="15"/>
      <c r="X22" s="15"/>
      <c r="Y22" s="15"/>
      <c r="Z22" s="15"/>
    </row>
    <row r="23" spans="1:26">
      <c r="A23" s="3" t="s">
        <v>64</v>
      </c>
      <c r="B23" s="22" t="s">
        <v>151</v>
      </c>
      <c r="H23" s="2"/>
      <c r="I23" s="2"/>
      <c r="J23" s="15"/>
      <c r="K23" s="15"/>
      <c r="L23" s="15"/>
      <c r="M23" s="15"/>
      <c r="N23" s="15"/>
      <c r="O23" s="15"/>
      <c r="P23" s="15"/>
      <c r="Q23" s="15"/>
      <c r="R23" s="15"/>
      <c r="S23" s="15"/>
      <c r="T23" s="15"/>
      <c r="U23" s="15"/>
      <c r="V23" s="15"/>
      <c r="W23" s="15"/>
      <c r="X23" s="15"/>
      <c r="Y23" s="15"/>
      <c r="Z23" s="15"/>
    </row>
    <row r="24" spans="1:26">
      <c r="A24" s="3" t="s">
        <v>51</v>
      </c>
      <c r="B24" s="7" t="s">
        <v>152</v>
      </c>
      <c r="C24" s="3" t="str">
        <f>"  &lt;/Variant&gt;"</f>
        <v xml:space="preserve">  &lt;/Variant&gt;</v>
      </c>
      <c r="H24" s="2"/>
      <c r="I24" s="2"/>
      <c r="J24" s="15"/>
      <c r="K24" s="15"/>
      <c r="L24" s="15"/>
      <c r="M24" s="15"/>
      <c r="N24" s="15"/>
      <c r="O24" s="15"/>
      <c r="P24" s="15"/>
      <c r="Q24" s="15"/>
      <c r="R24" s="15"/>
      <c r="S24" s="15"/>
      <c r="T24" s="15"/>
      <c r="U24" s="15"/>
      <c r="V24" s="15"/>
      <c r="W24" s="15"/>
      <c r="X24" s="15"/>
      <c r="Y24" s="15"/>
      <c r="Z24" s="15"/>
    </row>
    <row r="25" spans="1:26">
      <c r="A25" s="26" t="s">
        <v>52</v>
      </c>
      <c r="B25" s="7" t="s">
        <v>153</v>
      </c>
      <c r="J25" s="6"/>
    </row>
    <row r="26" spans="1:26">
      <c r="B26" s="3"/>
      <c r="C26" s="3" t="str">
        <f>CONCATENATE("&lt;# ",B28," #&gt;")</f>
        <v>&lt;# C645T  #&gt;</v>
      </c>
      <c r="J26" s="6"/>
    </row>
    <row r="27" spans="1:26">
      <c r="A27" s="14" t="s">
        <v>14</v>
      </c>
      <c r="B27" s="22" t="s">
        <v>150</v>
      </c>
      <c r="J27" s="2"/>
    </row>
    <row r="28" spans="1:26">
      <c r="A28" s="26" t="s">
        <v>15</v>
      </c>
      <c r="B28" s="27" t="s">
        <v>43</v>
      </c>
      <c r="C28" s="3" t="str">
        <f>CONCATENATE("  &lt;Variant hgvs=",CHAR(34),B27,CHAR(34)," name=",CHAR(34),B28,CHAR(34),"&gt; ")</f>
        <v xml:space="preserve">  &lt;Variant hgvs="NC_000015.9:g.78894339G&gt;A" name="C645T "&gt; </v>
      </c>
      <c r="J28" s="2"/>
    </row>
    <row r="29" spans="1:26">
      <c r="A29" s="26" t="s">
        <v>17</v>
      </c>
      <c r="B29" s="2" t="s">
        <v>44</v>
      </c>
      <c r="J29" s="7"/>
    </row>
    <row r="30" spans="1:26">
      <c r="A30" s="26" t="s">
        <v>19</v>
      </c>
      <c r="B30" s="2" t="s">
        <v>24</v>
      </c>
      <c r="C30" s="3" t="str">
        <f>CONCATENATE("    Instead of ",B29,", there is a ",B30," nucleotide.")</f>
        <v xml:space="preserve">    Instead of guanine (G), there is a adenine (A) nucleotide.</v>
      </c>
    </row>
    <row r="31" spans="1:26">
      <c r="A31" s="26" t="s">
        <v>21</v>
      </c>
      <c r="B31" s="27" t="s">
        <v>45</v>
      </c>
      <c r="J31" s="7"/>
    </row>
    <row r="32" spans="1:26">
      <c r="A32" s="3" t="s">
        <v>64</v>
      </c>
      <c r="B32" s="22" t="s">
        <v>151</v>
      </c>
      <c r="C32" s="3" t="str">
        <f>"  &lt;/Variant&gt;"</f>
        <v xml:space="preserve">  &lt;/Variant&gt;</v>
      </c>
      <c r="J32" s="7"/>
    </row>
    <row r="33" spans="1:12">
      <c r="A33" s="3" t="s">
        <v>51</v>
      </c>
      <c r="B33" s="3" t="s">
        <v>154</v>
      </c>
    </row>
    <row r="34" spans="1:12">
      <c r="A34" s="26" t="s">
        <v>52</v>
      </c>
      <c r="B34" s="7" t="s">
        <v>155</v>
      </c>
      <c r="C34" s="3" t="s">
        <v>61</v>
      </c>
    </row>
    <row r="35" spans="1:12" s="21" customFormat="1">
      <c r="A35" s="28"/>
      <c r="B35" s="20"/>
    </row>
    <row r="36" spans="1:12" s="10" customFormat="1">
      <c r="A36" s="32"/>
      <c r="B36" s="33"/>
      <c r="C36" s="34" t="s">
        <v>368</v>
      </c>
    </row>
    <row r="37" spans="1:12" s="10" customFormat="1">
      <c r="A37" s="32"/>
      <c r="B37" s="33"/>
      <c r="K37" s="10" t="s">
        <v>147</v>
      </c>
      <c r="L37" s="11" t="s">
        <v>148</v>
      </c>
    </row>
    <row r="38" spans="1:12" s="21" customFormat="1">
      <c r="A38" s="28" t="s">
        <v>69</v>
      </c>
      <c r="B38" s="20" t="str">
        <f>CONCATENATE(B19," (C;T)")</f>
        <v>C78606381T (C;T)</v>
      </c>
      <c r="C38" s="21" t="str">
        <f>CONCATENATE("&lt;# ",B38," #&gt;")</f>
        <v>&lt;# C78606381T (C;T) #&gt;</v>
      </c>
      <c r="K38" s="21" t="str">
        <f>B19</f>
        <v>C78606381T</v>
      </c>
      <c r="L38" s="21" t="str">
        <f>B28</f>
        <v xml:space="preserve">C645T </v>
      </c>
    </row>
    <row r="39" spans="1:12" s="10" customFormat="1">
      <c r="A39" s="3" t="s">
        <v>21</v>
      </c>
      <c r="B39" s="29" t="str">
        <f>K42</f>
        <v>NC_000015.9:g.[78898723C&gt;T];[78898723=]</v>
      </c>
      <c r="J39" s="3"/>
      <c r="K39" s="22" t="str">
        <f>B23</f>
        <v>NC_000015.9:g.</v>
      </c>
      <c r="L39" s="22" t="str">
        <f>B32</f>
        <v>NC_000015.9:g.</v>
      </c>
    </row>
    <row r="40" spans="1:12">
      <c r="A40" s="3" t="s">
        <v>71</v>
      </c>
      <c r="B40" s="29" t="str">
        <f>L44</f>
        <v>NC_000015.9:g.[78894339=];[78894339=]</v>
      </c>
      <c r="C40" s="3" t="str">
        <f>CONCATENATE("  &lt;Analysis name=",CHAR(34),B38,CHAR(34))</f>
        <v xml:space="preserve">  &lt;Analysis name="C78606381T (C;T)"</v>
      </c>
      <c r="J40" s="3" t="s">
        <v>21</v>
      </c>
      <c r="K40" s="15" t="str">
        <f>B24</f>
        <v>[78898723C&gt;T]</v>
      </c>
      <c r="L40" s="22" t="str">
        <f>B33</f>
        <v>[78894339G&gt;A]</v>
      </c>
    </row>
    <row r="41" spans="1:12">
      <c r="A41" s="5" t="s">
        <v>27</v>
      </c>
      <c r="B41" s="2"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41" s="3" t="str">
        <f>CONCATENATE("            case={  variantCall ",CHAR(40),CHAR(34),K42,CHAR(34),CHAR(41))</f>
        <v xml:space="preserve">            case={  variantCall ("NC_000015.9:g.[78898723C&gt;T];[78898723=]")</v>
      </c>
      <c r="J41" s="3" t="s">
        <v>52</v>
      </c>
      <c r="K41" s="15" t="str">
        <f>B25</f>
        <v>[78898723=]</v>
      </c>
      <c r="L41" s="22" t="str">
        <f>B34</f>
        <v>[78894339=]</v>
      </c>
    </row>
    <row r="42" spans="1:12">
      <c r="A42" s="1" t="s">
        <v>28</v>
      </c>
      <c r="B42" s="29" t="s">
        <v>157</v>
      </c>
      <c r="C42" s="3" t="s">
        <v>70</v>
      </c>
      <c r="J42" s="3" t="s">
        <v>62</v>
      </c>
      <c r="K42" s="15" t="str">
        <f>CONCATENATE(K39,K40,";",K41)</f>
        <v>NC_000015.9:g.[78898723C&gt;T];[78898723=]</v>
      </c>
      <c r="L42" s="15" t="str">
        <f>CONCATENATE(L39,L40,";",L41)</f>
        <v>NC_000015.9:g.[78894339G&gt;A];[78894339=]</v>
      </c>
    </row>
    <row r="43" spans="1:12">
      <c r="A43" s="3" t="s">
        <v>72</v>
      </c>
      <c r="B43" s="29">
        <f>K45</f>
        <v>37.9</v>
      </c>
      <c r="C43" s="3" t="str">
        <f>CONCATENATE("                    variantCall ",CHAR(40),CHAR(34),L44,CHAR(34),CHAR(41))</f>
        <v xml:space="preserve">                    variantCall ("NC_000015.9:g.[78894339=];[78894339=]")</v>
      </c>
      <c r="J43" s="3" t="s">
        <v>63</v>
      </c>
      <c r="K43" s="15" t="str">
        <f>CONCATENATE(K39,K40,";",K40)</f>
        <v>NC_000015.9:g.[78898723C&gt;T];[78898723C&gt;T]</v>
      </c>
      <c r="L43" s="15" t="str">
        <f>CONCATENATE(L39,L40,";",L40)</f>
        <v>NC_000015.9:g.[78894339G&gt;A];[78894339G&gt;A]</v>
      </c>
    </row>
    <row r="44" spans="1:12">
      <c r="C44" s="3" t="str">
        <f>CONCATENATE("                  } &gt; ")</f>
        <v xml:space="preserve">                  } &gt; </v>
      </c>
      <c r="J44" s="3" t="s">
        <v>52</v>
      </c>
      <c r="K44" s="2" t="str">
        <f>CONCATENATE(K39,K41,";",K41)</f>
        <v>NC_000015.9:g.[78898723=];[78898723=]</v>
      </c>
      <c r="L44" s="2" t="str">
        <f>CONCATENATE(L39,L41,";",L41)</f>
        <v>NC_000015.9:g.[78894339=];[78894339=]</v>
      </c>
    </row>
    <row r="45" spans="1:12">
      <c r="J45" s="3" t="s">
        <v>66</v>
      </c>
      <c r="K45" s="2">
        <v>37.9</v>
      </c>
      <c r="L45" s="2">
        <v>39.700000000000003</v>
      </c>
    </row>
    <row r="46" spans="1:12">
      <c r="A46" s="14"/>
      <c r="C46" s="3" t="s">
        <v>26</v>
      </c>
      <c r="J46" s="3" t="s">
        <v>67</v>
      </c>
      <c r="K46" s="2">
        <v>15.9</v>
      </c>
      <c r="L46" s="2">
        <v>42.9</v>
      </c>
    </row>
    <row r="47" spans="1:12">
      <c r="A47" s="26"/>
      <c r="J47" s="3" t="s">
        <v>68</v>
      </c>
      <c r="K47" s="2">
        <v>46.2</v>
      </c>
      <c r="L47" s="2">
        <v>17.399999999999999</v>
      </c>
    </row>
    <row r="48" spans="1:12">
      <c r="A48" s="14"/>
      <c r="C48" s="3" t="str">
        <f>CONCATENATE("    ",B41)</f>
        <v xml:space="preserve">    People with this variant have one copy of the [C78606381T](https://www.ncbi.nlm.nih.gov/projects/SNP/snp_ref.cgi?rs=12914385) variant. This substitution of a single nucleotide is known as a missense mutation.</v>
      </c>
    </row>
    <row r="49" spans="1:12">
      <c r="A49" s="14"/>
    </row>
    <row r="50" spans="1:12">
      <c r="A50" s="26"/>
      <c r="C50" s="3" t="s">
        <v>29</v>
      </c>
    </row>
    <row r="51" spans="1:12">
      <c r="A51" s="14"/>
    </row>
    <row r="52" spans="1:12">
      <c r="A52" s="14"/>
      <c r="C52" s="3" t="str">
        <f>CONCATENATE(B42)</f>
        <v xml:space="preserve">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53" spans="1:12">
      <c r="A53" s="14"/>
    </row>
    <row r="54" spans="1:12">
      <c r="A54" s="14"/>
      <c r="C54" s="3" t="s">
        <v>30</v>
      </c>
    </row>
    <row r="55" spans="1:12">
      <c r="A55" s="26"/>
    </row>
    <row r="56" spans="1:12">
      <c r="A56" s="26"/>
      <c r="C56" s="3" t="str">
        <f>CONCATENATE( "    &lt;piechart percentage=",B43," /&gt;")</f>
        <v xml:space="preserve">    &lt;piechart percentage=37.9 /&gt;</v>
      </c>
    </row>
    <row r="57" spans="1:12">
      <c r="A57" s="26"/>
      <c r="C57" s="3" t="str">
        <f>"  &lt;/Analysis&gt;"</f>
        <v xml:space="preserve">  &lt;/Analysis&gt;</v>
      </c>
      <c r="K57" s="3" t="str">
        <f>K37</f>
        <v>rs12914385</v>
      </c>
      <c r="L57" s="3" t="str">
        <f>L37</f>
        <v>rs1051730</v>
      </c>
    </row>
    <row r="58" spans="1:12" s="21" customFormat="1">
      <c r="A58" s="28" t="s">
        <v>69</v>
      </c>
      <c r="B58" s="20" t="str">
        <f>CONCATENATE(B19," (T;T)")</f>
        <v>C78606381T (T;T)</v>
      </c>
      <c r="C58" s="21" t="str">
        <f>CONCATENATE("&lt;# ",B58," #&gt;")</f>
        <v>&lt;# C78606381T (T;T) #&gt;</v>
      </c>
      <c r="J58" s="3"/>
      <c r="K58" s="3" t="str">
        <f t="shared" ref="K58:L58" si="0">K38</f>
        <v>C78606381T</v>
      </c>
      <c r="L58" s="3" t="str">
        <f t="shared" si="0"/>
        <v xml:space="preserve">C645T </v>
      </c>
    </row>
    <row r="59" spans="1:12">
      <c r="A59" s="3" t="s">
        <v>21</v>
      </c>
      <c r="B59" s="29" t="str">
        <f>K43</f>
        <v>NC_000015.9:g.[78898723C&gt;T];[78898723C&gt;T]</v>
      </c>
      <c r="C59" s="10"/>
      <c r="K59" s="3" t="str">
        <f t="shared" ref="K59:L59" si="1">K39</f>
        <v>NC_000015.9:g.</v>
      </c>
      <c r="L59" s="3" t="str">
        <f t="shared" si="1"/>
        <v>NC_000015.9:g.</v>
      </c>
    </row>
    <row r="60" spans="1:12">
      <c r="A60" s="3" t="s">
        <v>71</v>
      </c>
      <c r="B60" s="29" t="str">
        <f>L44</f>
        <v>NC_000015.9:g.[78894339=];[78894339=]</v>
      </c>
      <c r="C60" s="3" t="str">
        <f>CONCATENATE("  &lt;Analysis name=",CHAR(34),B58,CHAR(34))</f>
        <v xml:space="preserve">  &lt;Analysis name="C78606381T (T;T)"</v>
      </c>
      <c r="J60" s="3" t="str">
        <f t="shared" ref="J60" si="2">J40</f>
        <v>Variant</v>
      </c>
      <c r="K60" s="3" t="str">
        <f t="shared" ref="K60:L60" si="3">K40</f>
        <v>[78898723C&gt;T]</v>
      </c>
      <c r="L60" s="3" t="str">
        <f t="shared" si="3"/>
        <v>[78894339G&gt;A]</v>
      </c>
    </row>
    <row r="61" spans="1:12">
      <c r="A61" s="5" t="s">
        <v>74</v>
      </c>
      <c r="B61" s="2" t="str">
        <f>CONCATENATE("People with this variant have two copies of the ",B22," variant. This substitution of a single nucleotide is known as a missense mutation.")</f>
        <v>People with this variant have two copies of the [C78606381T](https://www.ncbi.nlm.nih.gov/projects/SNP/snp_ref.cgi?rs=12914385) variant. This substitution of a single nucleotide is known as a missense mutation.</v>
      </c>
      <c r="C61" s="3" t="str">
        <f>CONCATENATE("            case={  variantCall ",CHAR(40),CHAR(34),K63,CHAR(34),CHAR(41))</f>
        <v xml:space="preserve">            case={  variantCall ("NC_000015.9:g.[78898723C&gt;T];[78898723C&gt;T]")</v>
      </c>
      <c r="J61" s="3" t="str">
        <f t="shared" ref="J61" si="4">J41</f>
        <v>Wildtype</v>
      </c>
      <c r="K61" s="3" t="str">
        <f t="shared" ref="K61:L61" si="5">K41</f>
        <v>[78898723=]</v>
      </c>
      <c r="L61" s="3" t="str">
        <f t="shared" si="5"/>
        <v>[78894339=]</v>
      </c>
    </row>
    <row r="62" spans="1:12">
      <c r="A62" s="1" t="s">
        <v>28</v>
      </c>
      <c r="B62" s="29" t="s">
        <v>156</v>
      </c>
      <c r="C62" s="3" t="s">
        <v>70</v>
      </c>
      <c r="J62" s="3" t="str">
        <f t="shared" ref="J62" si="6">J42</f>
        <v>Het</v>
      </c>
      <c r="K62" s="3" t="str">
        <f t="shared" ref="K62:L62" si="7">K42</f>
        <v>NC_000015.9:g.[78898723C&gt;T];[78898723=]</v>
      </c>
      <c r="L62" s="3" t="str">
        <f t="shared" si="7"/>
        <v>NC_000015.9:g.[78894339G&gt;A];[78894339=]</v>
      </c>
    </row>
    <row r="63" spans="1:12">
      <c r="A63" s="3" t="s">
        <v>72</v>
      </c>
      <c r="B63" s="29">
        <f>K46</f>
        <v>15.9</v>
      </c>
      <c r="C63" s="3" t="str">
        <f>CONCATENATE("                    variantCall ",CHAR(40),CHAR(34),L64,CHAR(34),CHAR(41))</f>
        <v xml:space="preserve">                    variantCall ("NC_000015.9:g.[78894339=];[78894339=]")</v>
      </c>
      <c r="J63" s="3" t="str">
        <f t="shared" ref="J63" si="8">J43</f>
        <v>Homo</v>
      </c>
      <c r="K63" s="3" t="str">
        <f t="shared" ref="K63:L63" si="9">K43</f>
        <v>NC_000015.9:g.[78898723C&gt;T];[78898723C&gt;T]</v>
      </c>
      <c r="L63" s="3" t="str">
        <f t="shared" si="9"/>
        <v>NC_000015.9:g.[78894339G&gt;A];[78894339G&gt;A]</v>
      </c>
    </row>
    <row r="64" spans="1:12">
      <c r="C64" s="3" t="str">
        <f>CONCATENATE("                  } &gt; ")</f>
        <v xml:space="preserve">                  } &gt; </v>
      </c>
      <c r="J64" s="3" t="str">
        <f t="shared" ref="J64" si="10">J44</f>
        <v>Wildtype</v>
      </c>
      <c r="K64" s="3" t="str">
        <f t="shared" ref="K64:L64" si="11">K44</f>
        <v>NC_000015.9:g.[78898723=];[78898723=]</v>
      </c>
      <c r="L64" s="3" t="str">
        <f t="shared" si="11"/>
        <v>NC_000015.9:g.[78894339=];[78894339=]</v>
      </c>
    </row>
    <row r="65" spans="1:12">
      <c r="J65" s="3" t="str">
        <f>J45</f>
        <v>Het%</v>
      </c>
      <c r="K65" s="3">
        <f>K45</f>
        <v>37.9</v>
      </c>
      <c r="L65" s="3">
        <f>L45</f>
        <v>39.700000000000003</v>
      </c>
    </row>
    <row r="66" spans="1:12">
      <c r="A66" s="14"/>
      <c r="C66" s="3" t="s">
        <v>26</v>
      </c>
      <c r="J66" s="3" t="str">
        <f t="shared" ref="J66" si="12">J46</f>
        <v>Homo%</v>
      </c>
      <c r="K66" s="3">
        <f t="shared" ref="K66:L66" si="13">K46</f>
        <v>15.9</v>
      </c>
      <c r="L66" s="3">
        <f t="shared" si="13"/>
        <v>42.9</v>
      </c>
    </row>
    <row r="67" spans="1:12">
      <c r="A67" s="26"/>
      <c r="J67" s="3" t="str">
        <f t="shared" ref="J67" si="14">J47</f>
        <v>Wildtype%</v>
      </c>
      <c r="K67" s="3">
        <f t="shared" ref="K67:L67" si="15">K47</f>
        <v>46.2</v>
      </c>
      <c r="L67" s="3">
        <f t="shared" si="15"/>
        <v>17.399999999999999</v>
      </c>
    </row>
    <row r="68" spans="1:12">
      <c r="A68" s="14"/>
      <c r="C68" s="3" t="str">
        <f>CONCATENATE("    ",B61)</f>
        <v xml:space="preserve">    People with this variant have two copies of the [C78606381T](https://www.ncbi.nlm.nih.gov/projects/SNP/snp_ref.cgi?rs=12914385) variant. This substitution of a single nucleotide is known as a missense mutation.</v>
      </c>
    </row>
    <row r="69" spans="1:12">
      <c r="A69" s="14"/>
    </row>
    <row r="70" spans="1:12">
      <c r="A70" s="26"/>
      <c r="C70" s="3" t="s">
        <v>29</v>
      </c>
    </row>
    <row r="71" spans="1:12">
      <c r="A71" s="14"/>
    </row>
    <row r="72" spans="1:12">
      <c r="A72" s="14"/>
      <c r="C72" s="3" t="str">
        <f>CONCATENATE(B62)</f>
        <v xml:space="preserve">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73" spans="1:12">
      <c r="A73" s="14"/>
    </row>
    <row r="74" spans="1:12">
      <c r="A74" s="14"/>
      <c r="C74" s="3" t="s">
        <v>30</v>
      </c>
    </row>
    <row r="75" spans="1:12">
      <c r="A75" s="26"/>
    </row>
    <row r="76" spans="1:12">
      <c r="A76" s="26"/>
      <c r="C76" s="3" t="str">
        <f>CONCATENATE( "    &lt;piechart percentage=",B63," /&gt;")</f>
        <v xml:space="preserve">    &lt;piechart percentage=15.9 /&gt;</v>
      </c>
    </row>
    <row r="77" spans="1:12">
      <c r="A77" s="26"/>
      <c r="C77" s="3" t="str">
        <f>"  &lt;/Analysis&gt;"</f>
        <v xml:space="preserve">  &lt;/Analysis&gt;</v>
      </c>
      <c r="K77" s="3" t="str">
        <f>K57</f>
        <v>rs12914385</v>
      </c>
      <c r="L77" s="3" t="str">
        <f>L57</f>
        <v>rs1051730</v>
      </c>
    </row>
    <row r="78" spans="1:12" s="21" customFormat="1">
      <c r="A78" s="28" t="s">
        <v>69</v>
      </c>
      <c r="B78" s="20" t="str">
        <f>CONCATENATE(B28," (C:T)")</f>
        <v>C645T  (C:T)</v>
      </c>
      <c r="C78" s="21" t="str">
        <f>CONCATENATE("&lt;# ",B78," #&gt;")</f>
        <v>&lt;# C645T  (C:T) #&gt;</v>
      </c>
      <c r="K78" s="21" t="str">
        <f t="shared" ref="K78:L78" si="16">K58</f>
        <v>C78606381T</v>
      </c>
      <c r="L78" s="21" t="str">
        <f t="shared" si="16"/>
        <v xml:space="preserve">C645T </v>
      </c>
    </row>
    <row r="79" spans="1:12" s="10" customFormat="1">
      <c r="A79" s="3" t="s">
        <v>21</v>
      </c>
      <c r="B79" s="29" t="str">
        <f>K44</f>
        <v>NC_000015.9:g.[78898723=];[78898723=]</v>
      </c>
      <c r="J79" s="3"/>
      <c r="K79" s="22" t="str">
        <f t="shared" ref="K79:L79" si="17">K59</f>
        <v>NC_000015.9:g.</v>
      </c>
      <c r="L79" s="22" t="str">
        <f t="shared" si="17"/>
        <v>NC_000015.9:g.</v>
      </c>
    </row>
    <row r="80" spans="1:12">
      <c r="A80" s="3" t="s">
        <v>71</v>
      </c>
      <c r="B80" s="29" t="str">
        <f>L42</f>
        <v>NC_000015.9:g.[78894339G&gt;A];[78894339=]</v>
      </c>
      <c r="C80" s="3" t="str">
        <f>CONCATENATE("  &lt;Analysis name=",CHAR(34),B78,CHAR(34))</f>
        <v xml:space="preserve">  &lt;Analysis name="C645T  (C:T)"</v>
      </c>
      <c r="J80" s="3" t="str">
        <f t="shared" ref="J80:L84" si="18">J60</f>
        <v>Variant</v>
      </c>
      <c r="K80" s="15" t="str">
        <f t="shared" si="18"/>
        <v>[78898723C&gt;T]</v>
      </c>
      <c r="L80" s="22" t="str">
        <f t="shared" si="18"/>
        <v>[78894339G&gt;A]</v>
      </c>
    </row>
    <row r="81" spans="1:12">
      <c r="A81" s="5" t="s">
        <v>27</v>
      </c>
      <c r="B81" s="2" t="str">
        <f>CONCATENATE("People with this variant have one copy of the ",B31," variant. This substitution of a single nucleotide is known as a missense mutation.")</f>
        <v>People with this variant have one copy of the [C645T](https://www.ncbi.nlm.nih.gov/clinvar/variation/17503/) variant. This substitution of a single nucleotide is known as a missense mutation.</v>
      </c>
      <c r="C81" s="3" t="str">
        <f>CONCATENATE("            case={  variantCall ",CHAR(40),CHAR(34),K84,CHAR(34),CHAR(41))</f>
        <v xml:space="preserve">            case={  variantCall ("NC_000015.9:g.[78898723=];[78898723=]")</v>
      </c>
      <c r="J81" s="3" t="str">
        <f t="shared" si="18"/>
        <v>Wildtype</v>
      </c>
      <c r="K81" s="15" t="str">
        <f t="shared" si="18"/>
        <v>[78898723=]</v>
      </c>
      <c r="L81" s="22" t="str">
        <f t="shared" si="18"/>
        <v>[78894339=]</v>
      </c>
    </row>
    <row r="82" spans="1:12">
      <c r="A82" s="1" t="s">
        <v>28</v>
      </c>
      <c r="B82" s="29" t="s">
        <v>158</v>
      </c>
      <c r="C82" s="3" t="s">
        <v>70</v>
      </c>
      <c r="J82" s="3" t="str">
        <f t="shared" si="18"/>
        <v>Het</v>
      </c>
      <c r="K82" s="15" t="str">
        <f t="shared" si="18"/>
        <v>NC_000015.9:g.[78898723C&gt;T];[78898723=]</v>
      </c>
      <c r="L82" s="15" t="str">
        <f t="shared" si="18"/>
        <v>NC_000015.9:g.[78894339G&gt;A];[78894339=]</v>
      </c>
    </row>
    <row r="83" spans="1:12">
      <c r="A83" s="3" t="s">
        <v>72</v>
      </c>
      <c r="B83" s="29">
        <f>L85</f>
        <v>39.700000000000003</v>
      </c>
      <c r="C83" s="3" t="str">
        <f>CONCATENATE("                    variantCall ",CHAR(40),CHAR(34),L82,CHAR(34),CHAR(41))</f>
        <v xml:space="preserve">                    variantCall ("NC_000015.9:g.[78894339G&gt;A];[78894339=]")</v>
      </c>
      <c r="J83" s="3" t="str">
        <f t="shared" si="18"/>
        <v>Homo</v>
      </c>
      <c r="K83" s="15" t="str">
        <f t="shared" si="18"/>
        <v>NC_000015.9:g.[78898723C&gt;T];[78898723C&gt;T]</v>
      </c>
      <c r="L83" s="15" t="str">
        <f t="shared" si="18"/>
        <v>NC_000015.9:g.[78894339G&gt;A];[78894339G&gt;A]</v>
      </c>
    </row>
    <row r="84" spans="1:12">
      <c r="C84" s="3" t="str">
        <f>CONCATENATE("                  } &gt; ")</f>
        <v xml:space="preserve">                  } &gt; </v>
      </c>
      <c r="J84" s="3" t="str">
        <f t="shared" si="18"/>
        <v>Wildtype</v>
      </c>
      <c r="K84" s="2" t="str">
        <f t="shared" si="18"/>
        <v>NC_000015.9:g.[78898723=];[78898723=]</v>
      </c>
      <c r="L84" s="2" t="str">
        <f t="shared" si="18"/>
        <v>NC_000015.9:g.[78894339=];[78894339=]</v>
      </c>
    </row>
    <row r="85" spans="1:12">
      <c r="J85" s="3" t="str">
        <f>J65</f>
        <v>Het%</v>
      </c>
      <c r="K85" s="15">
        <f>K65</f>
        <v>37.9</v>
      </c>
      <c r="L85" s="15">
        <f>L65</f>
        <v>39.700000000000003</v>
      </c>
    </row>
    <row r="86" spans="1:12">
      <c r="A86" s="14"/>
      <c r="C86" s="3" t="s">
        <v>26</v>
      </c>
      <c r="J86" s="3" t="str">
        <f t="shared" ref="J86:L87" si="19">J66</f>
        <v>Homo%</v>
      </c>
      <c r="K86" s="2">
        <f t="shared" si="19"/>
        <v>15.9</v>
      </c>
      <c r="L86" s="2">
        <f t="shared" si="19"/>
        <v>42.9</v>
      </c>
    </row>
    <row r="87" spans="1:12">
      <c r="A87" s="26"/>
      <c r="J87" s="3" t="str">
        <f t="shared" si="19"/>
        <v>Wildtype%</v>
      </c>
      <c r="K87" s="2">
        <f t="shared" si="19"/>
        <v>46.2</v>
      </c>
      <c r="L87" s="2">
        <f t="shared" si="19"/>
        <v>17.399999999999999</v>
      </c>
    </row>
    <row r="88" spans="1:12">
      <c r="A88" s="14"/>
      <c r="C88" s="3" t="str">
        <f>CONCATENATE("    ",B81)</f>
        <v xml:space="preserve">    People with this variant have one copy of the [C645T](https://www.ncbi.nlm.nih.gov/clinvar/variation/17503/) variant. This substitution of a single nucleotide is known as a missense mutation.</v>
      </c>
    </row>
    <row r="89" spans="1:12">
      <c r="A89" s="14"/>
    </row>
    <row r="90" spans="1:12">
      <c r="A90" s="26"/>
      <c r="C90" s="3" t="s">
        <v>29</v>
      </c>
    </row>
    <row r="91" spans="1:12">
      <c r="A91" s="14"/>
    </row>
    <row r="92" spans="1:12">
      <c r="A92" s="14"/>
      <c r="C92" s="3" t="str">
        <f>CONCATENATE(B82)</f>
        <v xml:space="preserve">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93" spans="1:12">
      <c r="A93" s="14"/>
    </row>
    <row r="94" spans="1:12">
      <c r="A94" s="14"/>
      <c r="C94" s="3" t="s">
        <v>30</v>
      </c>
    </row>
    <row r="95" spans="1:12">
      <c r="A95" s="26"/>
    </row>
    <row r="96" spans="1:12">
      <c r="A96" s="26"/>
      <c r="C96" s="3" t="str">
        <f>CONCATENATE( "    &lt;piechart percentage=",B83," /&gt;")</f>
        <v xml:space="preserve">    &lt;piechart percentage=39.7 /&gt;</v>
      </c>
    </row>
    <row r="97" spans="1:12">
      <c r="A97" s="26"/>
      <c r="C97" s="3" t="str">
        <f>"  &lt;/Analysis&gt;"</f>
        <v xml:space="preserve">  &lt;/Analysis&gt;</v>
      </c>
      <c r="K97" s="3" t="str">
        <f>K77</f>
        <v>rs12914385</v>
      </c>
      <c r="L97" s="3" t="str">
        <f>L77</f>
        <v>rs1051730</v>
      </c>
    </row>
    <row r="98" spans="1:12" s="21" customFormat="1">
      <c r="A98" s="28" t="s">
        <v>69</v>
      </c>
      <c r="B98" s="20" t="str">
        <f>CONCATENATE(B28," (T;T)")</f>
        <v>C645T  (T;T)</v>
      </c>
      <c r="C98" s="21" t="str">
        <f>CONCATENATE("&lt;# ",B98," #&gt;")</f>
        <v>&lt;# C645T  (T;T) #&gt;</v>
      </c>
      <c r="K98" s="3" t="str">
        <f t="shared" ref="K98:L107" si="20">K78</f>
        <v>C78606381T</v>
      </c>
      <c r="L98" s="3" t="str">
        <f t="shared" si="20"/>
        <v xml:space="preserve">C645T </v>
      </c>
    </row>
    <row r="99" spans="1:12">
      <c r="A99" s="3" t="s">
        <v>21</v>
      </c>
      <c r="B99" s="29" t="str">
        <f>K44</f>
        <v>NC_000015.9:g.[78898723=];[78898723=]</v>
      </c>
      <c r="C99" s="10"/>
      <c r="J99" s="3">
        <f t="shared" ref="J99" si="21">J79</f>
        <v>0</v>
      </c>
      <c r="K99" s="3" t="str">
        <f t="shared" si="20"/>
        <v>NC_000015.9:g.</v>
      </c>
      <c r="L99" s="3" t="str">
        <f t="shared" si="20"/>
        <v>NC_000015.9:g.</v>
      </c>
    </row>
    <row r="100" spans="1:12">
      <c r="A100" s="3" t="s">
        <v>71</v>
      </c>
      <c r="B100" s="29" t="str">
        <f>L43</f>
        <v>NC_000015.9:g.[78894339G&gt;A];[78894339G&gt;A]</v>
      </c>
      <c r="C100" s="3" t="str">
        <f>CONCATENATE("  &lt;Analysis name=",CHAR(34),B98,CHAR(34))</f>
        <v xml:space="preserve">  &lt;Analysis name="C645T  (T;T)"</v>
      </c>
      <c r="J100" s="3" t="str">
        <f t="shared" ref="J100" si="22">J80</f>
        <v>Variant</v>
      </c>
      <c r="K100" s="3" t="str">
        <f t="shared" si="20"/>
        <v>[78898723C&gt;T]</v>
      </c>
      <c r="L100" s="3" t="str">
        <f t="shared" si="20"/>
        <v>[78894339G&gt;A]</v>
      </c>
    </row>
    <row r="101" spans="1:12">
      <c r="A101" s="5" t="s">
        <v>74</v>
      </c>
      <c r="B101" s="2" t="str">
        <f>CONCATENATE("People with this variant have two copies of the ",B31," variant. This substitution of a single nucleotide is known as a missense mutation.")</f>
        <v>People with this variant have two copies of the [C645T](https://www.ncbi.nlm.nih.gov/clinvar/variation/17503/) variant. This substitution of a single nucleotide is known as a missense mutation.</v>
      </c>
      <c r="C101" s="3" t="str">
        <f>CONCATENATE("            case={  variantCall ",CHAR(40),CHAR(34),K104,CHAR(34),CHAR(41))</f>
        <v xml:space="preserve">            case={  variantCall ("NC_000015.9:g.[78898723=];[78898723=]")</v>
      </c>
      <c r="J101" s="3" t="str">
        <f t="shared" ref="J101" si="23">J81</f>
        <v>Wildtype</v>
      </c>
      <c r="K101" s="3" t="str">
        <f t="shared" si="20"/>
        <v>[78898723=]</v>
      </c>
      <c r="L101" s="3" t="str">
        <f t="shared" si="20"/>
        <v>[78894339=]</v>
      </c>
    </row>
    <row r="102" spans="1:12">
      <c r="A102" s="1" t="s">
        <v>28</v>
      </c>
      <c r="B102" s="2" t="s">
        <v>159</v>
      </c>
      <c r="C102" s="3" t="s">
        <v>70</v>
      </c>
      <c r="J102" s="3" t="str">
        <f t="shared" ref="J102" si="24">J82</f>
        <v>Het</v>
      </c>
      <c r="K102" s="3" t="str">
        <f t="shared" si="20"/>
        <v>NC_000015.9:g.[78898723C&gt;T];[78898723=]</v>
      </c>
      <c r="L102" s="3" t="str">
        <f t="shared" si="20"/>
        <v>NC_000015.9:g.[78894339G&gt;A];[78894339=]</v>
      </c>
    </row>
    <row r="103" spans="1:12">
      <c r="A103" s="3" t="s">
        <v>72</v>
      </c>
      <c r="B103" s="29">
        <f>L46</f>
        <v>42.9</v>
      </c>
      <c r="C103" s="3" t="str">
        <f>CONCATENATE("                    variantCall ",CHAR(40),CHAR(34),L103,CHAR(34),CHAR(41))</f>
        <v xml:space="preserve">                    variantCall ("NC_000015.9:g.[78894339G&gt;A];[78894339G&gt;A]")</v>
      </c>
      <c r="J103" s="3" t="str">
        <f t="shared" ref="J103" si="25">J83</f>
        <v>Homo</v>
      </c>
      <c r="K103" s="3" t="str">
        <f t="shared" si="20"/>
        <v>NC_000015.9:g.[78898723C&gt;T];[78898723C&gt;T]</v>
      </c>
      <c r="L103" s="3" t="str">
        <f t="shared" si="20"/>
        <v>NC_000015.9:g.[78894339G&gt;A];[78894339G&gt;A]</v>
      </c>
    </row>
    <row r="104" spans="1:12">
      <c r="C104" s="3" t="str">
        <f>CONCATENATE("                  } &gt; ")</f>
        <v xml:space="preserve">                  } &gt; </v>
      </c>
      <c r="J104" s="3" t="str">
        <f t="shared" ref="J104" si="26">J84</f>
        <v>Wildtype</v>
      </c>
      <c r="K104" s="3" t="str">
        <f t="shared" si="20"/>
        <v>NC_000015.9:g.[78898723=];[78898723=]</v>
      </c>
      <c r="L104" s="3" t="str">
        <f t="shared" si="20"/>
        <v>NC_000015.9:g.[78894339=];[78894339=]</v>
      </c>
    </row>
    <row r="105" spans="1:12">
      <c r="J105" s="3" t="str">
        <f t="shared" ref="J105" si="27">J85</f>
        <v>Het%</v>
      </c>
      <c r="K105" s="3">
        <f t="shared" si="20"/>
        <v>37.9</v>
      </c>
      <c r="L105" s="3">
        <f t="shared" si="20"/>
        <v>39.700000000000003</v>
      </c>
    </row>
    <row r="106" spans="1:12">
      <c r="A106" s="14"/>
      <c r="C106" s="3" t="s">
        <v>26</v>
      </c>
      <c r="J106" s="3" t="str">
        <f t="shared" ref="J106" si="28">J86</f>
        <v>Homo%</v>
      </c>
      <c r="K106" s="3">
        <f t="shared" si="20"/>
        <v>15.9</v>
      </c>
      <c r="L106" s="3">
        <f t="shared" si="20"/>
        <v>42.9</v>
      </c>
    </row>
    <row r="107" spans="1:12">
      <c r="A107" s="26"/>
      <c r="J107" s="3" t="str">
        <f t="shared" ref="J107" si="29">J87</f>
        <v>Wildtype%</v>
      </c>
      <c r="K107" s="3">
        <f t="shared" si="20"/>
        <v>46.2</v>
      </c>
      <c r="L107" s="3">
        <f t="shared" si="20"/>
        <v>17.399999999999999</v>
      </c>
    </row>
    <row r="108" spans="1:12">
      <c r="A108" s="14"/>
      <c r="C108" s="3" t="str">
        <f>CONCATENATE("    ",B101)</f>
        <v xml:space="preserve">    People with this variant have two copies of the [C645T](https://www.ncbi.nlm.nih.gov/clinvar/variation/17503/) variant. This substitution of a single nucleotide is known as a missense mutation.</v>
      </c>
    </row>
    <row r="109" spans="1:12">
      <c r="A109" s="14"/>
    </row>
    <row r="110" spans="1:12">
      <c r="A110" s="26"/>
      <c r="C110" s="3" t="s">
        <v>29</v>
      </c>
    </row>
    <row r="111" spans="1:12">
      <c r="A111" s="14"/>
    </row>
    <row r="112" spans="1:12">
      <c r="A112" s="14"/>
      <c r="C112" s="3" t="str">
        <f>CONCATENATE(B102)</f>
        <v xml:space="preserve">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13" spans="1:12">
      <c r="A113" s="14"/>
    </row>
    <row r="114" spans="1:12">
      <c r="A114" s="14"/>
      <c r="C114" s="3" t="s">
        <v>30</v>
      </c>
    </row>
    <row r="115" spans="1:12">
      <c r="A115" s="26"/>
    </row>
    <row r="116" spans="1:12">
      <c r="A116" s="26"/>
      <c r="C116" s="3" t="str">
        <f>CONCATENATE( "    &lt;piechart percentage=",B103," /&gt;")</f>
        <v xml:space="preserve">    &lt;piechart percentage=42.9 /&gt;</v>
      </c>
    </row>
    <row r="117" spans="1:12">
      <c r="A117" s="26"/>
      <c r="C117" s="3" t="str">
        <f>"  &lt;/Analysis&gt;"</f>
        <v xml:space="preserve">  &lt;/Analysis&gt;</v>
      </c>
      <c r="K117" s="21" t="str">
        <f t="shared" ref="K117:L118" si="30">K97</f>
        <v>rs12914385</v>
      </c>
      <c r="L117" s="21" t="str">
        <f t="shared" si="30"/>
        <v>rs1051730</v>
      </c>
    </row>
    <row r="118" spans="1:12" s="21" customFormat="1">
      <c r="A118" s="28" t="s">
        <v>69</v>
      </c>
      <c r="B118" s="20" t="str">
        <f>CONCATENATE(B38," and ",B78)</f>
        <v>C78606381T (C;T) and C645T  (C:T)</v>
      </c>
      <c r="C118" s="21" t="str">
        <f>CONCATENATE("&lt;# ",B118," #&gt;")</f>
        <v>&lt;# C78606381T (C;T) and C645T  (C:T) #&gt;</v>
      </c>
      <c r="K118" s="21" t="str">
        <f t="shared" si="30"/>
        <v>C78606381T</v>
      </c>
      <c r="L118" s="21" t="str">
        <f t="shared" si="30"/>
        <v xml:space="preserve">C645T </v>
      </c>
    </row>
    <row r="119" spans="1:12">
      <c r="A119" s="14" t="s">
        <v>21</v>
      </c>
      <c r="B119" s="15" t="str">
        <f>K42</f>
        <v>NC_000015.9:g.[78898723C&gt;T];[78898723=]</v>
      </c>
      <c r="K119" s="3" t="str">
        <f t="shared" ref="K119:L119" si="31">K99</f>
        <v>NC_000015.9:g.</v>
      </c>
      <c r="L119" s="3" t="str">
        <f t="shared" si="31"/>
        <v>NC_000015.9:g.</v>
      </c>
    </row>
    <row r="120" spans="1:12">
      <c r="A120" s="14" t="s">
        <v>71</v>
      </c>
      <c r="B120" s="15" t="str">
        <f>L42</f>
        <v>NC_000015.9:g.[78894339G&gt;A];[78894339=]</v>
      </c>
      <c r="C120" s="3" t="str">
        <f>CONCATENATE("  &lt;Analysis name=",CHAR(34),B118,CHAR(34))</f>
        <v xml:space="preserve">  &lt;Analysis name="C78606381T (C;T) and C645T  (C:T)"</v>
      </c>
      <c r="J120" s="3" t="str">
        <f t="shared" ref="J120:L124" si="32">J100</f>
        <v>Variant</v>
      </c>
      <c r="K120" s="3" t="str">
        <f t="shared" si="32"/>
        <v>[78898723C&gt;T]</v>
      </c>
      <c r="L120" s="3" t="str">
        <f t="shared" si="32"/>
        <v>[78894339G&gt;A]</v>
      </c>
    </row>
    <row r="121" spans="1:12">
      <c r="A121" s="26" t="s">
        <v>74</v>
      </c>
      <c r="B121" s="15" t="str">
        <f>CONCATENATE("People with this variant have one copy of the ",B22, " and ",B31," variants. This substitution of a single nucleotide is known as a missense mutation.")</f>
        <v>People with this variant have one copy of the [C78606381T](https://www.ncbi.nlm.nih.gov/projects/SNP/snp_ref.cgi?rs=12914385) and [C645T](https://www.ncbi.nlm.nih.gov/clinvar/variation/17503/) variants. This substitution of a single nucleotide is known as a missense mutation.</v>
      </c>
      <c r="C121" s="3" t="str">
        <f>CONCATENATE("            case={  variantCall ",CHAR(40),CHAR(34),K122,CHAR(34),CHAR(41))</f>
        <v xml:space="preserve">            case={  variantCall ("NC_000015.9:g.[78898723C&gt;T];[78898723=]")</v>
      </c>
      <c r="J121" s="3" t="str">
        <f t="shared" si="32"/>
        <v>Wildtype</v>
      </c>
      <c r="K121" s="3" t="str">
        <f t="shared" si="32"/>
        <v>[78898723=]</v>
      </c>
      <c r="L121" s="3" t="str">
        <f t="shared" si="32"/>
        <v>[78894339=]</v>
      </c>
    </row>
    <row r="122" spans="1:12">
      <c r="A122" s="26" t="s">
        <v>28</v>
      </c>
      <c r="B122" s="15" t="s">
        <v>161</v>
      </c>
      <c r="C122" s="3" t="s">
        <v>70</v>
      </c>
      <c r="J122" s="3" t="str">
        <f t="shared" si="32"/>
        <v>Het</v>
      </c>
      <c r="K122" s="3" t="str">
        <f t="shared" si="32"/>
        <v>NC_000015.9:g.[78898723C&gt;T];[78898723=]</v>
      </c>
      <c r="L122" s="3" t="str">
        <f t="shared" si="32"/>
        <v>NC_000015.9:g.[78894339G&gt;A];[78894339=]</v>
      </c>
    </row>
    <row r="123" spans="1:12">
      <c r="A123" s="26" t="s">
        <v>72</v>
      </c>
      <c r="C123" s="3" t="str">
        <f>CONCATENATE("                    variantCall ",CHAR(40),CHAR(34),L122,CHAR(34),CHAR(41))</f>
        <v xml:space="preserve">                    variantCall ("NC_000015.9:g.[78894339G&gt;A];[78894339=]")</v>
      </c>
      <c r="J123" s="3" t="str">
        <f t="shared" si="32"/>
        <v>Homo</v>
      </c>
      <c r="K123" s="3" t="str">
        <f t="shared" si="32"/>
        <v>NC_000015.9:g.[78898723C&gt;T];[78898723C&gt;T]</v>
      </c>
      <c r="L123" s="3" t="str">
        <f t="shared" si="32"/>
        <v>NC_000015.9:g.[78894339G&gt;A];[78894339G&gt;A]</v>
      </c>
    </row>
    <row r="124" spans="1:12">
      <c r="A124" s="26"/>
      <c r="C124" s="3" t="str">
        <f>CONCATENATE("                  } &gt; ")</f>
        <v xml:space="preserve">                  } &gt; </v>
      </c>
      <c r="J124" s="3" t="str">
        <f t="shared" si="32"/>
        <v>Wildtype</v>
      </c>
      <c r="K124" s="3" t="str">
        <f t="shared" si="32"/>
        <v>NC_000015.9:g.[78898723=];[78898723=]</v>
      </c>
      <c r="L124" s="3" t="str">
        <f t="shared" si="32"/>
        <v>NC_000015.9:g.[78894339=];[78894339=]</v>
      </c>
    </row>
    <row r="125" spans="1:12">
      <c r="A125" s="26"/>
      <c r="J125" s="3" t="str">
        <f>J105</f>
        <v>Het%</v>
      </c>
      <c r="K125" s="3">
        <f>K105</f>
        <v>37.9</v>
      </c>
      <c r="L125" s="3">
        <f>L105</f>
        <v>39.700000000000003</v>
      </c>
    </row>
    <row r="126" spans="1:12">
      <c r="A126" s="26"/>
      <c r="C126" s="3" t="s">
        <v>26</v>
      </c>
      <c r="J126" s="3" t="str">
        <f t="shared" ref="J126:L127" si="33">J106</f>
        <v>Homo%</v>
      </c>
      <c r="K126" s="3">
        <f t="shared" si="33"/>
        <v>15.9</v>
      </c>
      <c r="L126" s="3">
        <f t="shared" si="33"/>
        <v>42.9</v>
      </c>
    </row>
    <row r="127" spans="1:12">
      <c r="A127" s="14"/>
      <c r="J127" s="3" t="str">
        <f t="shared" si="33"/>
        <v>Wildtype%</v>
      </c>
      <c r="K127" s="3">
        <f t="shared" si="33"/>
        <v>46.2</v>
      </c>
      <c r="L127" s="3">
        <f t="shared" si="33"/>
        <v>17.399999999999999</v>
      </c>
    </row>
    <row r="128" spans="1:12">
      <c r="A128" s="14"/>
      <c r="C128" s="3" t="str">
        <f>CONCATENATE("    ",B121)</f>
        <v xml:space="preserve">    People with this variant have one copy of the [C78606381T](https://www.ncbi.nlm.nih.gov/projects/SNP/snp_ref.cgi?rs=12914385) and [C645T](https://www.ncbi.nlm.nih.gov/clinvar/variation/17503/) variants. This substitution of a single nucleotide is known as a missense mutation.</v>
      </c>
    </row>
    <row r="129" spans="1:12">
      <c r="A129" s="14"/>
    </row>
    <row r="130" spans="1:12">
      <c r="A130" s="14"/>
      <c r="C130" s="3" t="s">
        <v>29</v>
      </c>
    </row>
    <row r="131" spans="1:12">
      <c r="A131" s="14"/>
    </row>
    <row r="132" spans="1:12">
      <c r="A132" s="26"/>
      <c r="C132" s="3" t="str">
        <f>CONCATENATE(B122)</f>
        <v xml:space="preserve">    There is currently no data on the interaction between these variants.  However, some information exists on the individual variants.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33" spans="1:12">
      <c r="A133" s="26"/>
    </row>
    <row r="134" spans="1:12">
      <c r="A134" s="26"/>
      <c r="C134" s="3" t="s">
        <v>30</v>
      </c>
    </row>
    <row r="135" spans="1:12">
      <c r="A135" s="26"/>
    </row>
    <row r="136" spans="1:12">
      <c r="A136" s="26"/>
      <c r="C136" s="3" t="str">
        <f>CONCATENATE( "    &lt;piechart percentage=",B123," /&gt;")</f>
        <v xml:space="preserve">    &lt;piechart percentage= /&gt;</v>
      </c>
    </row>
    <row r="137" spans="1:12">
      <c r="A137" s="26"/>
      <c r="C137" s="3" t="str">
        <f>"  &lt;/Analysis&gt;"</f>
        <v xml:space="preserve">  &lt;/Analysis&gt;</v>
      </c>
      <c r="K137" s="21" t="str">
        <f t="shared" ref="K137:L137" si="34">K117</f>
        <v>rs12914385</v>
      </c>
      <c r="L137" s="21" t="str">
        <f t="shared" si="34"/>
        <v>rs1051730</v>
      </c>
    </row>
    <row r="138" spans="1:12" s="21" customFormat="1">
      <c r="A138" s="28" t="s">
        <v>69</v>
      </c>
      <c r="B138" s="20" t="str">
        <f>CONCATENATE(B58," and ",B78)</f>
        <v>C78606381T (T;T) and C645T  (C:T)</v>
      </c>
      <c r="C138" s="21" t="str">
        <f>CONCATENATE("&lt;# ",B138," #&gt;")</f>
        <v>&lt;# C78606381T (T;T) and C645T  (C:T) #&gt;</v>
      </c>
      <c r="K138" s="21" t="str">
        <f t="shared" ref="K138:L138" si="35">K118</f>
        <v>C78606381T</v>
      </c>
      <c r="L138" s="21" t="str">
        <f t="shared" si="35"/>
        <v xml:space="preserve">C645T </v>
      </c>
    </row>
    <row r="139" spans="1:12">
      <c r="A139" s="14" t="s">
        <v>21</v>
      </c>
      <c r="B139" s="15" t="str">
        <f>K62</f>
        <v>NC_000015.9:g.[78898723C&gt;T];[78898723=]</v>
      </c>
      <c r="K139" s="3" t="str">
        <f t="shared" ref="K139:L139" si="36">K119</f>
        <v>NC_000015.9:g.</v>
      </c>
      <c r="L139" s="3" t="str">
        <f t="shared" si="36"/>
        <v>NC_000015.9:g.</v>
      </c>
    </row>
    <row r="140" spans="1:12">
      <c r="A140" s="14" t="s">
        <v>71</v>
      </c>
      <c r="B140" s="15" t="str">
        <f>L62</f>
        <v>NC_000015.9:g.[78894339G&gt;A];[78894339=]</v>
      </c>
      <c r="C140" s="3" t="str">
        <f>CONCATENATE("  &lt;Analysis name=",CHAR(34),B138,CHAR(34))</f>
        <v xml:space="preserve">  &lt;Analysis name="C78606381T (T;T) and C645T  (C:T)"</v>
      </c>
      <c r="J140" s="3" t="str">
        <f t="shared" ref="J140:L140" si="37">J120</f>
        <v>Variant</v>
      </c>
      <c r="K140" s="3" t="str">
        <f t="shared" si="37"/>
        <v>[78898723C&gt;T]</v>
      </c>
      <c r="L140" s="3" t="str">
        <f t="shared" si="37"/>
        <v>[78894339G&gt;A]</v>
      </c>
    </row>
    <row r="141" spans="1:12">
      <c r="A141" s="26" t="s">
        <v>74</v>
      </c>
      <c r="B141" s="15" t="str">
        <f>CONCATENATE("People with this variant have one copy of the ",B31, " and two copies of the ",B22," variants. This substitution of a single nucleotide is known as a missense mutation.")</f>
        <v>People with this variant have one copy of the [C645T](https://www.ncbi.nlm.nih.gov/clinvar/variation/17503/) and two copies of the [C78606381T](https://www.ncbi.nlm.nih.gov/projects/SNP/snp_ref.cgi?rs=12914385) variants. This substitution of a single nucleotide is known as a missense mutation.</v>
      </c>
      <c r="C141" s="3" t="str">
        <f>CONCATENATE("            case={  variantCall ",CHAR(40),CHAR(34),K143,CHAR(34),CHAR(41))</f>
        <v xml:space="preserve">            case={  variantCall ("NC_000015.9:g.[78898723C&gt;T];[78898723C&gt;T]")</v>
      </c>
      <c r="J141" s="3" t="str">
        <f t="shared" ref="J141:L141" si="38">J121</f>
        <v>Wildtype</v>
      </c>
      <c r="K141" s="3" t="str">
        <f t="shared" si="38"/>
        <v>[78898723=]</v>
      </c>
      <c r="L141" s="3" t="str">
        <f t="shared" si="38"/>
        <v>[78894339=]</v>
      </c>
    </row>
    <row r="142" spans="1:12">
      <c r="A142" s="26" t="s">
        <v>28</v>
      </c>
      <c r="B142" s="15" t="s">
        <v>162</v>
      </c>
      <c r="C142" s="3" t="s">
        <v>70</v>
      </c>
      <c r="J142" s="3" t="str">
        <f t="shared" ref="J142:L142" si="39">J122</f>
        <v>Het</v>
      </c>
      <c r="K142" s="3" t="str">
        <f t="shared" si="39"/>
        <v>NC_000015.9:g.[78898723C&gt;T];[78898723=]</v>
      </c>
      <c r="L142" s="3" t="str">
        <f t="shared" si="39"/>
        <v>NC_000015.9:g.[78894339G&gt;A];[78894339=]</v>
      </c>
    </row>
    <row r="143" spans="1:12">
      <c r="A143" s="26" t="s">
        <v>72</v>
      </c>
      <c r="C143" s="3" t="str">
        <f>CONCATENATE("                    variantCall ",CHAR(40),CHAR(34),L142,CHAR(34),CHAR(41))</f>
        <v xml:space="preserve">                    variantCall ("NC_000015.9:g.[78894339G&gt;A];[78894339=]")</v>
      </c>
      <c r="J143" s="3" t="str">
        <f t="shared" ref="J143:L143" si="40">J123</f>
        <v>Homo</v>
      </c>
      <c r="K143" s="3" t="str">
        <f t="shared" si="40"/>
        <v>NC_000015.9:g.[78898723C&gt;T];[78898723C&gt;T]</v>
      </c>
      <c r="L143" s="3" t="str">
        <f t="shared" si="40"/>
        <v>NC_000015.9:g.[78894339G&gt;A];[78894339G&gt;A]</v>
      </c>
    </row>
    <row r="144" spans="1:12">
      <c r="A144" s="26"/>
      <c r="C144" s="3" t="str">
        <f>CONCATENATE("                  } &gt; ")</f>
        <v xml:space="preserve">                  } &gt; </v>
      </c>
      <c r="J144" s="3" t="str">
        <f t="shared" ref="J144:L144" si="41">J124</f>
        <v>Wildtype</v>
      </c>
      <c r="K144" s="3" t="str">
        <f t="shared" si="41"/>
        <v>NC_000015.9:g.[78898723=];[78898723=]</v>
      </c>
      <c r="L144" s="3" t="str">
        <f t="shared" si="41"/>
        <v>NC_000015.9:g.[78894339=];[78894339=]</v>
      </c>
    </row>
    <row r="145" spans="1:12">
      <c r="A145" s="26"/>
      <c r="J145" s="3" t="str">
        <f>J125</f>
        <v>Het%</v>
      </c>
      <c r="K145" s="3">
        <f>K125</f>
        <v>37.9</v>
      </c>
      <c r="L145" s="3">
        <f>L125</f>
        <v>39.700000000000003</v>
      </c>
    </row>
    <row r="146" spans="1:12">
      <c r="A146" s="26"/>
      <c r="C146" s="3" t="s">
        <v>26</v>
      </c>
      <c r="J146" s="3" t="str">
        <f t="shared" ref="J146:L146" si="42">J126</f>
        <v>Homo%</v>
      </c>
      <c r="K146" s="3">
        <f t="shared" si="42"/>
        <v>15.9</v>
      </c>
      <c r="L146" s="3">
        <f t="shared" si="42"/>
        <v>42.9</v>
      </c>
    </row>
    <row r="147" spans="1:12">
      <c r="A147" s="14"/>
      <c r="J147" s="3" t="str">
        <f t="shared" ref="J147:L147" si="43">J127</f>
        <v>Wildtype%</v>
      </c>
      <c r="K147" s="3">
        <f t="shared" si="43"/>
        <v>46.2</v>
      </c>
      <c r="L147" s="3">
        <f t="shared" si="43"/>
        <v>17.399999999999999</v>
      </c>
    </row>
    <row r="148" spans="1:12">
      <c r="A148" s="14"/>
      <c r="C148" s="3" t="str">
        <f>CONCATENATE("    ",B141)</f>
        <v xml:space="preserve">    People with this variant have one copy of the [C645T](https://www.ncbi.nlm.nih.gov/clinvar/variation/17503/) and two copies of the [C78606381T](https://www.ncbi.nlm.nih.gov/projects/SNP/snp_ref.cgi?rs=12914385) variants. This substitution of a single nucleotide is known as a missense mutation.</v>
      </c>
    </row>
    <row r="149" spans="1:12">
      <c r="A149" s="14"/>
    </row>
    <row r="150" spans="1:12">
      <c r="A150" s="14"/>
      <c r="C150" s="3" t="s">
        <v>29</v>
      </c>
    </row>
    <row r="151" spans="1:12">
      <c r="A151" s="14"/>
    </row>
    <row r="152" spans="1:12">
      <c r="A152" s="26"/>
      <c r="C152" s="3" t="str">
        <f>CONCATENATE(B142)</f>
        <v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#What should I do about this?
    People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153" spans="1:12">
      <c r="A153" s="26"/>
    </row>
    <row r="154" spans="1:12">
      <c r="A154" s="26"/>
      <c r="C154" s="3" t="s">
        <v>30</v>
      </c>
    </row>
    <row r="155" spans="1:12">
      <c r="A155" s="26"/>
    </row>
    <row r="156" spans="1:12">
      <c r="A156" s="26"/>
      <c r="C156" s="3" t="str">
        <f>CONCATENATE( "    &lt;piechart percentage=",B143," /&gt;")</f>
        <v xml:space="preserve">    &lt;piechart percentage= /&gt;</v>
      </c>
    </row>
    <row r="157" spans="1:12">
      <c r="A157" s="26"/>
      <c r="C157" s="3" t="str">
        <f>"  &lt;/Analysis&gt;"</f>
        <v xml:space="preserve">  &lt;/Analysis&gt;</v>
      </c>
      <c r="K157" s="21" t="str">
        <f t="shared" ref="K157:L157" si="44">K117</f>
        <v>rs12914385</v>
      </c>
      <c r="L157" s="21" t="str">
        <f t="shared" si="44"/>
        <v>rs1051730</v>
      </c>
    </row>
    <row r="158" spans="1:12" s="21" customFormat="1">
      <c r="A158" s="28" t="s">
        <v>69</v>
      </c>
      <c r="B158" s="20" t="str">
        <f>CONCATENATE(B58," and ",B98)</f>
        <v>C78606381T (T;T) and C645T  (T;T)</v>
      </c>
      <c r="C158" s="21" t="str">
        <f>CONCATENATE("&lt;# ",B158," #&gt;")</f>
        <v>&lt;# C78606381T (T;T) and C645T  (T;T) #&gt;</v>
      </c>
      <c r="K158" s="21" t="str">
        <f t="shared" ref="K158:L158" si="45">K118</f>
        <v>C78606381T</v>
      </c>
      <c r="L158" s="21" t="str">
        <f t="shared" si="45"/>
        <v xml:space="preserve">C645T </v>
      </c>
    </row>
    <row r="159" spans="1:12">
      <c r="A159" s="14" t="s">
        <v>21</v>
      </c>
      <c r="B159" s="15" t="str">
        <f>K62</f>
        <v>NC_000015.9:g.[78898723C&gt;T];[78898723=]</v>
      </c>
      <c r="K159" s="3" t="str">
        <f t="shared" ref="K159:L159" si="46">K119</f>
        <v>NC_000015.9:g.</v>
      </c>
      <c r="L159" s="3" t="str">
        <f t="shared" si="46"/>
        <v>NC_000015.9:g.</v>
      </c>
    </row>
    <row r="160" spans="1:12">
      <c r="A160" s="14" t="s">
        <v>71</v>
      </c>
      <c r="B160" s="15" t="str">
        <f>L62</f>
        <v>NC_000015.9:g.[78894339G&gt;A];[78894339=]</v>
      </c>
      <c r="C160" s="3" t="str">
        <f>CONCATENATE("  &lt;Analysis name=",CHAR(34),B158,CHAR(34))</f>
        <v xml:space="preserve">  &lt;Analysis name="C78606381T (T;T) and C645T  (T;T)"</v>
      </c>
      <c r="J160" s="3" t="str">
        <f t="shared" ref="J160:L160" si="47">J120</f>
        <v>Variant</v>
      </c>
      <c r="K160" s="3" t="str">
        <f t="shared" si="47"/>
        <v>[78898723C&gt;T]</v>
      </c>
      <c r="L160" s="3" t="str">
        <f t="shared" si="47"/>
        <v>[78894339G&gt;A]</v>
      </c>
    </row>
    <row r="161" spans="1:12">
      <c r="A161" s="26" t="s">
        <v>74</v>
      </c>
      <c r="B161" s="15" t="str">
        <f>CONCATENATE("People with this variant have two copies of the ",B22, " and ",B31," variants. This substitution of a single nucleotide is known as a missense mutation.")</f>
        <v>People with this variant have two copies of the [C78606381T](https://www.ncbi.nlm.nih.gov/projects/SNP/snp_ref.cgi?rs=12914385) and [C645T](https://www.ncbi.nlm.nih.gov/clinvar/variation/17503/) variants. This substitution of a single nucleotide is known as a missense mutation.</v>
      </c>
      <c r="C161" s="3" t="str">
        <f>CONCATENATE("            case={  variantCall ",CHAR(40),CHAR(34),K163,CHAR(34),CHAR(41))</f>
        <v xml:space="preserve">            case={  variantCall ("NC_000015.9:g.[78898723C&gt;T];[78898723C&gt;T]")</v>
      </c>
      <c r="J161" s="3" t="str">
        <f t="shared" ref="J161:L161" si="48">J121</f>
        <v>Wildtype</v>
      </c>
      <c r="K161" s="3" t="str">
        <f t="shared" si="48"/>
        <v>[78898723=]</v>
      </c>
      <c r="L161" s="3" t="str">
        <f t="shared" si="48"/>
        <v>[78894339=]</v>
      </c>
    </row>
    <row r="162" spans="1:12">
      <c r="A162" s="26" t="s">
        <v>28</v>
      </c>
      <c r="B162" s="15" t="s">
        <v>163</v>
      </c>
      <c r="C162" s="3" t="s">
        <v>70</v>
      </c>
      <c r="J162" s="3" t="str">
        <f t="shared" ref="J162:L162" si="49">J122</f>
        <v>Het</v>
      </c>
      <c r="K162" s="3" t="str">
        <f t="shared" si="49"/>
        <v>NC_000015.9:g.[78898723C&gt;T];[78898723=]</v>
      </c>
      <c r="L162" s="3" t="str">
        <f t="shared" si="49"/>
        <v>NC_000015.9:g.[78894339G&gt;A];[78894339=]</v>
      </c>
    </row>
    <row r="163" spans="1:12">
      <c r="A163" s="26" t="s">
        <v>72</v>
      </c>
      <c r="C163" s="3" t="str">
        <f>CONCATENATE("                    variantCall ",CHAR(40),CHAR(34),L163,CHAR(34),CHAR(41))</f>
        <v xml:space="preserve">                    variantCall ("NC_000015.9:g.[78894339G&gt;A];[78894339G&gt;A]")</v>
      </c>
      <c r="J163" s="3" t="str">
        <f t="shared" ref="J163:L163" si="50">J123</f>
        <v>Homo</v>
      </c>
      <c r="K163" s="3" t="str">
        <f t="shared" si="50"/>
        <v>NC_000015.9:g.[78898723C&gt;T];[78898723C&gt;T]</v>
      </c>
      <c r="L163" s="3" t="str">
        <f t="shared" si="50"/>
        <v>NC_000015.9:g.[78894339G&gt;A];[78894339G&gt;A]</v>
      </c>
    </row>
    <row r="164" spans="1:12">
      <c r="A164" s="26"/>
      <c r="C164" s="3" t="str">
        <f>CONCATENATE("                  } &gt; ")</f>
        <v xml:space="preserve">                  } &gt; </v>
      </c>
      <c r="J164" s="3" t="str">
        <f t="shared" ref="J164:L164" si="51">J124</f>
        <v>Wildtype</v>
      </c>
      <c r="K164" s="3" t="str">
        <f t="shared" si="51"/>
        <v>NC_000015.9:g.[78898723=];[78898723=]</v>
      </c>
      <c r="L164" s="3" t="str">
        <f t="shared" si="51"/>
        <v>NC_000015.9:g.[78894339=];[78894339=]</v>
      </c>
    </row>
    <row r="165" spans="1:12">
      <c r="A165" s="26"/>
      <c r="J165" s="3" t="str">
        <f>J125</f>
        <v>Het%</v>
      </c>
      <c r="K165" s="3">
        <f>K125</f>
        <v>37.9</v>
      </c>
      <c r="L165" s="3">
        <f>L125</f>
        <v>39.700000000000003</v>
      </c>
    </row>
    <row r="166" spans="1:12">
      <c r="A166" s="26"/>
      <c r="C166" s="3" t="s">
        <v>26</v>
      </c>
      <c r="J166" s="3" t="str">
        <f t="shared" ref="J166:L166" si="52">J126</f>
        <v>Homo%</v>
      </c>
      <c r="K166" s="3">
        <f t="shared" si="52"/>
        <v>15.9</v>
      </c>
      <c r="L166" s="3">
        <f t="shared" si="52"/>
        <v>42.9</v>
      </c>
    </row>
    <row r="167" spans="1:12">
      <c r="A167" s="14"/>
      <c r="J167" s="3" t="str">
        <f t="shared" ref="J167:L167" si="53">J127</f>
        <v>Wildtype%</v>
      </c>
      <c r="K167" s="3">
        <f t="shared" si="53"/>
        <v>46.2</v>
      </c>
      <c r="L167" s="3">
        <f t="shared" si="53"/>
        <v>17.399999999999999</v>
      </c>
    </row>
    <row r="168" spans="1:12">
      <c r="A168" s="14"/>
      <c r="C168" s="3" t="str">
        <f>CONCATENATE("    ",B161)</f>
        <v xml:space="preserve">    People with this variant have two copies of the [C78606381T](https://www.ncbi.nlm.nih.gov/projects/SNP/snp_ref.cgi?rs=12914385) and [C645T](https://www.ncbi.nlm.nih.gov/clinvar/variation/17503/) variants. This substitution of a single nucleotide is known as a missense mutation.</v>
      </c>
    </row>
    <row r="169" spans="1:12">
      <c r="A169" s="14"/>
    </row>
    <row r="170" spans="1:12">
      <c r="A170" s="14"/>
      <c r="C170" s="3" t="s">
        <v>29</v>
      </c>
    </row>
    <row r="171" spans="1:12">
      <c r="A171" s="14"/>
    </row>
    <row r="172" spans="1:12">
      <c r="A172" s="26"/>
      <c r="C172" s="3" t="str">
        <f>CONCATENATE(B162)</f>
        <v xml:space="preserve">    There is currently no data on the interaction between these variants.  However, some information exists on the individual variants. 
    # What is the effect of C78606381T (T;T)?
    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[two](https://www.ncbi.nlm.nih.gov/pubmed/21559498)[cigarettes](https://www.ncbi.nlm.nih.gov/pubmed/23870182)[per day](https://www.ncbi.nlm.nih.gov/pubmed/20418890) and may also cause greatly increased [smoking persistence](https://www.ncbi.nlm.nih.gov/pubmed/22290489).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
    # What is the effect of C645T?
    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(NKC)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[Histone deacetylase inhibitors (HDACi) including suberoylanilide hydroxamic acid and valproric acid](https://www.ncbi.nlm.nih.gov/pubmed/17349632/) impair NKC function, and should be avoided.</v>
      </c>
    </row>
    <row r="173" spans="1:12">
      <c r="A173" s="26"/>
    </row>
    <row r="174" spans="1:12">
      <c r="A174" s="26"/>
      <c r="C174" s="3" t="s">
        <v>30</v>
      </c>
    </row>
    <row r="175" spans="1:12">
      <c r="A175" s="26"/>
    </row>
    <row r="176" spans="1:12">
      <c r="A176" s="26"/>
      <c r="C176" s="3" t="str">
        <f>CONCATENATE( "    &lt;piechart percentage=",B163," /&gt;")</f>
        <v xml:space="preserve">    &lt;piechart percentage= /&gt;</v>
      </c>
    </row>
    <row r="177" spans="1:12">
      <c r="A177" s="26"/>
      <c r="C177" s="3" t="str">
        <f>"  &lt;/Analysis&gt;"</f>
        <v xml:space="preserve">  &lt;/Analysis&gt;</v>
      </c>
      <c r="K177" s="21" t="str">
        <f t="shared" ref="K177:L177" si="54">K157</f>
        <v>rs12914385</v>
      </c>
      <c r="L177" s="21" t="str">
        <f t="shared" si="54"/>
        <v>rs1051730</v>
      </c>
    </row>
    <row r="178" spans="1:12" s="21" customFormat="1">
      <c r="A178" s="28" t="s">
        <v>69</v>
      </c>
      <c r="B178" s="20" t="str">
        <f>CONCATENATE(B38," and ",B98)</f>
        <v>C78606381T (C;T) and C645T  (T;T)</v>
      </c>
      <c r="C178" s="21" t="str">
        <f>CONCATENATE("&lt;# ",B178," #&gt;")</f>
        <v>&lt;# C78606381T (C;T) and C645T  (T;T) #&gt;</v>
      </c>
      <c r="K178" s="21" t="str">
        <f t="shared" ref="K178:L178" si="55">K158</f>
        <v>C78606381T</v>
      </c>
      <c r="L178" s="21" t="str">
        <f t="shared" si="55"/>
        <v xml:space="preserve">C645T </v>
      </c>
    </row>
    <row r="179" spans="1:12">
      <c r="A179" s="14" t="s">
        <v>21</v>
      </c>
      <c r="B179" s="15" t="str">
        <f>K82</f>
        <v>NC_000015.9:g.[78898723C&gt;T];[78898723=]</v>
      </c>
      <c r="K179" s="3" t="str">
        <f t="shared" ref="K179:L179" si="56">K159</f>
        <v>NC_000015.9:g.</v>
      </c>
      <c r="L179" s="3" t="str">
        <f t="shared" si="56"/>
        <v>NC_000015.9:g.</v>
      </c>
    </row>
    <row r="180" spans="1:12">
      <c r="A180" s="14" t="s">
        <v>71</v>
      </c>
      <c r="B180" s="15" t="str">
        <f>L82</f>
        <v>NC_000015.9:g.[78894339G&gt;A];[78894339=]</v>
      </c>
      <c r="C180" s="3" t="str">
        <f>CONCATENATE("  &lt;Analysis name=",CHAR(34),B178,CHAR(34))</f>
        <v xml:space="preserve">  &lt;Analysis name="C78606381T (C;T) and C645T  (T;T)"</v>
      </c>
      <c r="J180" s="3" t="str">
        <f t="shared" ref="J180:L180" si="57">J160</f>
        <v>Variant</v>
      </c>
      <c r="K180" s="3" t="str">
        <f t="shared" si="57"/>
        <v>[78898723C&gt;T]</v>
      </c>
      <c r="L180" s="3" t="str">
        <f t="shared" si="57"/>
        <v>[78894339G&gt;A]</v>
      </c>
    </row>
    <row r="181" spans="1:12">
      <c r="A181" s="26" t="s">
        <v>74</v>
      </c>
      <c r="B181" s="15" t="str">
        <f>CONCATENATE("People with this variant have one copy of the ",B22, " and two copies of the ",B31," variants. This substitution of a single nucleotide is known as a missense mutation.")</f>
        <v>People with this variant have one copy of the [C78606381T](https://www.ncbi.nlm.nih.gov/projects/SNP/snp_ref.cgi?rs=12914385) and two copies of the [C645T](https://www.ncbi.nlm.nih.gov/clinvar/variation/17503/) variants. This substitution of a single nucleotide is known as a missense mutation.</v>
      </c>
      <c r="C181" s="3" t="str">
        <f>CONCATENATE("            case={  variantCall ",CHAR(40),CHAR(34),K182,CHAR(34),CHAR(41))</f>
        <v xml:space="preserve">            case={  variantCall ("NC_000015.9:g.[78898723C&gt;T];[78898723=]")</v>
      </c>
      <c r="J181" s="3" t="str">
        <f t="shared" ref="J181:L181" si="58">J161</f>
        <v>Wildtype</v>
      </c>
      <c r="K181" s="3" t="str">
        <f t="shared" si="58"/>
        <v>[78898723=]</v>
      </c>
      <c r="L181" s="3" t="str">
        <f t="shared" si="58"/>
        <v>[78894339=]</v>
      </c>
    </row>
    <row r="182" spans="1:12">
      <c r="A182" s="26" t="s">
        <v>28</v>
      </c>
      <c r="B182" s="15" t="s">
        <v>160</v>
      </c>
      <c r="C182" s="3" t="s">
        <v>70</v>
      </c>
      <c r="J182" s="3" t="str">
        <f t="shared" ref="J182:L182" si="59">J162</f>
        <v>Het</v>
      </c>
      <c r="K182" s="3" t="str">
        <f t="shared" si="59"/>
        <v>NC_000015.9:g.[78898723C&gt;T];[78898723=]</v>
      </c>
      <c r="L182" s="3" t="str">
        <f t="shared" si="59"/>
        <v>NC_000015.9:g.[78894339G&gt;A];[78894339=]</v>
      </c>
    </row>
    <row r="183" spans="1:12">
      <c r="A183" s="26" t="s">
        <v>72</v>
      </c>
      <c r="C183" s="3" t="str">
        <f>CONCATENATE("                    variantCall ",CHAR(40),CHAR(34),L183,CHAR(34),CHAR(41))</f>
        <v xml:space="preserve">                    variantCall ("NC_000015.9:g.[78894339G&gt;A];[78894339G&gt;A]")</v>
      </c>
      <c r="J183" s="3" t="str">
        <f t="shared" ref="J183:L183" si="60">J163</f>
        <v>Homo</v>
      </c>
      <c r="K183" s="3" t="str">
        <f t="shared" si="60"/>
        <v>NC_000015.9:g.[78898723C&gt;T];[78898723C&gt;T]</v>
      </c>
      <c r="L183" s="3" t="str">
        <f t="shared" si="60"/>
        <v>NC_000015.9:g.[78894339G&gt;A];[78894339G&gt;A]</v>
      </c>
    </row>
    <row r="184" spans="1:12">
      <c r="A184" s="26"/>
      <c r="C184" s="3" t="str">
        <f>CONCATENATE("                  } &gt; ")</f>
        <v xml:space="preserve">                  } &gt; </v>
      </c>
      <c r="J184" s="3" t="str">
        <f t="shared" ref="J184:L184" si="61">J164</f>
        <v>Wildtype</v>
      </c>
      <c r="K184" s="3" t="str">
        <f t="shared" si="61"/>
        <v>NC_000015.9:g.[78898723=];[78898723=]</v>
      </c>
      <c r="L184" s="3" t="str">
        <f t="shared" si="61"/>
        <v>NC_000015.9:g.[78894339=];[78894339=]</v>
      </c>
    </row>
    <row r="185" spans="1:12">
      <c r="A185" s="26"/>
      <c r="J185" s="3" t="str">
        <f>J165</f>
        <v>Het%</v>
      </c>
      <c r="K185" s="3">
        <f>K165</f>
        <v>37.9</v>
      </c>
      <c r="L185" s="3">
        <f>L165</f>
        <v>39.700000000000003</v>
      </c>
    </row>
    <row r="186" spans="1:12">
      <c r="A186" s="26"/>
      <c r="C186" s="3" t="s">
        <v>26</v>
      </c>
      <c r="J186" s="3" t="str">
        <f t="shared" ref="J186:L186" si="62">J166</f>
        <v>Homo%</v>
      </c>
      <c r="K186" s="3">
        <f t="shared" si="62"/>
        <v>15.9</v>
      </c>
      <c r="L186" s="3">
        <f t="shared" si="62"/>
        <v>42.9</v>
      </c>
    </row>
    <row r="187" spans="1:12">
      <c r="A187" s="14"/>
      <c r="J187" s="3" t="str">
        <f t="shared" ref="J187:L187" si="63">J167</f>
        <v>Wildtype%</v>
      </c>
      <c r="K187" s="3">
        <f t="shared" si="63"/>
        <v>46.2</v>
      </c>
      <c r="L187" s="3">
        <f t="shared" si="63"/>
        <v>17.399999999999999</v>
      </c>
    </row>
    <row r="188" spans="1:12">
      <c r="A188" s="14"/>
      <c r="C188" s="3" t="str">
        <f>CONCATENATE("    ",B181)</f>
        <v xml:space="preserve">    People with this variant have one copy of the [C78606381T](https://www.ncbi.nlm.nih.gov/projects/SNP/snp_ref.cgi?rs=12914385) and two copies of the [C645T](https://www.ncbi.nlm.nih.gov/clinvar/variation/17503/) variants. This substitution of a single nucleotide is known as a missense mutation.</v>
      </c>
    </row>
    <row r="189" spans="1:12">
      <c r="A189" s="14"/>
    </row>
    <row r="190" spans="1:12">
      <c r="A190" s="14"/>
      <c r="C190" s="3" t="s">
        <v>29</v>
      </c>
    </row>
    <row r="191" spans="1:12">
      <c r="A191" s="14"/>
    </row>
    <row r="192" spans="1:12">
      <c r="A192" s="26"/>
      <c r="C192" s="3" t="str">
        <f>CONCATENATE(B182)</f>
        <v xml:space="preserve">    # What is the effect of C78606381T (C;T)?
    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1.2](https://www.ncbi.nlm.nih.gov/pubmed/28827732), and [COPD](https://www.ncbi.nlm.nih.gov/pubmed/24621683), with an [odds ratio of 1.39](https://www.ncbi.nlm.nih.gov/pubmed/24621683). It causes an [increase](https://www.ncbi.nlm.nih.gov/pubmed/29030599) of [one](https://www.ncbi.nlm.nih.gov/pubmed/21559498)[cigarette](https://www.ncbi.nlm.nih.gov/pubmed/23870182)[per day](https://www.ncbi.nlm.nih.gov/pubmed/20418890) and may also cause [smoking persistence](https://www.ncbi.nlm.nih.gov/pubmed/22290489). However, the C allele is protective, with a [decrease of 3.25 packs per year per C allele](https://www.ncbi.nlm.nih.gov/pubmed/21436384). Finally, his variant may cause an increase in [cocaine dependence](https://www.ncbi.nlm.nih.gov/pubmed/20485328).
    # What is the effect of C645T?
    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
    # What should I do about this?
    People should not smoke or use cocaine.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3" spans="1:3">
      <c r="A193" s="26"/>
    </row>
    <row r="194" spans="1:3">
      <c r="A194" s="26"/>
      <c r="C194" s="3" t="s">
        <v>30</v>
      </c>
    </row>
    <row r="195" spans="1:3">
      <c r="A195" s="26"/>
    </row>
    <row r="196" spans="1:3">
      <c r="A196" s="26"/>
      <c r="C196" s="3" t="str">
        <f>CONCATENATE( "    &lt;piechart percentage=",B183," /&gt;")</f>
        <v xml:space="preserve">    &lt;piechart percentage= /&gt;</v>
      </c>
    </row>
    <row r="197" spans="1:3">
      <c r="A197" s="26"/>
      <c r="C197" s="3" t="str">
        <f>"  &lt;/Analysis&gt;"</f>
        <v xml:space="preserve">  &lt;/Analysis&gt;</v>
      </c>
    </row>
    <row r="198" spans="1:3" s="21" customFormat="1">
      <c r="A198" s="28" t="s">
        <v>69</v>
      </c>
      <c r="B198" s="20" t="s">
        <v>83</v>
      </c>
      <c r="C198" s="21" t="str">
        <f>CONCATENATE("&lt;# ",B198," #&gt;")</f>
        <v>&lt;# Wild type #&gt;</v>
      </c>
    </row>
    <row r="199" spans="1:3">
      <c r="A199" s="14" t="s">
        <v>21</v>
      </c>
      <c r="B199" s="15" t="str">
        <f>K44</f>
        <v>NC_000015.9:g.[78898723=];[78898723=]</v>
      </c>
    </row>
    <row r="200" spans="1:3">
      <c r="A200" s="14" t="s">
        <v>71</v>
      </c>
      <c r="B200" s="15" t="str">
        <f>L44</f>
        <v>NC_000015.9:g.[78894339=];[78894339=]</v>
      </c>
      <c r="C200" s="3" t="str">
        <f>CONCATENATE("  &lt;Analysis name=",CHAR(34),B198,CHAR(34))</f>
        <v xml:space="preserve">  &lt;Analysis name="Wild type"</v>
      </c>
    </row>
    <row r="201" spans="1:3">
      <c r="A201" s="26" t="s">
        <v>74</v>
      </c>
      <c r="B201" s="15" t="str">
        <f>CONCATENATE("Your ",B12," gene has no variants. A normal gene is referred to as a ",CHAR(34),"wild-type",CHAR(34)," gene.")</f>
        <v>Your CHRNA3 gene has no variants. A normal gene is referred to as a "wild-type" gene.</v>
      </c>
      <c r="C201" s="3" t="str">
        <f>CONCATENATE("            case={  variantCall ",CHAR(40),CHAR(34),B199,CHAR(34),CHAR(41))</f>
        <v xml:space="preserve">            case={  variantCall ("NC_000015.9:g.[78898723=];[78898723=]")</v>
      </c>
    </row>
    <row r="202" spans="1:3">
      <c r="A202" s="26" t="s">
        <v>28</v>
      </c>
      <c r="C202" s="3" t="s">
        <v>70</v>
      </c>
    </row>
    <row r="203" spans="1:3">
      <c r="A203" s="26" t="s">
        <v>72</v>
      </c>
      <c r="C203" s="3" t="str">
        <f>CONCATENATE("                    variantCall ",CHAR(40),CHAR(34),B200,CHAR(34),CHAR(41))</f>
        <v xml:space="preserve">                    variantCall ("NC_000015.9:g.[78894339=];[78894339=]")</v>
      </c>
    </row>
    <row r="204" spans="1:3">
      <c r="A204" s="26"/>
      <c r="C204" s="3" t="str">
        <f>CONCATENATE("                  } &gt; ")</f>
        <v xml:space="preserve">                  } &gt; </v>
      </c>
    </row>
    <row r="205" spans="1:3">
      <c r="A205" s="26"/>
    </row>
    <row r="206" spans="1:3">
      <c r="A206" s="26"/>
      <c r="C206" s="3" t="s">
        <v>26</v>
      </c>
    </row>
    <row r="207" spans="1:3">
      <c r="A207" s="14"/>
    </row>
    <row r="208" spans="1:3">
      <c r="A208" s="14"/>
      <c r="C208" s="3" t="str">
        <f>CONCATENATE("    ",B201)</f>
        <v xml:space="preserve">    Your CHRNA3 gene has no variants. A normal gene is referred to as a "wild-type" gene.</v>
      </c>
    </row>
    <row r="209" spans="1:3">
      <c r="A209" s="14"/>
    </row>
    <row r="210" spans="1:3">
      <c r="A210" s="26"/>
      <c r="C210" s="3" t="s">
        <v>30</v>
      </c>
    </row>
    <row r="211" spans="1:3">
      <c r="A211" s="26"/>
    </row>
    <row r="212" spans="1:3">
      <c r="A212" s="26"/>
      <c r="C212" s="3" t="str">
        <f>CONCATENATE( "    &lt;piechart percentage=",B203," /&gt;")</f>
        <v xml:space="preserve">    &lt;piechart percentage= /&gt;</v>
      </c>
    </row>
    <row r="213" spans="1:3">
      <c r="A213" s="26"/>
      <c r="C213" s="3" t="str">
        <f>"  &lt;/Analysis&gt;"</f>
        <v xml:space="preserve">  &lt;/Analysis&gt;</v>
      </c>
    </row>
    <row r="214" spans="1:3" s="21" customFormat="1">
      <c r="A214" s="28" t="s">
        <v>69</v>
      </c>
      <c r="B214" s="20" t="s">
        <v>84</v>
      </c>
      <c r="C214" s="21" t="str">
        <f>CONCATENATE("&lt;# ",B214," #&gt;")</f>
        <v>&lt;# Unknown #&gt;</v>
      </c>
    </row>
    <row r="215" spans="1:3">
      <c r="A215" s="14" t="s">
        <v>21</v>
      </c>
      <c r="B215" s="15" t="str">
        <f>K60</f>
        <v>[78898723C&gt;T]</v>
      </c>
    </row>
    <row r="216" spans="1:3">
      <c r="A216" s="14" t="s">
        <v>71</v>
      </c>
      <c r="C216" s="3" t="str">
        <f>CONCATENATE("  &lt;Analysis name=",CHAR(34),B214,CHAR(34), " case=true&gt;")</f>
        <v xml:space="preserve">  &lt;Analysis name="Unknown" case=true&gt;</v>
      </c>
    </row>
    <row r="217" spans="1:3">
      <c r="A217" s="26" t="s">
        <v>74</v>
      </c>
      <c r="B217" s="15" t="s">
        <v>31</v>
      </c>
    </row>
    <row r="218" spans="1:3">
      <c r="A218" s="26" t="s">
        <v>72</v>
      </c>
      <c r="B218" s="15">
        <v>0</v>
      </c>
      <c r="C218" s="3" t="s">
        <v>26</v>
      </c>
    </row>
    <row r="219" spans="1:3">
      <c r="A219" s="26"/>
    </row>
    <row r="220" spans="1:3">
      <c r="A220" s="14"/>
      <c r="C220" s="3" t="str">
        <f>CONCATENATE("    ",B217)</f>
        <v xml:space="preserve">    The effect is unknown.</v>
      </c>
    </row>
    <row r="221" spans="1:3">
      <c r="A221" s="14"/>
    </row>
    <row r="222" spans="1:3">
      <c r="A222" s="14"/>
      <c r="C222" s="3" t="s">
        <v>30</v>
      </c>
    </row>
    <row r="223" spans="1:3">
      <c r="A223" s="26"/>
    </row>
    <row r="224" spans="1:3">
      <c r="A224" s="26"/>
      <c r="C224" s="3" t="str">
        <f>CONCATENATE( "    &lt;piechart percentage=",B218," /&gt;")</f>
        <v xml:space="preserve">    &lt;piechart percentage=0 /&gt;</v>
      </c>
    </row>
    <row r="225" spans="1:3">
      <c r="A225" s="26"/>
      <c r="C225" s="3" t="str">
        <f>"  &lt;/Analysis&gt;"</f>
        <v xml:space="preserve">  &lt;/Analysis&gt;</v>
      </c>
    </row>
    <row r="226" spans="1:3">
      <c r="A226" s="14"/>
      <c r="C226" s="31" t="s">
        <v>369</v>
      </c>
    </row>
    <row r="227" spans="1:3" s="21" customFormat="1">
      <c r="A227" s="19"/>
      <c r="B227" s="20"/>
      <c r="C227" s="35"/>
    </row>
    <row r="228" spans="1:3">
      <c r="A228" s="14" t="s">
        <v>77</v>
      </c>
      <c r="B228" s="30" t="s">
        <v>47</v>
      </c>
      <c r="C228" s="10" t="str">
        <f>CONCATENATE("&lt;# ",A228," ",B228," #&gt;")</f>
        <v>&lt;# Tissues brain D001921 bone marrow and immune system D007107  #&gt;</v>
      </c>
    </row>
    <row r="229" spans="1:3">
      <c r="A229" s="14"/>
    </row>
    <row r="230" spans="1:3">
      <c r="A230" s="14"/>
      <c r="B230" s="30" t="s">
        <v>164</v>
      </c>
      <c r="C230" s="31" t="str">
        <f>CONCATENATE("&lt;TopicBar ",B230," /&gt;")</f>
        <v>&lt;TopicBar mesh_D001921 mesh_D007107  /&gt;</v>
      </c>
    </row>
    <row r="231" spans="1:3">
      <c r="A231" s="14"/>
    </row>
    <row r="232" spans="1:3">
      <c r="A232" s="14" t="s">
        <v>32</v>
      </c>
      <c r="B232" s="30" t="s">
        <v>46</v>
      </c>
      <c r="C232" s="10" t="str">
        <f>CONCATENATE("&lt;# ",A232," ",B232," #&gt;")</f>
        <v>&lt;# Symptoms fatigue D005221 inflamation D007249 anxiety D001007 depression D003863 #&gt;</v>
      </c>
    </row>
    <row r="233" spans="1:3">
      <c r="A233" s="14"/>
    </row>
    <row r="234" spans="1:3">
      <c r="A234" s="14"/>
      <c r="B234" s="30" t="s">
        <v>165</v>
      </c>
      <c r="C234" s="31" t="str">
        <f>CONCATENATE("&lt;TopicBar ",B234," /&gt;")</f>
        <v>&lt;TopicBar mesh_D005221 mesh_D007249 mesh_D001007 mesh_D003863 /&gt;</v>
      </c>
    </row>
    <row r="235" spans="1:3">
      <c r="A235" s="14"/>
      <c r="C235" s="31"/>
    </row>
    <row r="236" spans="1:3">
      <c r="A236" s="14" t="s">
        <v>48</v>
      </c>
      <c r="B236" s="3" t="s">
        <v>49</v>
      </c>
      <c r="C236" s="10" t="str">
        <f>CONCATENATE("&lt;# ",A236," ",B236," #&gt;")</f>
        <v>&lt;# Diseases cancer;  COPD; anxiety disorder; ME/CFS; nicotine dependency; autoimmune disorder; Disease susceptibility - increased susceptibility to viral, bacterial, and parasitical infections; cocaine dependence; schizophrenia, Major depression; coronary heart disease; #&gt;</v>
      </c>
    </row>
    <row r="237" spans="1:3">
      <c r="A237" s="14"/>
    </row>
    <row r="238" spans="1:3">
      <c r="A238" s="14"/>
      <c r="B238" s="3" t="s">
        <v>166</v>
      </c>
      <c r="C238" s="31" t="str">
        <f>CONCATENATE("&lt;TopicBar ",B238," /&gt;")</f>
        <v>&lt;TopicBar mesh_D009369 mesh_D029424 mesh_D001008 mesh_D015673 mesh_D014029 mesh_D001327 mesh_D004198 mesh_D019970 mesh_D012559 mesh_D003866 mesh_D003327  /&gt;</v>
      </c>
    </row>
    <row r="239" spans="1:3">
      <c r="A239" s="14"/>
    </row>
    <row r="240" spans="1:3" s="21" customFormat="1">
      <c r="A240" s="28"/>
      <c r="B240" s="20"/>
    </row>
    <row r="241" spans="2:2">
      <c r="B241" s="30"/>
    </row>
    <row r="243" spans="2:2">
      <c r="B243" s="30"/>
    </row>
    <row r="245" spans="2:2">
      <c r="B245" s="30"/>
    </row>
    <row r="247" spans="2:2">
      <c r="B247" s="30"/>
    </row>
    <row r="249" spans="2:2">
      <c r="B249" s="3"/>
    </row>
    <row r="251" spans="2:2">
      <c r="B251" s="3"/>
    </row>
    <row r="923" spans="3:3">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3 variants</vt:lpstr>
      <vt:lpstr>COMT</vt:lpstr>
      <vt:lpstr>CHRNA2</vt:lpstr>
      <vt:lpstr>GRIK3</vt:lpstr>
      <vt:lpstr>CHRNE</vt:lpstr>
      <vt:lpstr>CLYBL</vt:lpstr>
      <vt:lpstr>GRIK2</vt:lpstr>
      <vt:lpstr>MTHFR</vt:lpstr>
      <vt:lpstr>CHRNA3</vt:lpstr>
      <vt:lpstr>CRHR1</vt:lpstr>
      <vt:lpstr>CHRNA5</vt:lpstr>
      <vt:lpstr>CHRNB4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It's a mini</cp:lastModifiedBy>
  <dcterms:created xsi:type="dcterms:W3CDTF">2018-08-23T00:10:44Z</dcterms:created>
  <dcterms:modified xsi:type="dcterms:W3CDTF">2018-11-07T01:16:19Z</dcterms:modified>
</cp:coreProperties>
</file>