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E04EBB6D-9502-4EDB-8FCF-B1E89A2D2A82}" xr6:coauthVersionLast="34" xr6:coauthVersionMax="34" xr10:uidLastSave="{00000000-0000-0000-0000-000000000000}"/>
  <bookViews>
    <workbookView xWindow="0" yWindow="0" windowWidth="7740" windowHeight="3285" activeTab="1" xr2:uid="{37CBBA56-91A8-400C-8519-D84B1C9C5B0B}"/>
  </bookViews>
  <sheets>
    <sheet name="Sheet1" sheetId="1" r:id="rId1"/>
    <sheet name="MTHFR" sheetId="2"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44" i="2" l="1"/>
  <c r="C143" i="2"/>
  <c r="C141" i="2"/>
  <c r="C124" i="2"/>
  <c r="C123" i="2"/>
  <c r="C121" i="2"/>
  <c r="C104" i="2"/>
  <c r="C103" i="2"/>
  <c r="C101" i="2"/>
  <c r="C84" i="2"/>
  <c r="C83" i="2"/>
  <c r="C81" i="2"/>
  <c r="C64" i="2"/>
  <c r="C63" i="2"/>
  <c r="C61" i="2"/>
  <c r="C60" i="2"/>
  <c r="C44" i="2"/>
  <c r="C43" i="2"/>
  <c r="C41" i="2"/>
  <c r="C156" i="2"/>
  <c r="C164" i="2"/>
  <c r="C165" i="2"/>
  <c r="C160" i="2"/>
  <c r="B155" i="2"/>
  <c r="C154" i="2"/>
  <c r="B150" i="1"/>
  <c r="C153" i="2"/>
  <c r="C152" i="2"/>
  <c r="C138" i="2"/>
  <c r="C178" i="2"/>
  <c r="C170" i="2"/>
  <c r="C174" i="2"/>
  <c r="C176" i="2"/>
  <c r="C172" i="2"/>
  <c r="C168" i="2"/>
  <c r="C137" i="2"/>
  <c r="C136" i="2"/>
  <c r="C132" i="2"/>
  <c r="B121" i="2"/>
  <c r="C128" i="2" s="1"/>
  <c r="B103" i="2"/>
  <c r="C116" i="2" s="1"/>
  <c r="B101" i="2"/>
  <c r="B81" i="2"/>
  <c r="C88" i="2" s="1"/>
  <c r="B83" i="2"/>
  <c r="C96" i="2" s="1"/>
  <c r="B98" i="2"/>
  <c r="C98" i="2" s="1"/>
  <c r="B78" i="2"/>
  <c r="C78" i="2" s="1"/>
  <c r="C117" i="2"/>
  <c r="C112" i="2"/>
  <c r="C108" i="2"/>
  <c r="C97" i="2"/>
  <c r="C92" i="2"/>
  <c r="C18" i="2"/>
  <c r="B63" i="2"/>
  <c r="C76" i="2" s="1"/>
  <c r="B61" i="2"/>
  <c r="C68" i="2" s="1"/>
  <c r="B48" i="1"/>
  <c r="B58" i="2"/>
  <c r="C58" i="2" s="1"/>
  <c r="C77" i="2"/>
  <c r="C72" i="2"/>
  <c r="C52" i="2"/>
  <c r="C57" i="2"/>
  <c r="B41" i="2"/>
  <c r="C48" i="2" s="1"/>
  <c r="B30" i="2"/>
  <c r="C30" i="2" s="1"/>
  <c r="B38" i="2"/>
  <c r="C40" i="2" s="1"/>
  <c r="B43" i="2"/>
  <c r="C56" i="2" s="1"/>
  <c r="K39" i="2"/>
  <c r="L40" i="2"/>
  <c r="L41" i="2"/>
  <c r="L39" i="2"/>
  <c r="K41" i="2"/>
  <c r="K40" i="2"/>
  <c r="B12" i="2"/>
  <c r="C12" i="2" s="1"/>
  <c r="C2365" i="2"/>
  <c r="C2359" i="2"/>
  <c r="C2229" i="2"/>
  <c r="C2223" i="2"/>
  <c r="C2093" i="2"/>
  <c r="C2087" i="2"/>
  <c r="C1957" i="2"/>
  <c r="C1951" i="2"/>
  <c r="C1821" i="2"/>
  <c r="C1815" i="2"/>
  <c r="C1685" i="2"/>
  <c r="C1679" i="2"/>
  <c r="C1549" i="2"/>
  <c r="C1543" i="2"/>
  <c r="C1413" i="2"/>
  <c r="C1407" i="2"/>
  <c r="C1005" i="2"/>
  <c r="C999" i="2"/>
  <c r="C869" i="2"/>
  <c r="C863" i="2"/>
  <c r="C32" i="2"/>
  <c r="C28" i="2"/>
  <c r="C26" i="2"/>
  <c r="C24" i="2"/>
  <c r="C22" i="2"/>
  <c r="C20" i="2"/>
  <c r="L38" i="2"/>
  <c r="K38" i="2"/>
  <c r="C8" i="2"/>
  <c r="C6" i="2"/>
  <c r="C4" i="2"/>
  <c r="C2" i="2"/>
  <c r="C16" i="2" l="1"/>
  <c r="B141" i="2"/>
  <c r="C148" i="2" s="1"/>
  <c r="C140" i="2"/>
  <c r="B118" i="2"/>
  <c r="C118" i="2" s="1"/>
  <c r="K43" i="2"/>
  <c r="B59" i="2" s="1"/>
  <c r="C38" i="2"/>
  <c r="L42" i="2"/>
  <c r="K44" i="2"/>
  <c r="B139" i="2" s="1"/>
  <c r="C80" i="2"/>
  <c r="C100" i="2"/>
  <c r="K42" i="2"/>
  <c r="L43" i="2"/>
  <c r="B100" i="2" s="1"/>
  <c r="L44" i="2"/>
  <c r="C14" i="2"/>
  <c r="B60" i="2" l="1"/>
  <c r="B140" i="2"/>
  <c r="C120" i="2"/>
  <c r="B120" i="2"/>
  <c r="B80" i="2"/>
  <c r="B39" i="2"/>
  <c r="B119" i="2"/>
  <c r="B79" i="2"/>
  <c r="B99" i="2"/>
  <c r="B40" i="2"/>
  <c r="C208" i="1" l="1"/>
  <c r="C205" i="1"/>
  <c r="C201" i="1"/>
  <c r="C192" i="1"/>
  <c r="C188" i="1"/>
  <c r="C180" i="1"/>
  <c r="C176" i="1"/>
  <c r="B172" i="1"/>
  <c r="C172" i="1" s="1"/>
  <c r="C170" i="1"/>
  <c r="C164" i="1"/>
  <c r="C163" i="1"/>
  <c r="C162" i="1"/>
  <c r="C158" i="1"/>
  <c r="C150" i="1"/>
  <c r="C154" i="1"/>
  <c r="C148" i="1"/>
  <c r="C147" i="1"/>
  <c r="C143" i="1"/>
  <c r="C135" i="1"/>
  <c r="B135" i="1"/>
  <c r="C139" i="1" s="1"/>
  <c r="C133" i="1"/>
  <c r="C132" i="1"/>
  <c r="C128" i="1"/>
  <c r="B126" i="1"/>
  <c r="C124" i="1" s="1"/>
  <c r="B125" i="1"/>
  <c r="B124" i="1"/>
  <c r="B123" i="1"/>
  <c r="B122" i="1"/>
  <c r="B121" i="1"/>
  <c r="B120" i="1"/>
  <c r="C118" i="1"/>
  <c r="C117" i="1"/>
  <c r="C113" i="1"/>
  <c r="C105" i="1"/>
  <c r="B105" i="1"/>
  <c r="C109" i="1" s="1"/>
  <c r="C104" i="1"/>
  <c r="C103" i="1"/>
  <c r="C99" i="1"/>
  <c r="C91" i="1"/>
  <c r="B91" i="1"/>
  <c r="C95" i="1" s="1"/>
  <c r="C90" i="1"/>
  <c r="C89" i="1"/>
  <c r="C85" i="1"/>
  <c r="B80" i="1"/>
  <c r="C81" i="1" s="1"/>
  <c r="C77" i="1"/>
  <c r="C75" i="1"/>
  <c r="C74" i="1"/>
  <c r="C70" i="1"/>
  <c r="C62" i="1"/>
  <c r="B62" i="1"/>
  <c r="C66" i="1" s="1"/>
  <c r="C61" i="1"/>
  <c r="C60" i="1"/>
  <c r="C56" i="1"/>
  <c r="C48" i="1"/>
  <c r="C52" i="1"/>
  <c r="C47" i="1"/>
  <c r="C46" i="1"/>
  <c r="C42" i="1"/>
  <c r="B37" i="1"/>
  <c r="C38" i="1" s="1"/>
  <c r="C34" i="1"/>
  <c r="C31" i="1"/>
  <c r="B30" i="1"/>
  <c r="C29" i="1" s="1"/>
  <c r="C27" i="1"/>
  <c r="C26" i="1"/>
  <c r="C76" i="1" s="1"/>
  <c r="C25" i="1"/>
  <c r="C23" i="1"/>
  <c r="C21" i="1"/>
  <c r="C20" i="1"/>
  <c r="C33" i="1" s="1"/>
  <c r="C18" i="1"/>
  <c r="C16" i="1"/>
  <c r="C14" i="1"/>
  <c r="C10" i="1"/>
  <c r="C8" i="1" s="1"/>
  <c r="C6" i="1"/>
  <c r="C120" i="1" l="1"/>
</calcChain>
</file>

<file path=xl/sharedStrings.xml><?xml version="1.0" encoding="utf-8"?>
<sst xmlns="http://schemas.openxmlformats.org/spreadsheetml/2006/main" count="303" uniqueCount="117">
  <si>
    <t>Type</t>
  </si>
  <si>
    <t>Value</t>
  </si>
  <si>
    <t>Paragraph</t>
  </si>
  <si>
    <t>Gene</t>
  </si>
  <si>
    <t>MTHFR</t>
  </si>
  <si>
    <t>Intro</t>
  </si>
  <si>
    <t>Chromosome</t>
  </si>
  <si>
    <t>Item</t>
  </si>
  <si>
    <t>enzyme</t>
  </si>
  <si>
    <t>Area</t>
  </si>
  <si>
    <t>endocrine system and pancreas.</t>
  </si>
  <si>
    <t>Interval</t>
  </si>
  <si>
    <t>NC_000001.11 :g.11785730_11806103</t>
  </si>
  <si>
    <t>Variant Number</t>
  </si>
  <si>
    <t>two</t>
  </si>
  <si>
    <t xml:space="preserve"> </t>
  </si>
  <si>
    <t>Gene Location</t>
  </si>
  <si>
    <t>NC_000022.11:g.19963748G&gt;A</t>
  </si>
  <si>
    <t>Name</t>
  </si>
  <si>
    <t>C677T</t>
  </si>
  <si>
    <t>Original</t>
  </si>
  <si>
    <t>cytosine (C)</t>
  </si>
  <si>
    <t>Change</t>
  </si>
  <si>
    <t>thymine (T)</t>
  </si>
  <si>
    <t>Variant</t>
  </si>
  <si>
    <t>[C677T](http://gnomad.broadinstitute.org/variant/1-11856378-G-A)</t>
  </si>
  <si>
    <t>NC_000022.11:g.19962712C&gt;T</t>
  </si>
  <si>
    <t>A1298C</t>
  </si>
  <si>
    <t>adenine (A)</t>
  </si>
  <si>
    <t>[A1298C](https://www.ncbi.nlm.nih.gov/projects/SNP/snp_ref.cgi?rs=1801131)</t>
  </si>
  <si>
    <t>HGVS</t>
  </si>
  <si>
    <t>NC_00001.11:g.</t>
  </si>
  <si>
    <t>[12345C&gt;T]</t>
  </si>
  <si>
    <t>[12345=]</t>
  </si>
  <si>
    <t xml:space="preserve">    # What does this mean?</t>
  </si>
  <si>
    <t>het meaning</t>
  </si>
  <si>
    <t>het effect</t>
  </si>
  <si>
    <t>You are in the Mild Loss of Function category. See below for more information.</t>
  </si>
  <si>
    <t>percentage</t>
  </si>
  <si>
    <t xml:space="preserve">    # What is the effect of this variant?</t>
  </si>
  <si>
    <t xml:space="preserve">    # How common is this genotype in the general population?</t>
  </si>
  <si>
    <t>hom meaning</t>
  </si>
  <si>
    <t>hom effect</t>
  </si>
  <si>
    <t>You are in the Moderate Loss of Function category. See below for more information.</t>
  </si>
  <si>
    <t>wild meaning</t>
  </si>
  <si>
    <t>wild effect</t>
  </si>
  <si>
    <t>Your variant is not associated with any loss of function.</t>
  </si>
  <si>
    <t>NC_000001.11:g.</t>
  </si>
  <si>
    <t>[11794419T&gt;G]</t>
  </si>
  <si>
    <t>[11794419T=]</t>
  </si>
  <si>
    <t>&lt;# C677T (C;T) ; A1298C (A;C) #&gt;</t>
  </si>
  <si>
    <t>You are in the Severe Loss of Function category. See below for more information.</t>
  </si>
  <si>
    <t>&lt;# unknown #&gt;</t>
  </si>
  <si>
    <t>unknown</t>
  </si>
  <si>
    <t>The effect is unknown.</t>
  </si>
  <si>
    <t>&lt;# wildtype #&gt;</t>
  </si>
  <si>
    <t>This variant is not associated with increased risk.</t>
  </si>
  <si>
    <t>&lt;# A1298C (C:C) C677T (C:T) #&gt;</t>
  </si>
  <si>
    <t>| Variant       |Population %           | 
| :-------------: |:-------------:|
| A1298C (C:C)  | 4% |
| C677T (C:T) | 30%      |</t>
  </si>
  <si>
    <t>Effect</t>
  </si>
  <si>
    <t># Mild Loss of Function</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</si>
  <si>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</si>
  <si>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What should I do about this?</t>
  </si>
  <si>
    <t xml:space="preserve">Some people with mild loss of function variant may benefit from supplementing their diets with an [oral folic acid](https://www.ncbi.nlm.nih.gov/pubmed/25902009) supplement. Consult your physician. </t>
  </si>
  <si>
    <t>&lt;# A1298C (A:C) C677T (T:T) #&gt;</t>
  </si>
  <si>
    <t>| Variant       |Population %           | 
| :-------------: |:-------------:|
| A1298C (A:C)  | 20% |
| C677T (T:T) | 9%      |</t>
  </si>
  <si>
    <t># Moderate Loss of Function</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</si>
  <si>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</si>
  <si>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</si>
  <si>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Variant       |Population %           | 
| :-------------: |:-------------:|
| C677T (C;T) ; A1298C (A;C) | 6% |</t>
  </si>
  <si>
    <t># Severe Loss of Function</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</si>
  <si>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</si>
  <si>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</si>
  <si>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Symptoms</t>
  </si>
  <si>
    <t>fatigue D005221 memory problems D008569 inflamation D007249</t>
  </si>
  <si>
    <t>Metabolism of folate and pterines, • Folate Metabolism</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</si>
  <si>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</si>
  <si>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Gene_Name</t>
  </si>
  <si>
    <t>GeneName_full</t>
  </si>
  <si>
    <t>Diseases</t>
  </si>
  <si>
    <t>Methylenetetrahydrofolate reductase</t>
  </si>
  <si>
    <t>Variant Location</t>
  </si>
  <si>
    <t>Wildtype</t>
  </si>
  <si>
    <t>rs1801131</t>
  </si>
  <si>
    <t>rs1801133</t>
  </si>
  <si>
    <t>NC_000001.10:g.11854476T&gt;G</t>
  </si>
  <si>
    <t>[11854476T&gt;G]</t>
  </si>
  <si>
    <t>[11854476=]</t>
  </si>
  <si>
    <t>NC_000001.10:g.11856378G&gt;A</t>
  </si>
  <si>
    <t>[11856378G&gt;A]</t>
  </si>
  <si>
    <t>[11856378=]</t>
  </si>
  <si>
    <t>&lt;/GeneMap&gt;</t>
  </si>
  <si>
    <t>&lt;AnalysisBox&gt;</t>
  </si>
  <si>
    <t>Het</t>
  </si>
  <si>
    <t>Homo</t>
  </si>
  <si>
    <t>Place</t>
  </si>
  <si>
    <t>NC_000001.10:g.</t>
  </si>
  <si>
    <t>Het%</t>
  </si>
  <si>
    <t>Homo%</t>
  </si>
  <si>
    <t>Wildtype%</t>
  </si>
  <si>
    <t xml:space="preserve">Name </t>
  </si>
  <si>
    <t xml:space="preserve">                    and</t>
  </si>
  <si>
    <t>Second Gene</t>
  </si>
  <si>
    <t>Percentage</t>
  </si>
  <si>
    <t xml:space="preserve">    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Some people with mild loss of function variant may benefit from supplementing their diets with an [oral folic acid](https://www.ncbi.nlm.nih.gov/pubmed/25902009) supplement. Consult your physician. </t>
  </si>
  <si>
    <t>homo meaning</t>
  </si>
  <si>
    <t xml:space="preserve">    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</si>
  <si>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xml:space="preserve">
    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 What should I do about this?
    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</si>
  <si>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&lt;/AnalysisBox&gt;</t>
  </si>
  <si>
    <t>Tissues</t>
  </si>
  <si>
    <t>endocrineSystem and pancreas</t>
  </si>
  <si>
    <t>endocrineSystem pancreas</t>
  </si>
  <si>
    <t>mesh_D005221 mesh_D008569 mesh_D007249</t>
  </si>
  <si>
    <t xml:space="preserve">depression D003866 hypothyroid D007037 </t>
  </si>
  <si>
    <t xml:space="preserve">mesh_D003866 mesh_D007037 </t>
  </si>
  <si>
    <t>Wild type</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</si>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</sst>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0"/>
      <color rgb="FF24292E"/>
      <name val="Consolas"/>
      <family val="3"/>
    </font>
    <font>
      <sz val="12"/>
      <color theme="1"/>
      <name val="Calibri"/>
      <family val="2"/>
    </font>
    <font>
      <sz val="12"/>
      <color rgb="FF24292E"/>
      <name val="Segoe UI"/>
      <family val="2"/>
    </font>
    <font>
      <sz val="10"/>
      <color rgb="FF000000"/>
      <name val="Arial"/>
      <family val="2"/>
    </font>
    <font>
      <sz val="10"/>
      <color theme="1"/>
      <name val="Arial"/>
      <family val="2"/>
    </font>
    <font>
      <sz val="10"/>
      <color rgb="FF222222"/>
      <name val="Verdana"/>
      <family val="2"/>
    </font>
    <font>
      <u/>
      <sz val="11"/>
      <color theme="10"/>
      <name val="Calibri"/>
      <family val="2"/>
      <scheme val="minor"/>
    </font>
    <font>
      <b/>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1"/>
      <color rgb="FF000000"/>
      <name val="Calibri"/>
      <family val="2"/>
    </font>
    <font>
      <sz val="12"/>
      <color rgb="FF000000"/>
      <name val="Calibri"/>
      <family val="2"/>
    </font>
    <font>
      <sz val="10"/>
      <color rgb="FF000000"/>
      <name val="Courier New"/>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44">
    <xf numFmtId="0" fontId="0" fillId="0" borderId="0" xfId="0"/>
    <xf numFmtId="0" fontId="1" fillId="0" borderId="0" xfId="0" applyFont="1"/>
    <xf numFmtId="0" fontId="1" fillId="0" borderId="0" xfId="0" applyFont="1" applyAlignment="1">
      <alignment horizontal="left"/>
    </xf>
    <xf numFmtId="0" fontId="2" fillId="0" borderId="0" xfId="0" applyFont="1" applyAlignment="1">
      <alignment horizontal="left" vertical="center" indent="1"/>
    </xf>
    <xf numFmtId="0" fontId="0" fillId="0" borderId="0" xfId="0" applyAlignment="1">
      <alignment horizontal="left"/>
    </xf>
    <xf numFmtId="0" fontId="3" fillId="0" borderId="0" xfId="0" applyFont="1" applyAlignment="1"/>
    <xf numFmtId="0" fontId="4" fillId="0" borderId="0" xfId="0" applyFont="1" applyAlignment="1">
      <alignment horizontal="left"/>
    </xf>
    <xf numFmtId="0" fontId="0" fillId="0" borderId="0" xfId="0" applyAlignment="1">
      <alignment horizontal="left" vertical="center" indent="1"/>
    </xf>
    <xf numFmtId="0" fontId="2" fillId="2" borderId="0" xfId="0" applyFont="1" applyFill="1" applyAlignment="1">
      <alignment horizontal="left" vertical="center" indent="1"/>
    </xf>
    <xf numFmtId="0" fontId="0" fillId="2" borderId="0" xfId="0" applyFill="1" applyAlignment="1">
      <alignment horizontal="left"/>
    </xf>
    <xf numFmtId="0" fontId="0" fillId="2" borderId="0" xfId="0" applyFill="1"/>
    <xf numFmtId="0" fontId="5" fillId="0" borderId="0" xfId="0" applyFont="1"/>
    <xf numFmtId="0" fontId="6" fillId="0" borderId="0" xfId="0" applyFont="1"/>
    <xf numFmtId="0" fontId="0" fillId="2" borderId="0" xfId="0" applyFill="1" applyAlignment="1">
      <alignment horizontal="left" vertical="center" indent="1"/>
    </xf>
    <xf numFmtId="0" fontId="0" fillId="0" borderId="0" xfId="0" applyAlignment="1">
      <alignment wrapText="1"/>
    </xf>
    <xf numFmtId="0" fontId="7" fillId="0" borderId="0" xfId="0" applyFont="1"/>
    <xf numFmtId="0" fontId="8" fillId="0" borderId="0" xfId="1" applyAlignment="1">
      <alignment horizontal="left" vertical="center" indent="1"/>
    </xf>
    <xf numFmtId="0" fontId="9" fillId="0" borderId="0" xfId="0" applyFont="1" applyAlignment="1"/>
    <xf numFmtId="0" fontId="9" fillId="0" borderId="0" xfId="0" applyFont="1" applyAlignment="1">
      <alignment horizontal="left"/>
    </xf>
    <xf numFmtId="0" fontId="3" fillId="0" borderId="0" xfId="0" applyFont="1" applyFill="1" applyAlignment="1"/>
    <xf numFmtId="0" fontId="0" fillId="0" borderId="0" xfId="0" applyFont="1" applyFill="1"/>
    <xf numFmtId="0" fontId="10" fillId="0" borderId="0" xfId="0" applyFont="1"/>
    <xf numFmtId="0" fontId="11" fillId="0" borderId="0" xfId="0" applyFont="1"/>
    <xf numFmtId="0" fontId="12" fillId="0" borderId="0" xfId="0" applyFont="1" applyAlignment="1">
      <alignment horizontal="left" vertical="center"/>
    </xf>
    <xf numFmtId="0" fontId="3" fillId="0" borderId="0" xfId="0" applyFont="1" applyAlignment="1">
      <alignment horizontal="left"/>
    </xf>
    <xf numFmtId="0" fontId="10" fillId="0" borderId="0" xfId="0" applyFont="1" applyAlignment="1">
      <alignment vertical="center" wrapText="1"/>
    </xf>
    <xf numFmtId="0" fontId="0" fillId="0" borderId="0" xfId="0" applyFont="1"/>
    <xf numFmtId="0" fontId="3" fillId="0" borderId="0" xfId="0" applyFont="1" applyAlignment="1">
      <alignment wrapText="1"/>
    </xf>
    <xf numFmtId="0" fontId="12" fillId="2" borderId="0" xfId="0" applyFont="1" applyFill="1" applyAlignment="1">
      <alignment horizontal="left" vertical="center"/>
    </xf>
    <xf numFmtId="0" fontId="3" fillId="2" borderId="0" xfId="0" applyFont="1" applyFill="1" applyAlignment="1">
      <alignment horizontal="left"/>
    </xf>
    <xf numFmtId="0" fontId="3" fillId="2" borderId="0" xfId="0" applyFont="1" applyFill="1" applyAlignment="1"/>
    <xf numFmtId="0" fontId="5" fillId="0" borderId="0" xfId="0" applyFont="1" applyAlignment="1"/>
    <xf numFmtId="0" fontId="13" fillId="0" borderId="0" xfId="0" applyFont="1"/>
    <xf numFmtId="0" fontId="14" fillId="0" borderId="1" xfId="0" applyFont="1" applyBorder="1" applyAlignment="1"/>
    <xf numFmtId="0" fontId="15" fillId="2" borderId="0" xfId="0" applyFont="1" applyFill="1" applyAlignment="1"/>
    <xf numFmtId="0" fontId="3" fillId="0" borderId="0" xfId="0" applyFont="1" applyAlignment="1">
      <alignment horizontal="left" vertical="center"/>
    </xf>
    <xf numFmtId="0" fontId="3" fillId="2" borderId="0" xfId="0" applyFont="1" applyFill="1" applyAlignment="1">
      <alignment horizontal="left" vertical="center"/>
    </xf>
    <xf numFmtId="0" fontId="15" fillId="0" borderId="0" xfId="0" applyFont="1" applyAlignment="1">
      <alignment horizontal="left"/>
    </xf>
    <xf numFmtId="0" fontId="3" fillId="0" borderId="0" xfId="0" applyFont="1" applyAlignment="1">
      <alignment vertical="center"/>
    </xf>
    <xf numFmtId="0" fontId="16" fillId="0" borderId="0" xfId="0" applyFont="1" applyAlignment="1">
      <alignment vertical="center"/>
    </xf>
    <xf numFmtId="0" fontId="3" fillId="0" borderId="0" xfId="0" applyFont="1" applyFill="1" applyAlignment="1">
      <alignment horizontal="left" vertical="center"/>
    </xf>
    <xf numFmtId="0" fontId="3" fillId="0" borderId="0" xfId="0" applyFont="1" applyFill="1" applyAlignment="1">
      <alignment horizontal="left"/>
    </xf>
    <xf numFmtId="0" fontId="16" fillId="0" borderId="0" xfId="0" applyFont="1" applyFill="1" applyAlignment="1">
      <alignment vertical="center"/>
    </xf>
    <xf numFmtId="0" fontId="16" fillId="2"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D978-84AD-4E3F-9A8A-85795B13FDD3}">
  <dimension ref="A1:C211"/>
  <sheetViews>
    <sheetView topLeftCell="A139" workbookViewId="0">
      <selection activeCell="B151" sqref="B151"/>
    </sheetView>
  </sheetViews>
  <sheetFormatPr defaultRowHeight="15" x14ac:dyDescent="0.25"/>
  <cols>
    <col min="1" max="1" width="16.28515625" customWidth="1"/>
    <col min="2" max="2" width="35.28515625" style="4" customWidth="1"/>
  </cols>
  <sheetData>
    <row r="1" spans="1:3" x14ac:dyDescent="0.25">
      <c r="A1" s="1" t="s">
        <v>0</v>
      </c>
      <c r="B1" s="2" t="s">
        <v>1</v>
      </c>
      <c r="C1" s="1" t="s">
        <v>2</v>
      </c>
    </row>
    <row r="2" spans="1:3" x14ac:dyDescent="0.25">
      <c r="A2" s="3" t="s">
        <v>3</v>
      </c>
      <c r="B2" s="4" t="s">
        <v>4</v>
      </c>
      <c r="C2" s="1"/>
    </row>
    <row r="3" spans="1:3" x14ac:dyDescent="0.25">
      <c r="A3" s="1"/>
      <c r="B3" s="2"/>
      <c r="C3" s="1"/>
    </row>
    <row r="4" spans="1:3" x14ac:dyDescent="0.25">
      <c r="A4" s="1"/>
      <c r="B4" s="2"/>
      <c r="C4" s="1"/>
    </row>
    <row r="5" spans="1:3" x14ac:dyDescent="0.25">
      <c r="A5" s="1"/>
      <c r="B5" s="2"/>
      <c r="C5" s="1"/>
    </row>
    <row r="6" spans="1:3" x14ac:dyDescent="0.25">
      <c r="C6" t="str">
        <f>CONCATENATE("# What does the ",B2," gene do?")</f>
        <v># What does the MTHFR gene do?</v>
      </c>
    </row>
    <row r="7" spans="1:3" x14ac:dyDescent="0.25">
      <c r="A7" s="3"/>
    </row>
    <row r="8" spans="1:3" ht="15.75" x14ac:dyDescent="0.25">
      <c r="A8" s="3" t="s">
        <v>5</v>
      </c>
      <c r="B8" s="4" t="s">
        <v>76</v>
      </c>
      <c r="C8" s="5" t="str">
        <f>CONCATENATE(B8," ",C10)</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 This gene is located on chromosome 1.</v>
      </c>
    </row>
    <row r="9" spans="1:3" ht="17.25" x14ac:dyDescent="0.3">
      <c r="A9" s="3"/>
      <c r="B9" s="6"/>
      <c r="C9" s="5"/>
    </row>
    <row r="10" spans="1:3" ht="15.75" x14ac:dyDescent="0.25">
      <c r="A10" s="3" t="s">
        <v>6</v>
      </c>
      <c r="B10" s="4">
        <v>1</v>
      </c>
      <c r="C10" s="5" t="str">
        <f>CONCATENATE("This gene is located on chromosome ",B10,".")</f>
        <v>This gene is located on chromosome 1.</v>
      </c>
    </row>
    <row r="11" spans="1:3" x14ac:dyDescent="0.25">
      <c r="A11" s="3" t="s">
        <v>7</v>
      </c>
      <c r="B11" s="4" t="s">
        <v>8</v>
      </c>
    </row>
    <row r="12" spans="1:3" x14ac:dyDescent="0.25">
      <c r="A12" s="3" t="s">
        <v>9</v>
      </c>
      <c r="B12" s="4" t="s">
        <v>10</v>
      </c>
    </row>
    <row r="13" spans="1:3" s="10" customFormat="1" x14ac:dyDescent="0.25">
      <c r="A13" s="8"/>
      <c r="B13" s="9"/>
    </row>
    <row r="14" spans="1:3" x14ac:dyDescent="0.25">
      <c r="A14" s="3" t="s">
        <v>3</v>
      </c>
      <c r="B14" s="4" t="s">
        <v>4</v>
      </c>
      <c r="C14" t="str">
        <f>CONCATENATE("&lt;GeneAnalysis gene=",CHAR(34),B14,CHAR(34)," interval=",CHAR(34),B15,CHAR(34),"&gt; ")</f>
        <v xml:space="preserve">&lt;GeneAnalysis gene="MTHFR" interval="NC_000001.11 :g.11785730_11806103"&gt; </v>
      </c>
    </row>
    <row r="15" spans="1:3" x14ac:dyDescent="0.25">
      <c r="A15" s="3" t="s">
        <v>11</v>
      </c>
      <c r="B15" s="4" t="s">
        <v>12</v>
      </c>
    </row>
    <row r="16" spans="1:3" x14ac:dyDescent="0.25">
      <c r="A16" s="3" t="s">
        <v>13</v>
      </c>
      <c r="B16" s="4" t="s">
        <v>14</v>
      </c>
      <c r="C16" t="str">
        <f>CONCATENATE("# What are some common mutations of ",B14,"?")</f>
        <v># What are some common mutations of MTHFR?</v>
      </c>
    </row>
    <row r="17" spans="1:3" x14ac:dyDescent="0.25">
      <c r="A17" s="3"/>
      <c r="C17" t="s">
        <v>15</v>
      </c>
    </row>
    <row r="18" spans="1:3" x14ac:dyDescent="0.25">
      <c r="C18" t="str">
        <f>CONCATENATE("A variant is a change at a specific point in the gene from the expected nucleotide sequence to another, resulting in incorrect ", B11," function. There are ",B16," well-known variants in ",B14,": ",B25," and ",B31,".")</f>
        <v>A variant is a change at a specific point in the gene from the expected nucleotide sequence to another, resulting in incorrect enzyme function. There are two well-known variants in MTHFR: [C677T](http://gnomad.broadinstitute.org/variant/1-11856378-G-A) and [A1298C](https://www.ncbi.nlm.nih.gov/projects/SNP/snp_ref.cgi?rs=1801131).</v>
      </c>
    </row>
    <row r="20" spans="1:3" x14ac:dyDescent="0.25">
      <c r="A20" s="3"/>
      <c r="C20" t="str">
        <f>CONCATENATE("&lt;# ",B22," #&gt;")</f>
        <v>&lt;# C677T #&gt;</v>
      </c>
    </row>
    <row r="21" spans="1:3" x14ac:dyDescent="0.25">
      <c r="A21" s="3" t="s">
        <v>16</v>
      </c>
      <c r="B21" s="11" t="s">
        <v>17</v>
      </c>
      <c r="C21" t="str">
        <f>CONCATENATE("  &lt;Variant hgvs=",CHAR(34),B21,CHAR(34)," name=",CHAR(34),B22,CHAR(34),"&gt; ")</f>
        <v xml:space="preserve">  &lt;Variant hgvs="NC_000022.11:g.19963748G&gt;A" name="C677T"&gt; </v>
      </c>
    </row>
    <row r="22" spans="1:3" x14ac:dyDescent="0.25">
      <c r="A22" s="7" t="s">
        <v>18</v>
      </c>
      <c r="B22" s="11" t="s">
        <v>19</v>
      </c>
    </row>
    <row r="23" spans="1:3" x14ac:dyDescent="0.25">
      <c r="A23" s="7" t="s">
        <v>20</v>
      </c>
      <c r="B23" s="4" t="s">
        <v>21</v>
      </c>
      <c r="C23" t="str">
        <f>CONCATENATE("    This variant is a change at a specific point in the ",B14," gene from ",B23," to ",B24," resulting in incorrect ",B11,"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4" spans="1:3" x14ac:dyDescent="0.25">
      <c r="A24" s="7" t="s">
        <v>22</v>
      </c>
      <c r="B24" s="4" t="s">
        <v>23</v>
      </c>
      <c r="C24" t="s">
        <v>15</v>
      </c>
    </row>
    <row r="25" spans="1:3" x14ac:dyDescent="0.25">
      <c r="A25" s="7" t="s">
        <v>24</v>
      </c>
      <c r="B25" s="12" t="s">
        <v>25</v>
      </c>
      <c r="C25" t="str">
        <f>"  &lt;/Variant&gt;"</f>
        <v xml:space="preserve">  &lt;/Variant&gt;</v>
      </c>
    </row>
    <row r="26" spans="1:3" x14ac:dyDescent="0.25">
      <c r="C26" t="str">
        <f>CONCATENATE("&lt;# ",B28," #&gt;")</f>
        <v>&lt;# A1298C #&gt;</v>
      </c>
    </row>
    <row r="27" spans="1:3" x14ac:dyDescent="0.25">
      <c r="A27" s="3" t="s">
        <v>16</v>
      </c>
      <c r="B27" s="11" t="s">
        <v>26</v>
      </c>
      <c r="C27" t="str">
        <f>CONCATENATE("  &lt;Variant hgvs=",CHAR(34),B27,CHAR(34)," name=",CHAR(34),B28,CHAR(34),"&gt; ")</f>
        <v xml:space="preserve">  &lt;Variant hgvs="NC_000022.11:g.19962712C&gt;T" name="A1298C"&gt; </v>
      </c>
    </row>
    <row r="28" spans="1:3" x14ac:dyDescent="0.25">
      <c r="A28" s="7" t="s">
        <v>18</v>
      </c>
      <c r="B28" s="12" t="s">
        <v>27</v>
      </c>
    </row>
    <row r="29" spans="1:3" x14ac:dyDescent="0.25">
      <c r="A29" s="7" t="s">
        <v>20</v>
      </c>
      <c r="B29" s="4" t="s">
        <v>28</v>
      </c>
      <c r="C29" t="str">
        <f>CONCATENATE("    This variant is a change at a specific point in the ",B14," gene from ",B29," to ",B30," resulting in incorrect ",B11,"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30" spans="1:3" x14ac:dyDescent="0.25">
      <c r="A30" s="7" t="s">
        <v>22</v>
      </c>
      <c r="B30" s="4" t="str">
        <f>"cytosine (C)"</f>
        <v>cytosine (C)</v>
      </c>
    </row>
    <row r="31" spans="1:3" x14ac:dyDescent="0.25">
      <c r="A31" s="3" t="s">
        <v>24</v>
      </c>
      <c r="B31" s="12" t="s">
        <v>29</v>
      </c>
      <c r="C31" t="str">
        <f>"  &lt;/Variant&gt;"</f>
        <v xml:space="preserve">  &lt;/Variant&gt;</v>
      </c>
    </row>
    <row r="32" spans="1:3" s="10" customFormat="1" x14ac:dyDescent="0.25">
      <c r="A32" s="13"/>
      <c r="B32" s="9"/>
    </row>
    <row r="33" spans="1:3" s="10" customFormat="1" x14ac:dyDescent="0.25">
      <c r="A33" s="13"/>
      <c r="B33" s="9"/>
      <c r="C33" t="str">
        <f>C20</f>
        <v>&lt;# C677T #&gt;</v>
      </c>
    </row>
    <row r="34" spans="1:3" x14ac:dyDescent="0.25">
      <c r="A34" s="7" t="s">
        <v>30</v>
      </c>
      <c r="B34" s="12" t="s">
        <v>31</v>
      </c>
      <c r="C34" t="str">
        <f>CONCATENATE("  &lt;Genotype hgvs=",CHAR(34),B34,B35,";",B36,CHAR(34)," name=",CHAR(34),B22,CHAR(34),"&gt; ")</f>
        <v xml:space="preserve">  &lt;Genotype hgvs="NC_00001.11:g.[12345C&gt;T];[12345=]" name="C677T"&gt; </v>
      </c>
    </row>
    <row r="35" spans="1:3" x14ac:dyDescent="0.25">
      <c r="A35" s="7" t="s">
        <v>24</v>
      </c>
      <c r="B35" s="4" t="s">
        <v>32</v>
      </c>
    </row>
    <row r="36" spans="1:3" x14ac:dyDescent="0.25">
      <c r="A36" s="7" t="s">
        <v>20</v>
      </c>
      <c r="B36" s="4" t="s">
        <v>33</v>
      </c>
      <c r="C36" t="s">
        <v>34</v>
      </c>
    </row>
    <row r="37" spans="1:3" x14ac:dyDescent="0.25">
      <c r="A37" s="7" t="s">
        <v>35</v>
      </c>
      <c r="B37" s="4" t="str">
        <f>CONCATENATE("People with this variant have one copy of the ",B25," variant. This substitution of a single nucleotide is known as a missense mutation.")</f>
        <v>People with this variant have one copy of the [C677T](http://gnomad.broadinstitute.org/variant/1-11856378-G-A) variant. This substitution of a single nucleotide is known as a missense mutation.</v>
      </c>
      <c r="C37" t="s">
        <v>15</v>
      </c>
    </row>
    <row r="38" spans="1:3" x14ac:dyDescent="0.25">
      <c r="A38" s="3" t="s">
        <v>36</v>
      </c>
      <c r="B38" s="4" t="s">
        <v>37</v>
      </c>
      <c r="C38" t="str">
        <f>CONCATENATE("    ",B37)</f>
        <v xml:space="preserve">    People with this variant have one copy of the [C677T](http://gnomad.broadinstitute.org/variant/1-11856378-G-A) variant. This substitution of a single nucleotide is known as a missense mutation.</v>
      </c>
    </row>
    <row r="39" spans="1:3" x14ac:dyDescent="0.25">
      <c r="A39" s="3" t="s">
        <v>38</v>
      </c>
      <c r="B39" s="4">
        <v>30</v>
      </c>
    </row>
    <row r="40" spans="1:3" x14ac:dyDescent="0.25">
      <c r="A40" s="7"/>
      <c r="C40" t="s">
        <v>39</v>
      </c>
    </row>
    <row r="41" spans="1:3" x14ac:dyDescent="0.25">
      <c r="A41" s="3"/>
    </row>
    <row r="42" spans="1:3" x14ac:dyDescent="0.25">
      <c r="A42" s="3"/>
      <c r="C42" t="str">
        <f>CONCATENATE("    ",B38)</f>
        <v xml:space="preserve">    You are in the Mild Loss of Function category. See below for more information.</v>
      </c>
    </row>
    <row r="43" spans="1:3" x14ac:dyDescent="0.25">
      <c r="A43" s="3"/>
    </row>
    <row r="44" spans="1:3" x14ac:dyDescent="0.25">
      <c r="A44" s="3"/>
      <c r="C44" t="s">
        <v>40</v>
      </c>
    </row>
    <row r="45" spans="1:3" x14ac:dyDescent="0.25">
      <c r="A45" s="7"/>
    </row>
    <row r="46" spans="1:3" x14ac:dyDescent="0.25">
      <c r="A46" s="7"/>
      <c r="C46" t="str">
        <f>CONCATENATE( "    &lt;piechart percentage=",B39," /&gt;")</f>
        <v xml:space="preserve">    &lt;piechart percentage=30 /&gt;</v>
      </c>
    </row>
    <row r="47" spans="1:3" x14ac:dyDescent="0.25">
      <c r="A47" s="7"/>
      <c r="C47" t="str">
        <f>"  &lt;/Genotype&gt;"</f>
        <v xml:space="preserve">  &lt;/Genotype&gt;</v>
      </c>
    </row>
    <row r="48" spans="1:3" x14ac:dyDescent="0.25">
      <c r="A48" s="7" t="s">
        <v>41</v>
      </c>
      <c r="B48" s="4" t="str">
        <f>CONCATENATE("People with this variant have two copies of the ",B25," variant. This substitution of a single nucleotide is known as a missense mutation.")</f>
        <v>People with this variant have two copies of the [C677T](http://gnomad.broadinstitute.org/variant/1-11856378-G-A) variant. This substitution of a single nucleotide is known as a missense mutation.</v>
      </c>
      <c r="C48" t="str">
        <f>CONCATENATE("  &lt;Genotype hgvs=",CHAR(34),B34,B35,";",B35,CHAR(34)," name=",CHAR(34),B22,CHAR(34),"&gt; ")</f>
        <v xml:space="preserve">  &lt;Genotype hgvs="NC_00001.11:g.[12345C&gt;T];[12345C&gt;T]" name="C677T"&gt; </v>
      </c>
    </row>
    <row r="49" spans="1:3" x14ac:dyDescent="0.25">
      <c r="A49" s="3" t="s">
        <v>42</v>
      </c>
      <c r="B49" s="4" t="s">
        <v>43</v>
      </c>
      <c r="C49" t="s">
        <v>15</v>
      </c>
    </row>
    <row r="50" spans="1:3" x14ac:dyDescent="0.25">
      <c r="A50" s="3" t="s">
        <v>38</v>
      </c>
      <c r="B50" s="4">
        <v>9</v>
      </c>
      <c r="C50" t="s">
        <v>34</v>
      </c>
    </row>
    <row r="51" spans="1:3" x14ac:dyDescent="0.25">
      <c r="A51" s="3"/>
    </row>
    <row r="52" spans="1:3" x14ac:dyDescent="0.25">
      <c r="A52" s="7"/>
      <c r="C52" t="str">
        <f>CONCATENATE("    ",B48)</f>
        <v xml:space="preserve">    People with this variant have two copies of the [C677T](http://gnomad.broadinstitute.org/variant/1-11856378-G-A) variant. This substitution of a single nucleotide is known as a missense mutation.</v>
      </c>
    </row>
    <row r="53" spans="1:3" x14ac:dyDescent="0.25">
      <c r="A53" s="3"/>
    </row>
    <row r="54" spans="1:3" x14ac:dyDescent="0.25">
      <c r="A54" s="3"/>
      <c r="C54" t="s">
        <v>39</v>
      </c>
    </row>
    <row r="55" spans="1:3" x14ac:dyDescent="0.25">
      <c r="A55" s="3"/>
    </row>
    <row r="56" spans="1:3" x14ac:dyDescent="0.25">
      <c r="A56" s="3"/>
      <c r="C56" t="str">
        <f>CONCATENATE("    ",B49)</f>
        <v xml:space="preserve">    You are in the Moderate Loss of Function category. See below for more information.</v>
      </c>
    </row>
    <row r="57" spans="1:3" x14ac:dyDescent="0.25">
      <c r="A57" s="3"/>
    </row>
    <row r="58" spans="1:3" x14ac:dyDescent="0.25">
      <c r="A58" s="7"/>
      <c r="C58" t="s">
        <v>40</v>
      </c>
    </row>
    <row r="59" spans="1:3" x14ac:dyDescent="0.25">
      <c r="A59" s="7"/>
    </row>
    <row r="60" spans="1:3" x14ac:dyDescent="0.25">
      <c r="A60" s="7"/>
      <c r="C60" t="str">
        <f>CONCATENATE( "    &lt;piechart percentage=",B50," /&gt;")</f>
        <v xml:space="preserve">    &lt;piechart percentage=9 /&gt;</v>
      </c>
    </row>
    <row r="61" spans="1:3" x14ac:dyDescent="0.25">
      <c r="A61" s="7"/>
      <c r="C61" t="str">
        <f>"  &lt;/Genotype&gt;"</f>
        <v xml:space="preserve">  &lt;/Genotype&gt;</v>
      </c>
    </row>
    <row r="62" spans="1:3" x14ac:dyDescent="0.25">
      <c r="A62" s="7" t="s">
        <v>44</v>
      </c>
      <c r="B62" s="4" t="str">
        <f>CONCATENATE("Your ",B14," gene has no variants. A normal gene is referred to as a ",CHAR(34),"wild-type",CHAR(34)," gene.")</f>
        <v>Your MTHFR gene has no variants. A normal gene is referred to as a "wild-type" gene.</v>
      </c>
      <c r="C62" t="str">
        <f>CONCATENATE("  &lt;Genotype hgvs=",CHAR(34),B34,B36,";",B36,CHAR(34)," name=",CHAR(34),B22,CHAR(34),"&gt; ")</f>
        <v xml:space="preserve">  &lt;Genotype hgvs="NC_00001.11:g.[12345=];[12345=]" name="C677T"&gt; </v>
      </c>
    </row>
    <row r="63" spans="1:3" x14ac:dyDescent="0.25">
      <c r="A63" s="3" t="s">
        <v>45</v>
      </c>
      <c r="B63" s="4" t="s">
        <v>46</v>
      </c>
      <c r="C63" t="s">
        <v>15</v>
      </c>
    </row>
    <row r="64" spans="1:3" x14ac:dyDescent="0.25">
      <c r="A64" s="3" t="s">
        <v>38</v>
      </c>
      <c r="B64" s="4">
        <v>61</v>
      </c>
      <c r="C64" t="s">
        <v>34</v>
      </c>
    </row>
    <row r="65" spans="1:3" x14ac:dyDescent="0.25">
      <c r="A65" s="7"/>
    </row>
    <row r="66" spans="1:3" x14ac:dyDescent="0.25">
      <c r="A66" s="3"/>
      <c r="C66" t="str">
        <f>CONCATENATE("    ",B62)</f>
        <v xml:space="preserve">    Your MTHFR gene has no variants. A normal gene is referred to as a "wild-type" gene.</v>
      </c>
    </row>
    <row r="67" spans="1:3" x14ac:dyDescent="0.25">
      <c r="A67" s="3"/>
    </row>
    <row r="68" spans="1:3" x14ac:dyDescent="0.25">
      <c r="A68" s="3"/>
      <c r="C68" t="s">
        <v>39</v>
      </c>
    </row>
    <row r="69" spans="1:3" x14ac:dyDescent="0.25">
      <c r="A69" s="3"/>
    </row>
    <row r="70" spans="1:3" x14ac:dyDescent="0.25">
      <c r="A70" s="3"/>
      <c r="C70" t="str">
        <f>CONCATENATE("    ",B63)</f>
        <v xml:space="preserve">    Your variant is not associated with any loss of function.</v>
      </c>
    </row>
    <row r="71" spans="1:3" x14ac:dyDescent="0.25">
      <c r="A71" s="7"/>
    </row>
    <row r="72" spans="1:3" x14ac:dyDescent="0.25">
      <c r="A72" s="7"/>
      <c r="C72" t="s">
        <v>40</v>
      </c>
    </row>
    <row r="73" spans="1:3" x14ac:dyDescent="0.25">
      <c r="A73" s="7"/>
    </row>
    <row r="74" spans="1:3" x14ac:dyDescent="0.25">
      <c r="A74" s="7"/>
      <c r="C74" t="str">
        <f>CONCATENATE( "    &lt;piechart percentage=",B64," /&gt;")</f>
        <v xml:space="preserve">    &lt;piechart percentage=61 /&gt;</v>
      </c>
    </row>
    <row r="75" spans="1:3" x14ac:dyDescent="0.25">
      <c r="A75" s="7"/>
      <c r="C75" t="str">
        <f>"  &lt;/Genotype&gt;"</f>
        <v xml:space="preserve">  &lt;/Genotype&gt;</v>
      </c>
    </row>
    <row r="76" spans="1:3" x14ac:dyDescent="0.25">
      <c r="A76" s="7"/>
      <c r="C76" t="str">
        <f>C26</f>
        <v>&lt;# A1298C #&gt;</v>
      </c>
    </row>
    <row r="77" spans="1:3" x14ac:dyDescent="0.25">
      <c r="A77" s="7" t="s">
        <v>30</v>
      </c>
      <c r="B77" s="12" t="s">
        <v>47</v>
      </c>
      <c r="C77" t="str">
        <f>CONCATENATE("  &lt;Genotype hgvs=",CHAR(34),B77,B78,";",B79,CHAR(34)," name=",CHAR(34),B28,CHAR(34),"&gt; ")</f>
        <v xml:space="preserve">  &lt;Genotype hgvs="NC_000001.11:g.[11794419T&gt;G];[11794419T=]" name="A1298C"&gt; </v>
      </c>
    </row>
    <row r="78" spans="1:3" x14ac:dyDescent="0.25">
      <c r="A78" s="7" t="s">
        <v>24</v>
      </c>
      <c r="B78" s="4" t="s">
        <v>48</v>
      </c>
    </row>
    <row r="79" spans="1:3" x14ac:dyDescent="0.25">
      <c r="A79" s="7" t="s">
        <v>20</v>
      </c>
      <c r="B79" s="4" t="s">
        <v>49</v>
      </c>
      <c r="C79" t="s">
        <v>34</v>
      </c>
    </row>
    <row r="80" spans="1:3" x14ac:dyDescent="0.25">
      <c r="A80" s="7" t="s">
        <v>35</v>
      </c>
      <c r="B80" s="4" t="str">
        <f>CONCATENATE("People with this variant have one copy of the ",B31," variant. This substitution of a single nucleotide is known as a missense mutation.")</f>
        <v>People with this variant have one copy of the [A1298C](https://www.ncbi.nlm.nih.gov/projects/SNP/snp_ref.cgi?rs=1801131) variant. This substitution of a single nucleotide is known as a missense mutation.</v>
      </c>
      <c r="C80" t="s">
        <v>15</v>
      </c>
    </row>
    <row r="81" spans="1:3" x14ac:dyDescent="0.25">
      <c r="A81" s="3" t="s">
        <v>36</v>
      </c>
      <c r="B81" s="4" t="s">
        <v>43</v>
      </c>
      <c r="C81" t="str">
        <f>CONCATENATE("    ",B80)</f>
        <v xml:space="preserve">    People with this variant have one copy of the [A1298C](https://www.ncbi.nlm.nih.gov/projects/SNP/snp_ref.cgi?rs=1801131) variant. This substitution of a single nucleotide is known as a missense mutation.</v>
      </c>
    </row>
    <row r="82" spans="1:3" x14ac:dyDescent="0.25">
      <c r="A82" s="3" t="s">
        <v>38</v>
      </c>
      <c r="B82" s="4">
        <v>20</v>
      </c>
    </row>
    <row r="83" spans="1:3" x14ac:dyDescent="0.25">
      <c r="A83" s="7"/>
      <c r="C83" t="s">
        <v>39</v>
      </c>
    </row>
    <row r="84" spans="1:3" x14ac:dyDescent="0.25">
      <c r="A84" s="3"/>
    </row>
    <row r="85" spans="1:3" x14ac:dyDescent="0.25">
      <c r="A85" s="3"/>
      <c r="C85" t="str">
        <f>CONCATENATE("    ",B81)</f>
        <v xml:space="preserve">    You are in the Moderate Loss of Function category. See below for more information.</v>
      </c>
    </row>
    <row r="86" spans="1:3" x14ac:dyDescent="0.25">
      <c r="A86" s="3"/>
    </row>
    <row r="87" spans="1:3" x14ac:dyDescent="0.25">
      <c r="A87" s="3"/>
      <c r="C87" t="s">
        <v>40</v>
      </c>
    </row>
    <row r="88" spans="1:3" x14ac:dyDescent="0.25">
      <c r="A88" s="7"/>
    </row>
    <row r="89" spans="1:3" x14ac:dyDescent="0.25">
      <c r="A89" s="7"/>
      <c r="C89" t="str">
        <f>CONCATENATE( "    &lt;piechart percentage=",B82," /&gt;")</f>
        <v xml:space="preserve">    &lt;piechart percentage=20 /&gt;</v>
      </c>
    </row>
    <row r="90" spans="1:3" x14ac:dyDescent="0.25">
      <c r="A90" s="7"/>
      <c r="C90" t="str">
        <f>"  &lt;/Genotype&gt;"</f>
        <v xml:space="preserve">  &lt;/Genotype&gt;</v>
      </c>
    </row>
    <row r="91" spans="1:3" x14ac:dyDescent="0.25">
      <c r="A91" s="7" t="s">
        <v>41</v>
      </c>
      <c r="B91" s="4" t="str">
        <f>CONCATENATE("People with this variant have two copies of the ",B31," variant. This substitution of a single nucleotide is known as a missense mutation.")</f>
        <v>People with this variant have two copies of the [A1298C](https://www.ncbi.nlm.nih.gov/projects/SNP/snp_ref.cgi?rs=1801131) variant. This substitution of a single nucleotide is known as a missense mutation.</v>
      </c>
      <c r="C91" t="str">
        <f>CONCATENATE("  &lt;Genotype hgvs=",CHAR(34),B77,B78,";",B78,CHAR(34)," name=",CHAR(34),B28,CHAR(34),"&gt; ")</f>
        <v xml:space="preserve">  &lt;Genotype hgvs="NC_000001.11:g.[11794419T&gt;G];[11794419T&gt;G]" name="A1298C"&gt; </v>
      </c>
    </row>
    <row r="92" spans="1:3" x14ac:dyDescent="0.25">
      <c r="A92" s="3" t="s">
        <v>42</v>
      </c>
      <c r="B92" s="4" t="s">
        <v>37</v>
      </c>
      <c r="C92" t="s">
        <v>15</v>
      </c>
    </row>
    <row r="93" spans="1:3" x14ac:dyDescent="0.25">
      <c r="A93" s="3" t="s">
        <v>38</v>
      </c>
      <c r="B93" s="4">
        <v>4</v>
      </c>
      <c r="C93" t="s">
        <v>34</v>
      </c>
    </row>
    <row r="94" spans="1:3" x14ac:dyDescent="0.25">
      <c r="A94" s="3"/>
    </row>
    <row r="95" spans="1:3" x14ac:dyDescent="0.25">
      <c r="A95" s="7"/>
      <c r="C95" t="str">
        <f>CONCATENATE("    ",B91)</f>
        <v xml:space="preserve">    People with this variant have two copies of the [A1298C](https://www.ncbi.nlm.nih.gov/projects/SNP/snp_ref.cgi?rs=1801131) variant. This substitution of a single nucleotide is known as a missense mutation.</v>
      </c>
    </row>
    <row r="96" spans="1:3" x14ac:dyDescent="0.25">
      <c r="A96" s="3"/>
    </row>
    <row r="97" spans="1:3" x14ac:dyDescent="0.25">
      <c r="A97" s="3"/>
      <c r="C97" t="s">
        <v>39</v>
      </c>
    </row>
    <row r="98" spans="1:3" x14ac:dyDescent="0.25">
      <c r="A98" s="3"/>
    </row>
    <row r="99" spans="1:3" x14ac:dyDescent="0.25">
      <c r="A99" s="3"/>
      <c r="C99" t="str">
        <f>CONCATENATE("    ",B92)</f>
        <v xml:space="preserve">    You are in the Mild Loss of Function category. See below for more information.</v>
      </c>
    </row>
    <row r="100" spans="1:3" x14ac:dyDescent="0.25">
      <c r="A100" s="3"/>
    </row>
    <row r="101" spans="1:3" x14ac:dyDescent="0.25">
      <c r="A101" s="7"/>
      <c r="C101" t="s">
        <v>40</v>
      </c>
    </row>
    <row r="102" spans="1:3" x14ac:dyDescent="0.25">
      <c r="A102" s="7"/>
    </row>
    <row r="103" spans="1:3" x14ac:dyDescent="0.25">
      <c r="A103" s="7"/>
      <c r="C103" t="str">
        <f>CONCATENATE( "    &lt;piechart percentage=",B93," /&gt;")</f>
        <v xml:space="preserve">    &lt;piechart percentage=4 /&gt;</v>
      </c>
    </row>
    <row r="104" spans="1:3" x14ac:dyDescent="0.25">
      <c r="A104" s="7"/>
      <c r="C104" t="str">
        <f>"  &lt;/Genotype&gt;"</f>
        <v xml:space="preserve">  &lt;/Genotype&gt;</v>
      </c>
    </row>
    <row r="105" spans="1:3" x14ac:dyDescent="0.25">
      <c r="A105" s="7" t="s">
        <v>44</v>
      </c>
      <c r="B105" s="4" t="str">
        <f>CONCATENATE("Your ",B14," gene has no variants. A normal gene is referred to as a ",CHAR(34),"wild-type",CHAR(34)," gene.")</f>
        <v>Your MTHFR gene has no variants. A normal gene is referred to as a "wild-type" gene.</v>
      </c>
      <c r="C105" t="str">
        <f>CONCATENATE("  &lt;Genotype hgvs=",CHAR(34),B77,B79,";",B79,CHAR(34)," name=",CHAR(34),B28,CHAR(34),"&gt; ")</f>
        <v xml:space="preserve">  &lt;Genotype hgvs="NC_000001.11:g.[11794419T=];[11794419T=]" name="A1298C"&gt; </v>
      </c>
    </row>
    <row r="106" spans="1:3" x14ac:dyDescent="0.25">
      <c r="A106" s="3" t="s">
        <v>45</v>
      </c>
      <c r="B106" s="4" t="s">
        <v>46</v>
      </c>
      <c r="C106" t="s">
        <v>15</v>
      </c>
    </row>
    <row r="107" spans="1:3" x14ac:dyDescent="0.25">
      <c r="A107" s="3" t="s">
        <v>38</v>
      </c>
      <c r="B107" s="4">
        <v>76</v>
      </c>
      <c r="C107" t="s">
        <v>34</v>
      </c>
    </row>
    <row r="108" spans="1:3" x14ac:dyDescent="0.25">
      <c r="A108" s="7"/>
    </row>
    <row r="109" spans="1:3" x14ac:dyDescent="0.25">
      <c r="A109" s="3"/>
      <c r="C109" t="str">
        <f>CONCATENATE("    ",B105)</f>
        <v xml:space="preserve">    Your MTHFR gene has no variants. A normal gene is referred to as a "wild-type" gene.</v>
      </c>
    </row>
    <row r="110" spans="1:3" x14ac:dyDescent="0.25">
      <c r="A110" s="3"/>
    </row>
    <row r="111" spans="1:3" x14ac:dyDescent="0.25">
      <c r="A111" s="3"/>
      <c r="C111" t="s">
        <v>39</v>
      </c>
    </row>
    <row r="112" spans="1:3" x14ac:dyDescent="0.25">
      <c r="A112" s="3"/>
    </row>
    <row r="113" spans="1:3" x14ac:dyDescent="0.25">
      <c r="A113" s="3"/>
      <c r="C113" t="str">
        <f>CONCATENATE("    ",B106)</f>
        <v xml:space="preserve">    Your variant is not associated with any loss of function.</v>
      </c>
    </row>
    <row r="114" spans="1:3" x14ac:dyDescent="0.25">
      <c r="A114" s="7"/>
    </row>
    <row r="115" spans="1:3" x14ac:dyDescent="0.25">
      <c r="A115" s="7"/>
      <c r="C115" t="s">
        <v>40</v>
      </c>
    </row>
    <row r="116" spans="1:3" x14ac:dyDescent="0.25">
      <c r="A116" s="7"/>
    </row>
    <row r="117" spans="1:3" x14ac:dyDescent="0.25">
      <c r="A117" s="7"/>
      <c r="C117" t="str">
        <f>CONCATENATE( "    &lt;piechart percentage=",B107," /&gt;")</f>
        <v xml:space="preserve">    &lt;piechart percentage=76 /&gt;</v>
      </c>
    </row>
    <row r="118" spans="1:3" x14ac:dyDescent="0.25">
      <c r="A118" s="7"/>
      <c r="C118" t="str">
        <f>"  &lt;/Genotype&gt;"</f>
        <v xml:space="preserve">  &lt;/Genotype&gt;</v>
      </c>
    </row>
    <row r="119" spans="1:3" x14ac:dyDescent="0.25">
      <c r="A119" s="7"/>
      <c r="C119" t="s">
        <v>50</v>
      </c>
    </row>
    <row r="120" spans="1:3" x14ac:dyDescent="0.25">
      <c r="A120" s="7" t="s">
        <v>30</v>
      </c>
      <c r="B120" s="11" t="str">
        <f>B34</f>
        <v>NC_00001.11:g.</v>
      </c>
      <c r="C120" t="str">
        <f>CONCATENATE("  &lt;Genotype hgvs=",CHAR(34),B120,B121,";",B122,CHAR(34)," hgvs=",CHAR(34),B123,B124,";",B125,CHAR(34)," name=",CHAR(34),B22, " ",B28,CHAR(34),"&gt; ")</f>
        <v xml:space="preserve">  &lt;Genotype hgvs="NC_00001.11:g.[12345C&gt;T];[12345=]" hgvs="NC_000001.11:g.[11794419T&gt;G];[11794419T=]" name="C677T A1298C"&gt; </v>
      </c>
    </row>
    <row r="121" spans="1:3" x14ac:dyDescent="0.25">
      <c r="A121" s="7" t="s">
        <v>24</v>
      </c>
      <c r="B121" s="11" t="str">
        <f>B35</f>
        <v>[12345C&gt;T]</v>
      </c>
    </row>
    <row r="122" spans="1:3" x14ac:dyDescent="0.25">
      <c r="A122" s="7" t="s">
        <v>20</v>
      </c>
      <c r="B122" s="11" t="str">
        <f>B36</f>
        <v>[12345=]</v>
      </c>
      <c r="C122" t="s">
        <v>34</v>
      </c>
    </row>
    <row r="123" spans="1:3" x14ac:dyDescent="0.25">
      <c r="A123" s="7" t="s">
        <v>30</v>
      </c>
      <c r="B123" s="11" t="str">
        <f>B77</f>
        <v>NC_000001.11:g.</v>
      </c>
      <c r="C123" t="s">
        <v>15</v>
      </c>
    </row>
    <row r="124" spans="1:3" x14ac:dyDescent="0.25">
      <c r="A124" s="7" t="s">
        <v>24</v>
      </c>
      <c r="B124" s="11" t="str">
        <f>B78</f>
        <v>[11794419T&gt;G]</v>
      </c>
      <c r="C124" t="str">
        <f>CONCATENATE("    ",B126)</f>
        <v xml:space="preserve">    People with this variant have one copy of the C677T variant and the A1298C variant. This substitution of a single nucleotide is known as a missense mutation.</v>
      </c>
    </row>
    <row r="125" spans="1:3" x14ac:dyDescent="0.25">
      <c r="A125" s="7" t="s">
        <v>20</v>
      </c>
      <c r="B125" s="11" t="str">
        <f>B79</f>
        <v>[11794419T=]</v>
      </c>
    </row>
    <row r="126" spans="1:3" x14ac:dyDescent="0.25">
      <c r="A126" s="7" t="s">
        <v>35</v>
      </c>
      <c r="B126" s="4" t="str">
        <f>CONCATENATE("People with this variant have one copy of the ",B22," variant and the ",B28," variant. This substitution of a single nucleotide is known as a missense mutation.")</f>
        <v>People with this variant have one copy of the C677T variant and the A1298C variant. This substitution of a single nucleotide is known as a missense mutation.</v>
      </c>
      <c r="C126" t="s">
        <v>39</v>
      </c>
    </row>
    <row r="127" spans="1:3" x14ac:dyDescent="0.25">
      <c r="A127" s="3" t="s">
        <v>36</v>
      </c>
      <c r="B127" s="4" t="s">
        <v>51</v>
      </c>
      <c r="C127" t="s">
        <v>15</v>
      </c>
    </row>
    <row r="128" spans="1:3" x14ac:dyDescent="0.25">
      <c r="A128" s="3" t="s">
        <v>38</v>
      </c>
      <c r="B128" s="4">
        <v>6</v>
      </c>
      <c r="C128" t="str">
        <f>CONCATENATE("    ",B127)</f>
        <v xml:space="preserve">    You are in the Severe Loss of Function category. See below for more information.</v>
      </c>
    </row>
    <row r="129" spans="1:3" x14ac:dyDescent="0.25">
      <c r="A129" s="3"/>
    </row>
    <row r="130" spans="1:3" x14ac:dyDescent="0.25">
      <c r="A130" s="3"/>
      <c r="C130" t="s">
        <v>40</v>
      </c>
    </row>
    <row r="131" spans="1:3" x14ac:dyDescent="0.25">
      <c r="A131" s="7"/>
    </row>
    <row r="132" spans="1:3" x14ac:dyDescent="0.25">
      <c r="A132" s="7"/>
      <c r="C132" t="str">
        <f>CONCATENATE( "    &lt;piechart percentage=",B128," /&gt;")</f>
        <v xml:space="preserve">    &lt;piechart percentage=6 /&gt;</v>
      </c>
    </row>
    <row r="133" spans="1:3" x14ac:dyDescent="0.25">
      <c r="A133" s="7"/>
      <c r="C133" t="str">
        <f>"  &lt;/Genotype&gt;"</f>
        <v xml:space="preserve">  &lt;/Genotype&gt;</v>
      </c>
    </row>
    <row r="134" spans="1:3" x14ac:dyDescent="0.25">
      <c r="A134" s="7"/>
      <c r="C134" t="s">
        <v>52</v>
      </c>
    </row>
    <row r="135" spans="1:3" x14ac:dyDescent="0.25">
      <c r="A135" s="7" t="s">
        <v>53</v>
      </c>
      <c r="B135" s="4" t="str">
        <f>CONCATENATE("Your ",B14," gene has an unknown variant.")</f>
        <v>Your MTHFR gene has an unknown variant.</v>
      </c>
      <c r="C135" t="str">
        <f>CONCATENATE("  &lt;Genotype hgvs=",CHAR(34),"unknown",CHAR(34),"&gt; ")</f>
        <v xml:space="preserve">  &lt;Genotype hgvs="unknown"&gt; </v>
      </c>
    </row>
    <row r="136" spans="1:3" x14ac:dyDescent="0.25">
      <c r="A136" s="3" t="s">
        <v>53</v>
      </c>
      <c r="B136" s="4" t="s">
        <v>54</v>
      </c>
      <c r="C136" t="s">
        <v>15</v>
      </c>
    </row>
    <row r="137" spans="1:3" x14ac:dyDescent="0.25">
      <c r="A137" s="3" t="s">
        <v>38</v>
      </c>
      <c r="C137" t="s">
        <v>34</v>
      </c>
    </row>
    <row r="138" spans="1:3" x14ac:dyDescent="0.25">
      <c r="A138" s="3"/>
    </row>
    <row r="139" spans="1:3" x14ac:dyDescent="0.25">
      <c r="A139" s="3"/>
      <c r="C139" t="str">
        <f>CONCATENATE("    ",B135)</f>
        <v xml:space="preserve">    Your MTHFR gene has an unknown variant.</v>
      </c>
    </row>
    <row r="140" spans="1:3" x14ac:dyDescent="0.25">
      <c r="A140" s="3"/>
    </row>
    <row r="141" spans="1:3" x14ac:dyDescent="0.25">
      <c r="A141" s="3"/>
      <c r="C141" t="s">
        <v>39</v>
      </c>
    </row>
    <row r="142" spans="1:3" x14ac:dyDescent="0.25">
      <c r="A142" s="3"/>
    </row>
    <row r="143" spans="1:3" x14ac:dyDescent="0.25">
      <c r="A143" s="7"/>
      <c r="C143" t="str">
        <f>CONCATENATE("    ",B136)</f>
        <v xml:space="preserve">    The effect is unknown.</v>
      </c>
    </row>
    <row r="144" spans="1:3" x14ac:dyDescent="0.25">
      <c r="A144" s="3"/>
    </row>
    <row r="145" spans="1:3" x14ac:dyDescent="0.25">
      <c r="A145" s="7"/>
      <c r="C145" t="s">
        <v>40</v>
      </c>
    </row>
    <row r="146" spans="1:3" x14ac:dyDescent="0.25">
      <c r="A146" s="7"/>
    </row>
    <row r="147" spans="1:3" x14ac:dyDescent="0.25">
      <c r="A147" s="7"/>
      <c r="C147" t="str">
        <f>CONCATENATE( "    &lt;piechart percentage=",B137," /&gt;")</f>
        <v xml:space="preserve">    &lt;piechart percentage= /&gt;</v>
      </c>
    </row>
    <row r="148" spans="1:3" x14ac:dyDescent="0.25">
      <c r="A148" s="7"/>
      <c r="C148" t="str">
        <f>"  &lt;/Genotype&gt;"</f>
        <v xml:space="preserve">  &lt;/Genotype&gt;</v>
      </c>
    </row>
    <row r="149" spans="1:3" x14ac:dyDescent="0.25">
      <c r="A149" s="7"/>
      <c r="C149" t="s">
        <v>55</v>
      </c>
    </row>
    <row r="150" spans="1:3" x14ac:dyDescent="0.25">
      <c r="A150" s="7" t="s">
        <v>44</v>
      </c>
      <c r="B150" s="4" t="str">
        <f>CONCATENATE("Your ",B14," gene has no variants. A normal gene is referred to as a ",CHAR(34),"wild-type",CHAR(34)," gene.")</f>
        <v>Your MTHFR gene has no variants. A normal gene is referred to as a "wild-type" gene.</v>
      </c>
      <c r="C150" t="str">
        <f>CONCATENATE("  &lt;Genotype hgvs=",CHAR(34),"wildtype",CHAR(34),"&gt;")</f>
        <v xml:space="preserve">  &lt;Genotype hgvs="wildtype"&gt;</v>
      </c>
    </row>
    <row r="151" spans="1:3" x14ac:dyDescent="0.25">
      <c r="A151" s="3" t="s">
        <v>45</v>
      </c>
      <c r="B151" s="4" t="s">
        <v>56</v>
      </c>
      <c r="C151" t="s">
        <v>15</v>
      </c>
    </row>
    <row r="152" spans="1:3" x14ac:dyDescent="0.25">
      <c r="A152" s="3" t="s">
        <v>38</v>
      </c>
      <c r="C152" t="s">
        <v>34</v>
      </c>
    </row>
    <row r="153" spans="1:3" x14ac:dyDescent="0.25">
      <c r="A153" s="3"/>
    </row>
    <row r="154" spans="1:3" x14ac:dyDescent="0.25">
      <c r="A154" s="3"/>
      <c r="C154" t="str">
        <f>CONCATENATE("    ",B150)</f>
        <v xml:space="preserve">    Your MTHFR gene has no variants. A normal gene is referred to as a "wild-type" gene.</v>
      </c>
    </row>
    <row r="155" spans="1:3" x14ac:dyDescent="0.25">
      <c r="A155" s="3"/>
    </row>
    <row r="156" spans="1:3" x14ac:dyDescent="0.25">
      <c r="A156" s="3"/>
      <c r="C156" t="s">
        <v>39</v>
      </c>
    </row>
    <row r="157" spans="1:3" x14ac:dyDescent="0.25">
      <c r="A157" s="3"/>
    </row>
    <row r="158" spans="1:3" x14ac:dyDescent="0.25">
      <c r="A158" s="3"/>
      <c r="C158" t="str">
        <f>CONCATENATE("    ",B151)</f>
        <v xml:space="preserve">    This variant is not associated with increased risk.</v>
      </c>
    </row>
    <row r="159" spans="1:3" x14ac:dyDescent="0.25">
      <c r="A159" s="3"/>
    </row>
    <row r="160" spans="1:3" x14ac:dyDescent="0.25">
      <c r="A160" s="3"/>
      <c r="C160" t="s">
        <v>40</v>
      </c>
    </row>
    <row r="161" spans="1:3" x14ac:dyDescent="0.25">
      <c r="A161" s="7"/>
    </row>
    <row r="162" spans="1:3" x14ac:dyDescent="0.25">
      <c r="A162" s="3"/>
      <c r="C162" t="str">
        <f>CONCATENATE( "    &lt;piechart percentage=",B152," /&gt;")</f>
        <v xml:space="preserve">    &lt;piechart percentage= /&gt;</v>
      </c>
    </row>
    <row r="163" spans="1:3" x14ac:dyDescent="0.25">
      <c r="A163" s="3"/>
      <c r="C163" t="str">
        <f>"  &lt;/Genotype&gt;"</f>
        <v xml:space="preserve">  &lt;/Genotype&gt;</v>
      </c>
    </row>
    <row r="164" spans="1:3" x14ac:dyDescent="0.25">
      <c r="A164" s="3"/>
      <c r="C164" t="str">
        <f>"&lt;/GeneAnalysis&gt;"</f>
        <v>&lt;/GeneAnalysis&gt;</v>
      </c>
    </row>
    <row r="165" spans="1:3" s="10" customFormat="1" x14ac:dyDescent="0.25">
      <c r="A165" s="13"/>
      <c r="B165" s="9"/>
    </row>
    <row r="166" spans="1:3" s="10" customFormat="1" x14ac:dyDescent="0.25">
      <c r="A166" s="8"/>
      <c r="B166" s="9"/>
      <c r="C166" s="3" t="s">
        <v>57</v>
      </c>
    </row>
    <row r="167" spans="1:3" s="10" customFormat="1" x14ac:dyDescent="0.25">
      <c r="A167" s="8"/>
      <c r="B167" s="9"/>
      <c r="C167" s="8"/>
    </row>
    <row r="168" spans="1:3" s="10" customFormat="1" x14ac:dyDescent="0.25">
      <c r="A168" s="8"/>
      <c r="B168" s="9"/>
      <c r="C168" t="s">
        <v>58</v>
      </c>
    </row>
    <row r="169" spans="1:3" s="10" customFormat="1" x14ac:dyDescent="0.25">
      <c r="A169" s="8"/>
      <c r="B169" s="9"/>
      <c r="C169" s="3"/>
    </row>
    <row r="170" spans="1:3" x14ac:dyDescent="0.25">
      <c r="A170" s="7"/>
      <c r="C170" t="str">
        <f>CONCATENATE("# How do changes in ",B14," affect people?")</f>
        <v># How do changes in MTHFR affect people?</v>
      </c>
    </row>
    <row r="171" spans="1:3" x14ac:dyDescent="0.25">
      <c r="A171" s="7"/>
    </row>
    <row r="172" spans="1:3" x14ac:dyDescent="0.25">
      <c r="A172" s="7" t="s">
        <v>59</v>
      </c>
      <c r="B172" s="4" t="str">
        <f>CONCATENATE("For the vast majority of people, the overall risk associated with the common ",B14,"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72" t="str">
        <f>B172</f>
        <v>For the vast majority of people, the overall risk associated with the common MTHFR variants is small and does not impact treatment. It is possible that variants in this gene interact with other gene variants, which is the reason for our inclusion of this gene.</v>
      </c>
    </row>
    <row r="173" spans="1:3" s="10" customFormat="1" x14ac:dyDescent="0.25">
      <c r="A173" s="13"/>
      <c r="B173" s="9"/>
    </row>
    <row r="174" spans="1:3" x14ac:dyDescent="0.25">
      <c r="A174" s="7"/>
      <c r="C174" t="s">
        <v>60</v>
      </c>
    </row>
    <row r="175" spans="1:3" x14ac:dyDescent="0.25">
      <c r="A175" s="7"/>
    </row>
    <row r="176" spans="1:3" x14ac:dyDescent="0.25">
      <c r="A176" s="7" t="s">
        <v>15</v>
      </c>
      <c r="B176" s="4" t="s">
        <v>61</v>
      </c>
      <c r="C176" t="str">
        <f>B176</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7" spans="1:3" x14ac:dyDescent="0.25">
      <c r="A177" s="7"/>
    </row>
    <row r="178" spans="1:3" x14ac:dyDescent="0.25">
      <c r="A178" s="7"/>
      <c r="C178" t="s">
        <v>62</v>
      </c>
    </row>
    <row r="179" spans="1:3" x14ac:dyDescent="0.25">
      <c r="A179" s="7"/>
    </row>
    <row r="180" spans="1:3" x14ac:dyDescent="0.25">
      <c r="A180" s="7"/>
      <c r="B180" s="4" t="s">
        <v>63</v>
      </c>
      <c r="C180" t="str">
        <f>B180</f>
        <v xml:space="preserve">Some people with mild loss of function variant may benefit from supplementing their diets with an [oral folic acid](https://www.ncbi.nlm.nih.gov/pubmed/25902009) supplement. Consult your physician. </v>
      </c>
    </row>
    <row r="181" spans="1:3" s="10" customFormat="1" x14ac:dyDescent="0.25">
      <c r="A181" s="13"/>
      <c r="B181" s="9"/>
    </row>
    <row r="182" spans="1:3" s="10" customFormat="1" x14ac:dyDescent="0.25">
      <c r="A182" s="8"/>
      <c r="B182" s="9"/>
      <c r="C182" s="3" t="s">
        <v>64</v>
      </c>
    </row>
    <row r="183" spans="1:3" s="10" customFormat="1" x14ac:dyDescent="0.25">
      <c r="A183" s="8"/>
      <c r="B183" s="9"/>
      <c r="C183" s="8"/>
    </row>
    <row r="184" spans="1:3" s="10" customFormat="1" x14ac:dyDescent="0.25">
      <c r="A184" s="8"/>
      <c r="B184" s="9"/>
      <c r="C184" s="3" t="s">
        <v>65</v>
      </c>
    </row>
    <row r="185" spans="1:3" s="10" customFormat="1" x14ac:dyDescent="0.25">
      <c r="A185" s="8"/>
      <c r="B185" s="9"/>
      <c r="C185" s="3"/>
    </row>
    <row r="186" spans="1:3" x14ac:dyDescent="0.25">
      <c r="A186" s="7"/>
      <c r="C186" t="s">
        <v>66</v>
      </c>
    </row>
    <row r="187" spans="1:3" x14ac:dyDescent="0.25">
      <c r="A187" s="7"/>
    </row>
    <row r="188" spans="1:3" x14ac:dyDescent="0.25">
      <c r="A188" s="7" t="s">
        <v>15</v>
      </c>
      <c r="B188" s="4" t="s">
        <v>67</v>
      </c>
      <c r="C188" t="str">
        <f>B188</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9" spans="1:3" x14ac:dyDescent="0.25">
      <c r="A189" s="7"/>
    </row>
    <row r="190" spans="1:3" x14ac:dyDescent="0.25">
      <c r="A190" s="7"/>
      <c r="C190" t="s">
        <v>62</v>
      </c>
    </row>
    <row r="191" spans="1:3" x14ac:dyDescent="0.25">
      <c r="A191" s="7"/>
    </row>
    <row r="192" spans="1:3" x14ac:dyDescent="0.25">
      <c r="A192" s="7"/>
      <c r="B192" s="4" t="s">
        <v>68</v>
      </c>
      <c r="C192" t="str">
        <f>B192</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4" spans="1:3" s="10" customFormat="1" x14ac:dyDescent="0.25">
      <c r="A194" s="13"/>
      <c r="B194" s="9"/>
    </row>
    <row r="195" spans="1:3" s="10" customFormat="1" x14ac:dyDescent="0.25">
      <c r="A195" s="8"/>
      <c r="B195" s="9"/>
      <c r="C195" s="3" t="s">
        <v>50</v>
      </c>
    </row>
    <row r="196" spans="1:3" s="10" customFormat="1" x14ac:dyDescent="0.25">
      <c r="A196" s="8"/>
      <c r="B196" s="9"/>
      <c r="C196" s="8"/>
    </row>
    <row r="197" spans="1:3" s="10" customFormat="1" x14ac:dyDescent="0.25">
      <c r="A197" s="8"/>
      <c r="B197" s="9"/>
      <c r="C197" s="3" t="s">
        <v>69</v>
      </c>
    </row>
    <row r="198" spans="1:3" s="10" customFormat="1" x14ac:dyDescent="0.25">
      <c r="A198" s="8"/>
      <c r="B198" s="9"/>
      <c r="C198" s="8"/>
    </row>
    <row r="199" spans="1:3" x14ac:dyDescent="0.25">
      <c r="A199" s="7"/>
      <c r="C199" t="s">
        <v>70</v>
      </c>
    </row>
    <row r="200" spans="1:3" x14ac:dyDescent="0.25">
      <c r="A200" s="7"/>
    </row>
    <row r="201" spans="1:3" x14ac:dyDescent="0.25">
      <c r="A201" s="7" t="s">
        <v>15</v>
      </c>
      <c r="B201" s="4" t="s">
        <v>71</v>
      </c>
      <c r="C201" t="str">
        <f>B201</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202" spans="1:3" x14ac:dyDescent="0.25">
      <c r="A202" s="7"/>
    </row>
    <row r="203" spans="1:3" x14ac:dyDescent="0.25">
      <c r="A203" s="7"/>
      <c r="C203" t="s">
        <v>62</v>
      </c>
    </row>
    <row r="204" spans="1:3" x14ac:dyDescent="0.25">
      <c r="A204" s="7"/>
    </row>
    <row r="205" spans="1:3" x14ac:dyDescent="0.25">
      <c r="A205" s="7"/>
      <c r="B205" s="4" t="s">
        <v>72</v>
      </c>
      <c r="C205" t="str">
        <f>B205</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6" spans="1:3" s="10" customFormat="1" x14ac:dyDescent="0.25">
      <c r="B206" s="9"/>
    </row>
    <row r="208" spans="1:3" ht="30" x14ac:dyDescent="0.25">
      <c r="A208" t="s">
        <v>73</v>
      </c>
      <c r="B208" s="14" t="s">
        <v>74</v>
      </c>
      <c r="C208" t="str">
        <f>CONCATENATE("&lt;symptoms ",B208," /&gt;")</f>
        <v>&lt;symptoms fatigue D005221 memory problems D008569 inflamation D007249 /&gt;</v>
      </c>
    </row>
    <row r="210" spans="2:2" x14ac:dyDescent="0.25">
      <c r="B210" s="15" t="s">
        <v>75</v>
      </c>
    </row>
    <row r="211" spans="2:2" x14ac:dyDescent="0.25">
      <c r="B211"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41F1-CA0D-4BC2-89E6-247F284FC918}">
  <dimension ref="A1:AJ2365"/>
  <sheetViews>
    <sheetView tabSelected="1" workbookViewId="0">
      <selection activeCell="C178" sqref="C2:C178"/>
    </sheetView>
  </sheetViews>
  <sheetFormatPr defaultRowHeight="15.75" x14ac:dyDescent="0.25"/>
  <cols>
    <col min="1" max="1" width="16.28515625" style="5" customWidth="1"/>
    <col min="2" max="2" width="42.7109375" style="24" customWidth="1"/>
    <col min="3" max="6" width="9.140625" style="5"/>
    <col min="7" max="7" width="10.28515625" style="5" bestFit="1" customWidth="1"/>
    <col min="8" max="8" width="13" style="5" customWidth="1"/>
    <col min="9" max="9" width="12.7109375" style="5" customWidth="1"/>
    <col min="10" max="10" width="11.85546875" style="5" customWidth="1"/>
    <col min="11" max="11" width="12.85546875" style="5" customWidth="1"/>
    <col min="12" max="12" width="13.5703125" style="5" customWidth="1"/>
    <col min="13" max="13" width="12" style="5" customWidth="1"/>
    <col min="14" max="14" width="12.85546875" style="5" customWidth="1"/>
    <col min="15" max="16" width="9.140625" style="5"/>
    <col min="17" max="17" width="17.42578125" style="5" customWidth="1"/>
    <col min="18" max="18" width="15.5703125" style="5" customWidth="1"/>
    <col min="19" max="23" width="15.42578125" style="5" bestFit="1" customWidth="1"/>
    <col min="24" max="24" width="14.85546875" style="5" customWidth="1"/>
    <col min="25" max="25" width="16.7109375" style="5" customWidth="1"/>
    <col min="26" max="26" width="19.42578125" style="5" customWidth="1"/>
    <col min="27" max="27" width="18" style="5" customWidth="1"/>
    <col min="28" max="28" width="17.85546875" style="5" customWidth="1"/>
    <col min="29" max="29" width="16" style="5" customWidth="1"/>
    <col min="30" max="30" width="9.140625" style="5"/>
    <col min="31" max="31" width="12.85546875" style="5" bestFit="1" customWidth="1"/>
    <col min="32" max="32" width="11.7109375" style="5" bestFit="1" customWidth="1"/>
    <col min="33" max="16384" width="9.140625" style="5"/>
  </cols>
  <sheetData>
    <row r="1" spans="1:36" x14ac:dyDescent="0.25">
      <c r="A1" s="17" t="s">
        <v>0</v>
      </c>
      <c r="B1" s="18" t="s">
        <v>1</v>
      </c>
      <c r="C1" s="17" t="s">
        <v>2</v>
      </c>
      <c r="H1" s="19"/>
      <c r="I1" s="20"/>
      <c r="J1" s="19"/>
      <c r="K1" s="19"/>
      <c r="L1" s="19"/>
      <c r="Y1" s="21"/>
      <c r="AC1" s="21"/>
      <c r="AF1" s="22"/>
      <c r="AG1" s="22"/>
      <c r="AJ1" s="22"/>
    </row>
    <row r="2" spans="1:36" x14ac:dyDescent="0.25">
      <c r="A2" s="23" t="s">
        <v>77</v>
      </c>
      <c r="B2" s="4" t="s">
        <v>4</v>
      </c>
      <c r="C2" s="5" t="str">
        <f>CONCATENATE("&lt;",A2," ",B2," /&gt;")</f>
        <v>&lt;Gene_Name MTHFR /&gt;</v>
      </c>
      <c r="D2" s="24"/>
      <c r="H2" s="19"/>
      <c r="I2" s="20"/>
      <c r="J2" s="19"/>
      <c r="K2" s="19"/>
      <c r="L2" s="19"/>
      <c r="Y2" s="21"/>
      <c r="AC2" s="21"/>
      <c r="AF2" s="22"/>
      <c r="AG2" s="22"/>
      <c r="AJ2" s="22"/>
    </row>
    <row r="3" spans="1:36" x14ac:dyDescent="0.25">
      <c r="A3" s="17"/>
      <c r="B3" s="4"/>
      <c r="C3" s="17"/>
      <c r="D3" s="24"/>
      <c r="H3" s="19"/>
      <c r="I3" s="20"/>
      <c r="J3" s="19"/>
      <c r="K3" s="19"/>
      <c r="L3" s="19"/>
      <c r="Y3" s="21"/>
      <c r="AC3" s="21"/>
      <c r="AF3" s="22"/>
      <c r="AG3" s="22"/>
      <c r="AJ3" s="22"/>
    </row>
    <row r="4" spans="1:36" ht="17.25" x14ac:dyDescent="0.3">
      <c r="A4" s="23" t="s">
        <v>78</v>
      </c>
      <c r="B4" s="6" t="s">
        <v>80</v>
      </c>
      <c r="C4" s="5" t="str">
        <f>CONCATENATE("&lt;",A4," ",B4," /&gt;")</f>
        <v>&lt;GeneName_full Methylenetetrahydrofolate reductase /&gt;</v>
      </c>
      <c r="D4" s="24"/>
      <c r="H4" s="19"/>
      <c r="I4" s="20"/>
      <c r="J4" s="19"/>
      <c r="K4" s="19"/>
      <c r="L4" s="19"/>
      <c r="Y4" s="21"/>
      <c r="AC4" s="21"/>
      <c r="AF4" s="22"/>
      <c r="AG4" s="22"/>
      <c r="AJ4" s="22"/>
    </row>
    <row r="5" spans="1:36" x14ac:dyDescent="0.25">
      <c r="A5" s="23"/>
      <c r="B5" s="18"/>
      <c r="C5" s="17"/>
      <c r="D5" s="24"/>
      <c r="H5" s="19"/>
      <c r="I5" s="20"/>
      <c r="J5" s="19"/>
      <c r="K5" s="19"/>
      <c r="L5" s="19"/>
      <c r="Y5" s="21"/>
      <c r="AC5" s="21"/>
      <c r="AF5" s="22"/>
      <c r="AG5" s="22"/>
      <c r="AJ5" s="22"/>
    </row>
    <row r="6" spans="1:36" x14ac:dyDescent="0.25">
      <c r="A6" s="23"/>
      <c r="B6" s="5"/>
      <c r="C6" s="5" t="str">
        <f>CONCATENATE("# What does the ",B2," gene do?")</f>
        <v># What does the MTHFR gene do?</v>
      </c>
      <c r="H6" s="19"/>
      <c r="I6" s="20"/>
      <c r="J6" s="19"/>
      <c r="K6" s="19"/>
      <c r="L6" s="19"/>
      <c r="Y6" s="25"/>
      <c r="Z6" s="25"/>
      <c r="AA6" s="25"/>
      <c r="AC6" s="25"/>
      <c r="AF6" s="22"/>
      <c r="AJ6" s="22"/>
    </row>
    <row r="7" spans="1:36" x14ac:dyDescent="0.25">
      <c r="A7" s="23"/>
      <c r="I7" s="26"/>
      <c r="Y7" s="25"/>
      <c r="Z7" s="25"/>
      <c r="AA7" s="25"/>
      <c r="AC7" s="25"/>
      <c r="AF7" s="22"/>
      <c r="AJ7" s="22"/>
    </row>
    <row r="8" spans="1:36" ht="17.25" x14ac:dyDescent="0.3">
      <c r="A8" s="23" t="s">
        <v>5</v>
      </c>
      <c r="B8" s="6" t="s">
        <v>76</v>
      </c>
      <c r="C8" s="5" t="str">
        <f>CONCATENATE(B8," This gene is located on chromosome ",B9,".")</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 This gene is located on chromosome 1.</v>
      </c>
      <c r="I8" s="26"/>
      <c r="X8" s="27"/>
      <c r="Y8" s="25"/>
      <c r="Z8" s="25"/>
      <c r="AA8" s="25"/>
      <c r="AC8" s="25"/>
    </row>
    <row r="9" spans="1:36" x14ac:dyDescent="0.25">
      <c r="A9" s="23" t="s">
        <v>6</v>
      </c>
      <c r="B9" s="4">
        <v>1</v>
      </c>
      <c r="I9" s="26"/>
      <c r="Y9" s="25"/>
      <c r="Z9" s="25"/>
      <c r="AA9" s="25"/>
      <c r="AC9" s="25"/>
    </row>
    <row r="10" spans="1:36" x14ac:dyDescent="0.25">
      <c r="A10" s="23" t="s">
        <v>7</v>
      </c>
      <c r="B10" s="4" t="s">
        <v>8</v>
      </c>
      <c r="Y10" s="21"/>
      <c r="AC10" s="25"/>
    </row>
    <row r="11" spans="1:36" s="30" customFormat="1" ht="16.5" thickBot="1" x14ac:dyDescent="0.3">
      <c r="A11" s="28"/>
      <c r="B11" s="29"/>
    </row>
    <row r="12" spans="1:36" ht="16.5" thickBot="1" x14ac:dyDescent="0.3">
      <c r="A12" s="23" t="s">
        <v>3</v>
      </c>
      <c r="B12" s="4" t="str">
        <f>B2</f>
        <v>MTHFR</v>
      </c>
      <c r="C12" s="5" t="str">
        <f>CONCATENATE("&lt;GeneMap name= ",CHAR(34),B12,CHAR(34)," interval=",CHAR(34),B13,"=",CHAR(34),"&gt;")</f>
        <v>&lt;GeneMap name= "MTHFR" interval="NC_000001.11 :g.11785730_11806103="&gt;</v>
      </c>
      <c r="J12" s="32"/>
      <c r="K12" s="32"/>
      <c r="L12" s="32"/>
      <c r="M12" s="32"/>
      <c r="N12" s="32"/>
      <c r="O12" s="33"/>
      <c r="P12" s="34"/>
      <c r="Q12" s="33"/>
      <c r="R12" s="33"/>
      <c r="S12" s="34"/>
      <c r="T12" s="34"/>
      <c r="U12" s="33"/>
      <c r="V12" s="33"/>
      <c r="W12" s="34"/>
      <c r="X12" s="34"/>
      <c r="Y12" s="34"/>
      <c r="Z12" s="34"/>
    </row>
    <row r="13" spans="1:36" x14ac:dyDescent="0.25">
      <c r="A13" s="23" t="s">
        <v>11</v>
      </c>
      <c r="B13" s="4" t="s">
        <v>12</v>
      </c>
      <c r="J13" s="24"/>
      <c r="K13" s="24"/>
      <c r="L13" s="24"/>
      <c r="M13" s="24"/>
      <c r="N13" s="24"/>
      <c r="O13" s="24"/>
      <c r="P13" s="24"/>
      <c r="Q13" s="24"/>
      <c r="R13" s="24"/>
      <c r="S13" s="24"/>
      <c r="T13" s="24"/>
      <c r="U13" s="24"/>
      <c r="V13" s="24"/>
      <c r="W13" s="24"/>
      <c r="X13" s="24"/>
      <c r="Y13" s="24"/>
      <c r="Z13" s="24"/>
    </row>
    <row r="14" spans="1:36" x14ac:dyDescent="0.25">
      <c r="A14" s="23" t="s">
        <v>13</v>
      </c>
      <c r="B14" s="4" t="s">
        <v>14</v>
      </c>
      <c r="C14" s="5" t="str">
        <f>CONCATENATE("# What are some common variants of ",B12,"?")</f>
        <v># What are some common variants of MTHFR?</v>
      </c>
      <c r="J14" s="24"/>
      <c r="K14" s="24"/>
      <c r="L14" s="24"/>
      <c r="M14" s="24"/>
      <c r="N14" s="24"/>
      <c r="O14" s="24"/>
      <c r="P14" s="24"/>
      <c r="Q14" s="24"/>
      <c r="R14" s="24"/>
      <c r="S14" s="24"/>
      <c r="T14" s="24"/>
      <c r="U14" s="24"/>
      <c r="V14" s="24"/>
      <c r="W14" s="24"/>
      <c r="X14" s="24"/>
      <c r="Y14" s="24"/>
      <c r="Z14" s="24"/>
    </row>
    <row r="15" spans="1:36" x14ac:dyDescent="0.25">
      <c r="A15" s="23"/>
      <c r="B15" s="4"/>
      <c r="C15" s="5" t="s">
        <v>15</v>
      </c>
      <c r="J15" s="24"/>
      <c r="K15" s="24"/>
      <c r="L15" s="24"/>
      <c r="M15" s="24"/>
      <c r="N15" s="24"/>
      <c r="O15" s="24"/>
      <c r="P15" s="24"/>
      <c r="Q15" s="24"/>
      <c r="R15" s="24"/>
      <c r="S15" s="24"/>
      <c r="T15" s="24"/>
      <c r="U15" s="24"/>
      <c r="V15" s="24"/>
      <c r="W15" s="24"/>
      <c r="X15" s="24"/>
      <c r="Y15" s="24"/>
      <c r="Z15" s="24"/>
    </row>
    <row r="16" spans="1:36" x14ac:dyDescent="0.25">
      <c r="B16" s="4"/>
      <c r="C16" s="5" t="str">
        <f>CONCATENATE("A variant is a change at a specific point in the gene from the expected nucleotide sequence to another, resulting in incorrect ", B10," function. There are ",B14," common variants in ",B12,": ",B22," and ",B31,".")</f>
        <v>A variant is a change at a specific point in the gene from the expected nucleotide sequence to another, resulting in incorrect enzyme function. There are two common variants in MTHFR: [C677T](http://gnomad.broadinstitute.org/variant/1-11856378-G-A) and [A1298C](https://www.ncbi.nlm.nih.gov/projects/SNP/snp_ref.cgi?rs=1801131).</v>
      </c>
      <c r="J16" s="24"/>
      <c r="K16" s="24"/>
      <c r="L16" s="24"/>
      <c r="M16" s="24"/>
      <c r="N16" s="24"/>
      <c r="O16" s="24"/>
      <c r="P16" s="24"/>
      <c r="Q16" s="24"/>
      <c r="R16" s="24"/>
      <c r="S16" s="24"/>
      <c r="T16" s="24"/>
      <c r="U16" s="24"/>
      <c r="V16" s="24"/>
      <c r="W16" s="24"/>
      <c r="X16" s="24"/>
      <c r="Y16" s="24"/>
      <c r="Z16" s="24"/>
    </row>
    <row r="17" spans="1:26" x14ac:dyDescent="0.25">
      <c r="B17" s="4"/>
      <c r="J17" s="24"/>
      <c r="K17" s="24"/>
      <c r="L17" s="24"/>
      <c r="M17" s="24"/>
      <c r="N17" s="24"/>
      <c r="O17" s="24"/>
      <c r="P17" s="24"/>
      <c r="Q17" s="24"/>
      <c r="R17" s="24"/>
      <c r="S17" s="24"/>
      <c r="T17" s="24"/>
      <c r="U17" s="24"/>
      <c r="V17" s="24"/>
      <c r="W17" s="24"/>
      <c r="X17" s="24"/>
      <c r="Y17" s="24"/>
      <c r="Z17" s="24"/>
    </row>
    <row r="18" spans="1:26" x14ac:dyDescent="0.25">
      <c r="A18" s="23" t="s">
        <v>16</v>
      </c>
      <c r="B18" s="11" t="s">
        <v>88</v>
      </c>
      <c r="C18" s="5" t="str">
        <f>CONCATENATE("&lt;# ",B19," #&gt;")</f>
        <v>&lt;# C677T #&gt;</v>
      </c>
      <c r="J18" s="24"/>
      <c r="K18" s="24"/>
      <c r="L18" s="24"/>
      <c r="M18" s="24"/>
      <c r="N18" s="24"/>
      <c r="O18" s="24"/>
      <c r="P18" s="24"/>
      <c r="Q18" s="24"/>
      <c r="R18" s="24"/>
      <c r="S18" s="24"/>
      <c r="T18" s="24"/>
      <c r="U18" s="24"/>
      <c r="V18" s="24"/>
      <c r="W18" s="24"/>
      <c r="X18" s="24"/>
      <c r="Y18" s="24"/>
      <c r="Z18" s="24"/>
    </row>
    <row r="19" spans="1:26" x14ac:dyDescent="0.25">
      <c r="A19" s="35" t="s">
        <v>18</v>
      </c>
      <c r="B19" s="11" t="s">
        <v>19</v>
      </c>
      <c r="J19" s="11"/>
      <c r="K19" s="24"/>
      <c r="L19" s="24"/>
      <c r="M19" s="24"/>
      <c r="N19" s="24"/>
      <c r="O19" s="24"/>
      <c r="P19" s="24"/>
      <c r="Q19" s="24"/>
      <c r="R19" s="24"/>
      <c r="S19" s="24"/>
      <c r="T19" s="24"/>
      <c r="U19" s="24"/>
      <c r="V19" s="24"/>
      <c r="W19" s="24"/>
      <c r="X19" s="24"/>
      <c r="Y19" s="24"/>
      <c r="Z19" s="24"/>
    </row>
    <row r="20" spans="1:26" x14ac:dyDescent="0.25">
      <c r="A20" s="35" t="s">
        <v>20</v>
      </c>
      <c r="B20" s="4" t="s">
        <v>21</v>
      </c>
      <c r="C20" s="5" t="str">
        <f>CONCATENATE("  &lt;Variant hgvs=",CHAR(34),B18,CHAR(34)," name=",CHAR(34),B19,CHAR(34),"&gt; ")</f>
        <v xml:space="preserve">  &lt;Variant hgvs="NC_000001.10:g.11856378G&gt;A" name="C677T"&gt; </v>
      </c>
      <c r="J20" s="4"/>
      <c r="K20" s="24"/>
      <c r="L20" s="24"/>
      <c r="M20" s="24"/>
      <c r="N20" s="24"/>
      <c r="O20" s="24"/>
      <c r="P20" s="24"/>
      <c r="Q20" s="24"/>
      <c r="R20" s="24"/>
      <c r="S20" s="24"/>
      <c r="T20" s="24"/>
      <c r="U20" s="24"/>
      <c r="V20" s="24"/>
      <c r="W20" s="24"/>
      <c r="X20" s="24"/>
      <c r="Y20" s="24"/>
      <c r="Z20" s="24"/>
    </row>
    <row r="21" spans="1:26" x14ac:dyDescent="0.25">
      <c r="A21" s="35" t="s">
        <v>22</v>
      </c>
      <c r="B21" s="4" t="s">
        <v>23</v>
      </c>
      <c r="H21" s="24"/>
      <c r="I21" s="24"/>
      <c r="J21" s="4"/>
      <c r="K21" s="24"/>
      <c r="L21" s="24"/>
      <c r="M21" s="24"/>
      <c r="N21" s="24"/>
      <c r="O21" s="24"/>
      <c r="P21" s="24"/>
      <c r="Q21" s="24"/>
      <c r="R21" s="24"/>
      <c r="S21" s="24"/>
      <c r="T21" s="24"/>
      <c r="U21" s="24"/>
      <c r="V21" s="24"/>
      <c r="W21" s="24"/>
      <c r="X21" s="24"/>
      <c r="Y21" s="24"/>
      <c r="Z21" s="24"/>
    </row>
    <row r="22" spans="1:26" x14ac:dyDescent="0.25">
      <c r="A22" s="35" t="s">
        <v>24</v>
      </c>
      <c r="B22" s="12" t="s">
        <v>25</v>
      </c>
      <c r="C22" s="5" t="str">
        <f>CONCATENATE("    Instead of ",B20,", there is a ",B21," nucleotide.")</f>
        <v xml:space="preserve">    Instead of cytosine (C), there is a thymine (T) nucleotide.</v>
      </c>
      <c r="H22" s="24"/>
      <c r="I22" s="24"/>
      <c r="J22" s="12"/>
      <c r="K22" s="24"/>
      <c r="L22" s="24"/>
      <c r="M22" s="24"/>
      <c r="N22" s="24"/>
      <c r="O22" s="24"/>
      <c r="P22" s="24"/>
      <c r="Q22" s="24"/>
      <c r="R22" s="24"/>
      <c r="S22" s="24"/>
      <c r="T22" s="24"/>
      <c r="U22" s="24"/>
      <c r="V22" s="24"/>
      <c r="W22" s="24"/>
      <c r="X22" s="24"/>
      <c r="Y22" s="24"/>
      <c r="Z22" s="24"/>
    </row>
    <row r="23" spans="1:26" x14ac:dyDescent="0.25">
      <c r="A23" s="5" t="s">
        <v>95</v>
      </c>
      <c r="B23" s="5" t="s">
        <v>96</v>
      </c>
      <c r="H23" s="4"/>
      <c r="I23" s="4"/>
      <c r="J23" s="24"/>
      <c r="K23" s="24"/>
      <c r="L23" s="24"/>
      <c r="M23" s="24"/>
      <c r="N23" s="24"/>
      <c r="O23" s="24"/>
      <c r="P23" s="24"/>
      <c r="Q23" s="24"/>
      <c r="R23" s="24"/>
      <c r="S23" s="24"/>
      <c r="T23" s="24"/>
      <c r="U23" s="24"/>
      <c r="V23" s="24"/>
      <c r="W23" s="24"/>
      <c r="X23" s="24"/>
      <c r="Y23" s="24"/>
      <c r="Z23" s="24"/>
    </row>
    <row r="24" spans="1:26" x14ac:dyDescent="0.25">
      <c r="A24" s="5" t="s">
        <v>81</v>
      </c>
      <c r="B24" s="12" t="s">
        <v>89</v>
      </c>
      <c r="C24" s="5" t="str">
        <f>"  &lt;/Variant&gt;"</f>
        <v xml:space="preserve">  &lt;/Variant&gt;</v>
      </c>
      <c r="H24" s="4"/>
      <c r="I24" s="4"/>
      <c r="J24" s="24"/>
      <c r="K24" s="24"/>
      <c r="L24" s="24"/>
      <c r="M24" s="24"/>
      <c r="N24" s="24"/>
      <c r="O24" s="24"/>
      <c r="P24" s="24"/>
      <c r="Q24" s="24"/>
      <c r="R24" s="24"/>
      <c r="S24" s="24"/>
      <c r="T24" s="24"/>
      <c r="U24" s="24"/>
      <c r="V24" s="24"/>
      <c r="W24" s="24"/>
      <c r="X24" s="24"/>
      <c r="Y24" s="24"/>
      <c r="Z24" s="24"/>
    </row>
    <row r="25" spans="1:26" x14ac:dyDescent="0.25">
      <c r="A25" s="35" t="s">
        <v>82</v>
      </c>
      <c r="B25" s="12" t="s">
        <v>90</v>
      </c>
      <c r="J25" s="11"/>
    </row>
    <row r="26" spans="1:26" x14ac:dyDescent="0.25">
      <c r="B26" s="5"/>
      <c r="C26" s="5" t="str">
        <f>CONCATENATE("&lt;# ",B28," #&gt;")</f>
        <v>&lt;# A1298C #&gt;</v>
      </c>
      <c r="J26" s="11"/>
    </row>
    <row r="27" spans="1:26" x14ac:dyDescent="0.25">
      <c r="A27" s="23" t="s">
        <v>16</v>
      </c>
      <c r="B27" s="11" t="s">
        <v>85</v>
      </c>
      <c r="J27" s="4"/>
    </row>
    <row r="28" spans="1:26" x14ac:dyDescent="0.25">
      <c r="A28" s="35" t="s">
        <v>18</v>
      </c>
      <c r="B28" s="12" t="s">
        <v>27</v>
      </c>
      <c r="C28" s="5" t="str">
        <f>CONCATENATE("  &lt;Variant hgvs=",CHAR(34),B27,CHAR(34)," name=",CHAR(34),B28,CHAR(34),"&gt; ")</f>
        <v xml:space="preserve">  &lt;Variant hgvs="NC_000001.10:g.11854476T&gt;G" name="A1298C"&gt; </v>
      </c>
      <c r="J28" s="4"/>
    </row>
    <row r="29" spans="1:26" x14ac:dyDescent="0.25">
      <c r="A29" s="35" t="s">
        <v>20</v>
      </c>
      <c r="B29" s="4" t="s">
        <v>28</v>
      </c>
      <c r="J29" s="12"/>
    </row>
    <row r="30" spans="1:26" x14ac:dyDescent="0.25">
      <c r="A30" s="35" t="s">
        <v>22</v>
      </c>
      <c r="B30" s="4" t="str">
        <f>"cytosine (C)"</f>
        <v>cytosine (C)</v>
      </c>
      <c r="C30" s="5" t="str">
        <f>CONCATENATE("    Instead of ",B29,", there is a ",B30," nucleotide.")</f>
        <v xml:space="preserve">    Instead of adenine (A), there is a cytosine (C) nucleotide.</v>
      </c>
    </row>
    <row r="31" spans="1:26" x14ac:dyDescent="0.25">
      <c r="A31" s="35" t="s">
        <v>24</v>
      </c>
      <c r="B31" s="12" t="s">
        <v>29</v>
      </c>
      <c r="J31" s="12"/>
    </row>
    <row r="32" spans="1:26" x14ac:dyDescent="0.25">
      <c r="A32" s="5" t="s">
        <v>95</v>
      </c>
      <c r="B32" s="5" t="s">
        <v>96</v>
      </c>
      <c r="C32" s="5" t="str">
        <f>"  &lt;/Variant&gt;"</f>
        <v xml:space="preserve">  &lt;/Variant&gt;</v>
      </c>
      <c r="J32" s="12"/>
    </row>
    <row r="33" spans="1:12" x14ac:dyDescent="0.25">
      <c r="A33" s="5" t="s">
        <v>81</v>
      </c>
      <c r="B33" s="5" t="s">
        <v>86</v>
      </c>
    </row>
    <row r="34" spans="1:12" x14ac:dyDescent="0.25">
      <c r="A34" s="35" t="s">
        <v>82</v>
      </c>
      <c r="B34" s="12" t="s">
        <v>87</v>
      </c>
      <c r="C34" s="5" t="s">
        <v>91</v>
      </c>
    </row>
    <row r="35" spans="1:12" s="30" customFormat="1" x14ac:dyDescent="0.25">
      <c r="A35" s="36"/>
      <c r="B35" s="29"/>
    </row>
    <row r="36" spans="1:12" s="19" customFormat="1" x14ac:dyDescent="0.25">
      <c r="A36" s="40"/>
      <c r="B36" s="41"/>
      <c r="C36" s="42" t="s">
        <v>92</v>
      </c>
    </row>
    <row r="37" spans="1:12" s="19" customFormat="1" x14ac:dyDescent="0.25">
      <c r="A37" s="40"/>
      <c r="B37" s="41"/>
      <c r="K37" s="19" t="s">
        <v>83</v>
      </c>
      <c r="L37" s="20" t="s">
        <v>84</v>
      </c>
    </row>
    <row r="38" spans="1:12" s="30" customFormat="1" x14ac:dyDescent="0.25">
      <c r="A38" s="36" t="s">
        <v>100</v>
      </c>
      <c r="B38" s="29" t="str">
        <f>CONCATENATE(B19," (C;T)")</f>
        <v>C677T (C;T)</v>
      </c>
      <c r="C38" s="30" t="str">
        <f>CONCATENATE("&lt;# ",B38," #&gt;")</f>
        <v>&lt;# C677T (C;T) #&gt;</v>
      </c>
      <c r="K38" s="30" t="str">
        <f>B19</f>
        <v>C677T</v>
      </c>
      <c r="L38" s="30" t="str">
        <f>B28</f>
        <v>A1298C</v>
      </c>
    </row>
    <row r="39" spans="1:12" s="19" customFormat="1" x14ac:dyDescent="0.25">
      <c r="A39" s="5" t="s">
        <v>24</v>
      </c>
      <c r="B39" s="37" t="str">
        <f>K42</f>
        <v>NC_000001.10:g.[11856378G&gt;A];[11856378=]</v>
      </c>
      <c r="J39" s="5"/>
      <c r="K39" s="31" t="str">
        <f>B23</f>
        <v>NC_000001.10:g.</v>
      </c>
      <c r="L39" s="31" t="str">
        <f>B32</f>
        <v>NC_000001.10:g.</v>
      </c>
    </row>
    <row r="40" spans="1:12" x14ac:dyDescent="0.25">
      <c r="A40" s="5" t="s">
        <v>102</v>
      </c>
      <c r="B40" s="37" t="str">
        <f>L44</f>
        <v>NC_000001.10:g.[11854476=];[11854476=]</v>
      </c>
      <c r="C40" s="5" t="str">
        <f>CONCATENATE("  &lt;Analysis name=",CHAR(34),B38,CHAR(34))</f>
        <v xml:space="preserve">  &lt;Analysis name="C677T (C;T)"</v>
      </c>
      <c r="J40" s="5" t="s">
        <v>24</v>
      </c>
      <c r="K40" s="24" t="str">
        <f>B24</f>
        <v>[11856378G&gt;A]</v>
      </c>
      <c r="L40" s="31" t="str">
        <f>B33</f>
        <v>[11854476T&gt;G]</v>
      </c>
    </row>
    <row r="41" spans="1:12" x14ac:dyDescent="0.25">
      <c r="A41" s="7" t="s">
        <v>35</v>
      </c>
      <c r="B41" s="4"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41" s="5" t="str">
        <f>CONCATENATE("            case={  variantCall ",CHAR(40),CHAR(34),B39,CHAR(34),CHAR(41))</f>
        <v xml:space="preserve">            case={  variantCall ("NC_000001.10:g.[11856378G&gt;A];[11856378=]")</v>
      </c>
      <c r="J41" s="5" t="s">
        <v>82</v>
      </c>
      <c r="K41" s="24" t="str">
        <f>B25</f>
        <v>[11856378=]</v>
      </c>
      <c r="L41" s="31" t="str">
        <f>B34</f>
        <v>[11854476=]</v>
      </c>
    </row>
    <row r="42" spans="1:12" x14ac:dyDescent="0.25">
      <c r="A42" s="3" t="s">
        <v>36</v>
      </c>
      <c r="B42" s="4" t="s">
        <v>104</v>
      </c>
      <c r="C42" s="5" t="s">
        <v>101</v>
      </c>
      <c r="J42" s="5" t="s">
        <v>93</v>
      </c>
      <c r="K42" s="24" t="str">
        <f>CONCATENATE(K39,K40,";",K41)</f>
        <v>NC_000001.10:g.[11856378G&gt;A];[11856378=]</v>
      </c>
      <c r="L42" s="24" t="str">
        <f>CONCATENATE(L39,L40,";",L41)</f>
        <v>NC_000001.10:g.[11854476T&gt;G];[11854476=]</v>
      </c>
    </row>
    <row r="43" spans="1:12" x14ac:dyDescent="0.25">
      <c r="A43" s="5" t="s">
        <v>103</v>
      </c>
      <c r="B43" s="37">
        <f>K45</f>
        <v>30</v>
      </c>
      <c r="C43" s="5" t="str">
        <f>CONCATENATE("                    variantCall ",CHAR(40),CHAR(34),B40,CHAR(34),CHAR(41))</f>
        <v xml:space="preserve">                    variantCall ("NC_000001.10:g.[11854476=];[11854476=]")</v>
      </c>
      <c r="J43" s="5" t="s">
        <v>94</v>
      </c>
      <c r="K43" s="24" t="str">
        <f>CONCATENATE(K39,K40,";",K40)</f>
        <v>NC_000001.10:g.[11856378G&gt;A];[11856378G&gt;A]</v>
      </c>
      <c r="L43" s="24" t="str">
        <f>CONCATENATE(L39,L40,";",L40)</f>
        <v>NC_000001.10:g.[11854476T&gt;G];[11854476T&gt;G]</v>
      </c>
    </row>
    <row r="44" spans="1:12" x14ac:dyDescent="0.25">
      <c r="C44" s="5" t="str">
        <f>CONCATENATE("                  } &gt; ")</f>
        <v xml:space="preserve">                  } &gt; </v>
      </c>
      <c r="J44" s="5" t="s">
        <v>82</v>
      </c>
      <c r="K44" s="4" t="str">
        <f>CONCATENATE(K39,K41,";",K41)</f>
        <v>NC_000001.10:g.[11856378=];[11856378=]</v>
      </c>
      <c r="L44" s="4" t="str">
        <f>CONCATENATE(L39,L41,";",L41)</f>
        <v>NC_000001.10:g.[11854476=];[11854476=]</v>
      </c>
    </row>
    <row r="45" spans="1:12" x14ac:dyDescent="0.25">
      <c r="J45" s="5" t="s">
        <v>97</v>
      </c>
      <c r="K45" s="24">
        <v>30</v>
      </c>
      <c r="L45" s="24">
        <v>20</v>
      </c>
    </row>
    <row r="46" spans="1:12" x14ac:dyDescent="0.25">
      <c r="A46" s="23"/>
      <c r="C46" s="5" t="s">
        <v>34</v>
      </c>
      <c r="J46" s="5" t="s">
        <v>98</v>
      </c>
      <c r="K46" s="4">
        <v>9</v>
      </c>
      <c r="L46" s="4">
        <v>4</v>
      </c>
    </row>
    <row r="47" spans="1:12" x14ac:dyDescent="0.25">
      <c r="A47" s="35"/>
      <c r="J47" s="5" t="s">
        <v>99</v>
      </c>
      <c r="K47" s="4">
        <v>61</v>
      </c>
      <c r="L47" s="4">
        <v>76</v>
      </c>
    </row>
    <row r="48" spans="1:12" x14ac:dyDescent="0.25">
      <c r="A48" s="23"/>
      <c r="C48" s="5" t="str">
        <f>CONCATENATE("    ",B41)</f>
        <v xml:space="preserve">    People with this variant have one copy of the [C677T](http://gnomad.broadinstitute.org/variant/1-11856378-G-A) variant. This substitution of a single nucleotide is known as a missense mutation.</v>
      </c>
    </row>
    <row r="49" spans="1:3" x14ac:dyDescent="0.25">
      <c r="A49" s="23"/>
    </row>
    <row r="50" spans="1:3" x14ac:dyDescent="0.25">
      <c r="A50" s="35"/>
      <c r="C50" s="5" t="s">
        <v>39</v>
      </c>
    </row>
    <row r="51" spans="1:3" x14ac:dyDescent="0.25">
      <c r="A51" s="23"/>
    </row>
    <row r="52" spans="1:3" x14ac:dyDescent="0.25">
      <c r="A52" s="23"/>
      <c r="C52" s="5" t="str">
        <f>CONCATENATE(B42)</f>
        <v xml:space="preserve">    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Some people with mild loss of function variant may benefit from supplementing their diets with an [oral folic acid](https://www.ncbi.nlm.nih.gov/pubmed/25902009) supplement. Consult your physician. </v>
      </c>
    </row>
    <row r="53" spans="1:3" x14ac:dyDescent="0.25">
      <c r="A53" s="23"/>
    </row>
    <row r="54" spans="1:3" x14ac:dyDescent="0.25">
      <c r="A54" s="23"/>
      <c r="C54" s="5" t="s">
        <v>40</v>
      </c>
    </row>
    <row r="55" spans="1:3" x14ac:dyDescent="0.25">
      <c r="A55" s="35"/>
    </row>
    <row r="56" spans="1:3" x14ac:dyDescent="0.25">
      <c r="A56" s="35"/>
      <c r="C56" s="5" t="str">
        <f>CONCATENATE( "    &lt;piechart percentage=",B43," /&gt;")</f>
        <v xml:space="preserve">    &lt;piechart percentage=30 /&gt;</v>
      </c>
    </row>
    <row r="57" spans="1:3" x14ac:dyDescent="0.25">
      <c r="A57" s="35"/>
      <c r="C57" s="5" t="str">
        <f>"  &lt;/Analysis&gt;"</f>
        <v xml:space="preserve">  &lt;/Analysis&gt;</v>
      </c>
    </row>
    <row r="58" spans="1:3" s="30" customFormat="1" x14ac:dyDescent="0.25">
      <c r="A58" s="36" t="s">
        <v>100</v>
      </c>
      <c r="B58" s="29" t="str">
        <f>CONCATENATE(B19," (T;T)")</f>
        <v>C677T (T;T)</v>
      </c>
      <c r="C58" s="30" t="str">
        <f>CONCATENATE("&lt;# ",B58," #&gt;")</f>
        <v>&lt;# C677T (T;T) #&gt;</v>
      </c>
    </row>
    <row r="59" spans="1:3" x14ac:dyDescent="0.25">
      <c r="A59" s="5" t="s">
        <v>24</v>
      </c>
      <c r="B59" s="37" t="str">
        <f>K43</f>
        <v>NC_000001.10:g.[11856378G&gt;A];[11856378G&gt;A]</v>
      </c>
      <c r="C59" s="19"/>
    </row>
    <row r="60" spans="1:3" x14ac:dyDescent="0.25">
      <c r="A60" s="5" t="s">
        <v>102</v>
      </c>
      <c r="B60" s="37" t="str">
        <f>L44</f>
        <v>NC_000001.10:g.[11854476=];[11854476=]</v>
      </c>
      <c r="C60" s="5" t="str">
        <f>CONCATENATE("  &lt;Analysis name=",CHAR(34),B58,CHAR(34))</f>
        <v xml:space="preserve">  &lt;Analysis name="C677T (T;T)"</v>
      </c>
    </row>
    <row r="61" spans="1:3" x14ac:dyDescent="0.25">
      <c r="A61" s="7" t="s">
        <v>105</v>
      </c>
      <c r="B61" s="4"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61" s="5" t="str">
        <f>CONCATENATE("            case={  variantCall ",CHAR(40),CHAR(34),B59,CHAR(34),CHAR(41))</f>
        <v xml:space="preserve">            case={  variantCall ("NC_000001.10:g.[11856378G&gt;A];[11856378G&gt;A]")</v>
      </c>
    </row>
    <row r="62" spans="1:3" x14ac:dyDescent="0.25">
      <c r="A62" s="3" t="s">
        <v>36</v>
      </c>
      <c r="B62" s="4" t="s">
        <v>106</v>
      </c>
      <c r="C62" s="5" t="s">
        <v>101</v>
      </c>
    </row>
    <row r="63" spans="1:3" x14ac:dyDescent="0.25">
      <c r="A63" s="5" t="s">
        <v>103</v>
      </c>
      <c r="B63" s="37">
        <f>K46</f>
        <v>9</v>
      </c>
      <c r="C63" s="5" t="str">
        <f>CONCATENATE("                    variantCall ",CHAR(40),CHAR(34),B60,CHAR(34),CHAR(41))</f>
        <v xml:space="preserve">                    variantCall ("NC_000001.10:g.[11854476=];[11854476=]")</v>
      </c>
    </row>
    <row r="64" spans="1:3" x14ac:dyDescent="0.25">
      <c r="C64" s="5" t="str">
        <f>CONCATENATE("                  } &gt; ")</f>
        <v xml:space="preserve">                  } &gt; </v>
      </c>
    </row>
    <row r="66" spans="1:12" x14ac:dyDescent="0.25">
      <c r="A66" s="23"/>
      <c r="C66" s="5" t="s">
        <v>34</v>
      </c>
    </row>
    <row r="67" spans="1:12" x14ac:dyDescent="0.25">
      <c r="A67" s="35"/>
    </row>
    <row r="68" spans="1:12" x14ac:dyDescent="0.25">
      <c r="A68" s="23"/>
      <c r="C68" s="5" t="str">
        <f>CONCATENATE("    ",B61)</f>
        <v xml:space="preserve">    People with this variant have two copies of the [C677T](http://gnomad.broadinstitute.org/variant/1-11856378-G-A) variant. This substitution of a single nucleotide is known as a missense mutation.</v>
      </c>
    </row>
    <row r="69" spans="1:12" x14ac:dyDescent="0.25">
      <c r="A69" s="23"/>
    </row>
    <row r="70" spans="1:12" x14ac:dyDescent="0.25">
      <c r="A70" s="35"/>
      <c r="C70" s="5" t="s">
        <v>39</v>
      </c>
    </row>
    <row r="71" spans="1:12" x14ac:dyDescent="0.25">
      <c r="A71" s="23"/>
    </row>
    <row r="72" spans="1:12" x14ac:dyDescent="0.25">
      <c r="A72" s="23"/>
      <c r="C72" s="5" t="str">
        <f>CONCATENATE(B62)</f>
        <v xml:space="preserve">    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73" spans="1:12" x14ac:dyDescent="0.25">
      <c r="A73" s="23"/>
    </row>
    <row r="74" spans="1:12" x14ac:dyDescent="0.25">
      <c r="A74" s="23"/>
      <c r="C74" s="5" t="s">
        <v>40</v>
      </c>
    </row>
    <row r="75" spans="1:12" x14ac:dyDescent="0.25">
      <c r="A75" s="35"/>
    </row>
    <row r="76" spans="1:12" x14ac:dyDescent="0.25">
      <c r="A76" s="35"/>
      <c r="C76" s="5" t="str">
        <f>CONCATENATE( "    &lt;piechart percentage=",B63," /&gt;")</f>
        <v xml:space="preserve">    &lt;piechart percentage=9 /&gt;</v>
      </c>
    </row>
    <row r="77" spans="1:12" x14ac:dyDescent="0.25">
      <c r="A77" s="35"/>
      <c r="C77" s="5" t="str">
        <f>"  &lt;/Analysis&gt;"</f>
        <v xml:space="preserve">  &lt;/Analysis&gt;</v>
      </c>
    </row>
    <row r="78" spans="1:12" s="30" customFormat="1" x14ac:dyDescent="0.25">
      <c r="A78" s="36" t="s">
        <v>100</v>
      </c>
      <c r="B78" s="29" t="str">
        <f>CONCATENATE(B28," (A;C)")</f>
        <v>A1298C (A;C)</v>
      </c>
      <c r="C78" s="30" t="str">
        <f>CONCATENATE("&lt;# ",B78," #&gt;")</f>
        <v>&lt;# A1298C (A;C) #&gt;</v>
      </c>
    </row>
    <row r="79" spans="1:12" s="19" customFormat="1" x14ac:dyDescent="0.25">
      <c r="A79" s="5" t="s">
        <v>24</v>
      </c>
      <c r="B79" s="37" t="str">
        <f>K44</f>
        <v>NC_000001.10:g.[11856378=];[11856378=]</v>
      </c>
      <c r="J79" s="5"/>
      <c r="K79" s="31"/>
      <c r="L79" s="31"/>
    </row>
    <row r="80" spans="1:12" x14ac:dyDescent="0.25">
      <c r="A80" s="5" t="s">
        <v>102</v>
      </c>
      <c r="B80" s="37" t="str">
        <f>L42</f>
        <v>NC_000001.10:g.[11854476T&gt;G];[11854476=]</v>
      </c>
      <c r="C80" s="5" t="str">
        <f>CONCATENATE("  &lt;Analysis name=",CHAR(34),B78,CHAR(34))</f>
        <v xml:space="preserve">  &lt;Analysis name="A1298C (A;C)"</v>
      </c>
      <c r="K80" s="24"/>
      <c r="L80" s="31"/>
    </row>
    <row r="81" spans="1:12" x14ac:dyDescent="0.25">
      <c r="A81" s="7" t="s">
        <v>35</v>
      </c>
      <c r="B81" s="4" t="str">
        <f>CONCATENATE("People with this variant have one copy of the ",B31," variant. This substitution of a single nucleotide is known as a missense mutation.")</f>
        <v>People with this variant have one copy of the [A1298C](https://www.ncbi.nlm.nih.gov/projects/SNP/snp_ref.cgi?rs=1801131) variant. This substitution of a single nucleotide is known as a missense mutation.</v>
      </c>
      <c r="C81" s="5" t="str">
        <f>CONCATENATE("            case={  variantCall ",CHAR(40),CHAR(34),B79,CHAR(34),CHAR(41))</f>
        <v xml:space="preserve">            case={  variantCall ("NC_000001.10:g.[11856378=];[11856378=]")</v>
      </c>
      <c r="K81" s="24"/>
      <c r="L81" s="31"/>
    </row>
    <row r="82" spans="1:12" x14ac:dyDescent="0.25">
      <c r="A82" s="3" t="s">
        <v>36</v>
      </c>
      <c r="B82" s="4" t="s">
        <v>106</v>
      </c>
      <c r="C82" s="5" t="s">
        <v>101</v>
      </c>
      <c r="K82" s="24"/>
      <c r="L82" s="24"/>
    </row>
    <row r="83" spans="1:12" x14ac:dyDescent="0.25">
      <c r="A83" s="5" t="s">
        <v>103</v>
      </c>
      <c r="B83" s="37">
        <f>L45</f>
        <v>20</v>
      </c>
      <c r="C83" s="5" t="str">
        <f>CONCATENATE("                    variantCall ",CHAR(40),CHAR(34),B80,CHAR(34),CHAR(41))</f>
        <v xml:space="preserve">                    variantCall ("NC_000001.10:g.[11854476T&gt;G];[11854476=]")</v>
      </c>
      <c r="K83" s="24"/>
      <c r="L83" s="24"/>
    </row>
    <row r="84" spans="1:12" x14ac:dyDescent="0.25">
      <c r="C84" s="5" t="str">
        <f>CONCATENATE("                  } &gt; ")</f>
        <v xml:space="preserve">                  } &gt; </v>
      </c>
      <c r="K84" s="4"/>
      <c r="L84" s="4"/>
    </row>
    <row r="85" spans="1:12" x14ac:dyDescent="0.25">
      <c r="K85" s="24"/>
      <c r="L85" s="24"/>
    </row>
    <row r="86" spans="1:12" x14ac:dyDescent="0.25">
      <c r="A86" s="23"/>
      <c r="C86" s="5" t="s">
        <v>34</v>
      </c>
      <c r="K86" s="4"/>
      <c r="L86" s="4"/>
    </row>
    <row r="87" spans="1:12" x14ac:dyDescent="0.25">
      <c r="A87" s="35"/>
      <c r="K87" s="4"/>
      <c r="L87" s="4"/>
    </row>
    <row r="88" spans="1:12" x14ac:dyDescent="0.25">
      <c r="A88" s="23"/>
      <c r="C88" s="5" t="str">
        <f>CONCATENATE("    ",B81)</f>
        <v xml:space="preserve">    People with this variant have one copy of the [A1298C](https://www.ncbi.nlm.nih.gov/projects/SNP/snp_ref.cgi?rs=1801131) variant. This substitution of a single nucleotide is known as a missense mutation.</v>
      </c>
    </row>
    <row r="89" spans="1:12" x14ac:dyDescent="0.25">
      <c r="A89" s="23"/>
    </row>
    <row r="90" spans="1:12" x14ac:dyDescent="0.25">
      <c r="A90" s="35"/>
      <c r="C90" s="5" t="s">
        <v>39</v>
      </c>
    </row>
    <row r="91" spans="1:12" x14ac:dyDescent="0.25">
      <c r="A91" s="23"/>
    </row>
    <row r="92" spans="1:12" x14ac:dyDescent="0.25">
      <c r="A92" s="23"/>
      <c r="C92" s="5" t="str">
        <f>CONCATENATE(B82)</f>
        <v xml:space="preserve">    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93" spans="1:12" x14ac:dyDescent="0.25">
      <c r="A93" s="23"/>
    </row>
    <row r="94" spans="1:12" x14ac:dyDescent="0.25">
      <c r="A94" s="23"/>
      <c r="C94" s="5" t="s">
        <v>40</v>
      </c>
    </row>
    <row r="95" spans="1:12" x14ac:dyDescent="0.25">
      <c r="A95" s="35"/>
    </row>
    <row r="96" spans="1:12" x14ac:dyDescent="0.25">
      <c r="A96" s="35"/>
      <c r="C96" s="5" t="str">
        <f>CONCATENATE( "    &lt;piechart percentage=",B83," /&gt;")</f>
        <v xml:space="preserve">    &lt;piechart percentage=20 /&gt;</v>
      </c>
    </row>
    <row r="97" spans="1:3" x14ac:dyDescent="0.25">
      <c r="A97" s="35"/>
      <c r="C97" s="5" t="str">
        <f>"  &lt;/Analysis&gt;"</f>
        <v xml:space="preserve">  &lt;/Analysis&gt;</v>
      </c>
    </row>
    <row r="98" spans="1:3" s="30" customFormat="1" x14ac:dyDescent="0.25">
      <c r="A98" s="36" t="s">
        <v>100</v>
      </c>
      <c r="B98" s="29" t="str">
        <f>CONCATENATE(B28," (C;C)")</f>
        <v>A1298C (C;C)</v>
      </c>
      <c r="C98" s="30" t="str">
        <f>CONCATENATE("&lt;# ",B98," #&gt;")</f>
        <v>&lt;# A1298C (C;C) #&gt;</v>
      </c>
    </row>
    <row r="99" spans="1:3" x14ac:dyDescent="0.25">
      <c r="A99" s="5" t="s">
        <v>24</v>
      </c>
      <c r="B99" s="37" t="str">
        <f>K44</f>
        <v>NC_000001.10:g.[11856378=];[11856378=]</v>
      </c>
      <c r="C99" s="19"/>
    </row>
    <row r="100" spans="1:3" x14ac:dyDescent="0.25">
      <c r="A100" s="5" t="s">
        <v>102</v>
      </c>
      <c r="B100" s="37" t="str">
        <f>L43</f>
        <v>NC_000001.10:g.[11854476T&gt;G];[11854476T&gt;G]</v>
      </c>
      <c r="C100" s="5" t="str">
        <f>CONCATENATE("  &lt;Analysis name=",CHAR(34),B98,CHAR(34))</f>
        <v xml:space="preserve">  &lt;Analysis name="A1298C (C;C)"</v>
      </c>
    </row>
    <row r="101" spans="1:3" x14ac:dyDescent="0.25">
      <c r="A101" s="7" t="s">
        <v>105</v>
      </c>
      <c r="B101" s="4" t="str">
        <f>CONCATENATE("People with this variant have two copies of the ",B31," variant. This substitution of a single nucleotide is known as a missense mutation.")</f>
        <v>People with this variant have two copies of the [A1298C](https://www.ncbi.nlm.nih.gov/projects/SNP/snp_ref.cgi?rs=1801131) variant. This substitution of a single nucleotide is known as a missense mutation.</v>
      </c>
      <c r="C101" s="5" t="str">
        <f>CONCATENATE("            case={  variantCall ",CHAR(40),CHAR(34),B99,CHAR(34),CHAR(41))</f>
        <v xml:space="preserve">            case={  variantCall ("NC_000001.10:g.[11856378=];[11856378=]")</v>
      </c>
    </row>
    <row r="102" spans="1:3" x14ac:dyDescent="0.25">
      <c r="A102" s="3" t="s">
        <v>36</v>
      </c>
      <c r="B102" s="4" t="s">
        <v>104</v>
      </c>
      <c r="C102" s="5" t="s">
        <v>101</v>
      </c>
    </row>
    <row r="103" spans="1:3" x14ac:dyDescent="0.25">
      <c r="A103" s="5" t="s">
        <v>103</v>
      </c>
      <c r="B103" s="37">
        <f>L46</f>
        <v>4</v>
      </c>
      <c r="C103" s="5" t="str">
        <f>CONCATENATE("                    variantCall ",CHAR(40),CHAR(34),B100,CHAR(34),CHAR(41))</f>
        <v xml:space="preserve">                    variantCall ("NC_000001.10:g.[11854476T&gt;G];[11854476T&gt;G]")</v>
      </c>
    </row>
    <row r="104" spans="1:3" x14ac:dyDescent="0.25">
      <c r="C104" s="5" t="str">
        <f>CONCATENATE("                  } &gt; ")</f>
        <v xml:space="preserve">                  } &gt; </v>
      </c>
    </row>
    <row r="106" spans="1:3" x14ac:dyDescent="0.25">
      <c r="A106" s="23"/>
      <c r="C106" s="5" t="s">
        <v>34</v>
      </c>
    </row>
    <row r="107" spans="1:3" x14ac:dyDescent="0.25">
      <c r="A107" s="35"/>
    </row>
    <row r="108" spans="1:3" x14ac:dyDescent="0.25">
      <c r="A108" s="23"/>
      <c r="C108" s="5" t="str">
        <f>CONCATENATE("    ",B101)</f>
        <v xml:space="preserve">    People with this variant have two copies of the [A1298C](https://www.ncbi.nlm.nih.gov/projects/SNP/snp_ref.cgi?rs=1801131) variant. This substitution of a single nucleotide is known as a missense mutation.</v>
      </c>
    </row>
    <row r="109" spans="1:3" x14ac:dyDescent="0.25">
      <c r="A109" s="23"/>
    </row>
    <row r="110" spans="1:3" x14ac:dyDescent="0.25">
      <c r="A110" s="35"/>
      <c r="C110" s="5" t="s">
        <v>39</v>
      </c>
    </row>
    <row r="111" spans="1:3" x14ac:dyDescent="0.25">
      <c r="A111" s="23"/>
    </row>
    <row r="112" spans="1:3" x14ac:dyDescent="0.25">
      <c r="A112" s="23"/>
      <c r="C112" s="5" t="str">
        <f>CONCATENATE(B102)</f>
        <v xml:space="preserve">    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Some people with mild loss of function variant may benefit from supplementing their diets with an [oral folic acid](https://www.ncbi.nlm.nih.gov/pubmed/25902009) supplement. Consult your physician. </v>
      </c>
    </row>
    <row r="113" spans="1:3" x14ac:dyDescent="0.25">
      <c r="A113" s="23"/>
    </row>
    <row r="114" spans="1:3" x14ac:dyDescent="0.25">
      <c r="A114" s="23"/>
      <c r="C114" s="5" t="s">
        <v>40</v>
      </c>
    </row>
    <row r="115" spans="1:3" x14ac:dyDescent="0.25">
      <c r="A115" s="35"/>
    </row>
    <row r="116" spans="1:3" x14ac:dyDescent="0.25">
      <c r="A116" s="35"/>
      <c r="C116" s="5" t="str">
        <f>CONCATENATE( "    &lt;piechart percentage=",B103," /&gt;")</f>
        <v xml:space="preserve">    &lt;piechart percentage=4 /&gt;</v>
      </c>
    </row>
    <row r="117" spans="1:3" x14ac:dyDescent="0.25">
      <c r="A117" s="35"/>
      <c r="C117" s="5" t="str">
        <f>"  &lt;/Analysis&gt;"</f>
        <v xml:space="preserve">  &lt;/Analysis&gt;</v>
      </c>
    </row>
    <row r="118" spans="1:3" s="30" customFormat="1" x14ac:dyDescent="0.25">
      <c r="A118" s="36" t="s">
        <v>100</v>
      </c>
      <c r="B118" s="29" t="str">
        <f>CONCATENATE(B38," and ",B78)</f>
        <v>C677T (C;T) and A1298C (A;C)</v>
      </c>
      <c r="C118" s="30" t="str">
        <f>CONCATENATE("&lt;# ",B118," #&gt;")</f>
        <v>&lt;# C677T (C;T) and A1298C (A;C) #&gt;</v>
      </c>
    </row>
    <row r="119" spans="1:3" x14ac:dyDescent="0.25">
      <c r="A119" s="23" t="s">
        <v>24</v>
      </c>
      <c r="B119" s="24" t="str">
        <f>K42</f>
        <v>NC_000001.10:g.[11856378G&gt;A];[11856378=]</v>
      </c>
    </row>
    <row r="120" spans="1:3" x14ac:dyDescent="0.25">
      <c r="A120" s="23" t="s">
        <v>102</v>
      </c>
      <c r="B120" s="24" t="str">
        <f>L42</f>
        <v>NC_000001.10:g.[11854476T&gt;G];[11854476=]</v>
      </c>
      <c r="C120" s="5" t="str">
        <f>CONCATENATE("  &lt;Analysis name=",CHAR(34),B118,CHAR(34))</f>
        <v xml:space="preserve">  &lt;Analysis name="C677T (C;T) and A1298C (A;C)"</v>
      </c>
    </row>
    <row r="121" spans="1:3" x14ac:dyDescent="0.25">
      <c r="A121" s="35" t="s">
        <v>105</v>
      </c>
      <c r="B121" s="24" t="str">
        <f>CONCATENATE("People with this variant have two copies of the ",B51," variant. This substitution of a single nucleotide is known as a missense mutation.")</f>
        <v>People with this variant have two copies of the  variant. This substitution of a single nucleotide is known as a missense mutation.</v>
      </c>
      <c r="C121" s="5" t="str">
        <f>CONCATENATE("            case={  variantCall ",CHAR(40),CHAR(34),B119,CHAR(34),CHAR(41))</f>
        <v xml:space="preserve">            case={  variantCall ("NC_000001.10:g.[11856378G&gt;A];[11856378=]")</v>
      </c>
    </row>
    <row r="122" spans="1:3" x14ac:dyDescent="0.25">
      <c r="A122" s="35" t="s">
        <v>36</v>
      </c>
      <c r="B122" s="24" t="s">
        <v>107</v>
      </c>
      <c r="C122" s="5" t="s">
        <v>101</v>
      </c>
    </row>
    <row r="123" spans="1:3" x14ac:dyDescent="0.25">
      <c r="A123" s="35" t="s">
        <v>103</v>
      </c>
      <c r="B123" s="24">
        <v>6</v>
      </c>
      <c r="C123" s="5" t="str">
        <f>CONCATENATE("                    variantCall ",CHAR(40),CHAR(34),B120,CHAR(34),CHAR(41))</f>
        <v xml:space="preserve">                    variantCall ("NC_000001.10:g.[11854476T&gt;G];[11854476=]")</v>
      </c>
    </row>
    <row r="124" spans="1:3" x14ac:dyDescent="0.25">
      <c r="A124" s="35"/>
      <c r="C124" s="5" t="str">
        <f>CONCATENATE("                  } &gt; ")</f>
        <v xml:space="preserve">                  } &gt; </v>
      </c>
    </row>
    <row r="125" spans="1:3" x14ac:dyDescent="0.25">
      <c r="A125" s="35"/>
    </row>
    <row r="126" spans="1:3" x14ac:dyDescent="0.25">
      <c r="A126" s="35"/>
      <c r="C126" s="5" t="s">
        <v>34</v>
      </c>
    </row>
    <row r="127" spans="1:3" x14ac:dyDescent="0.25">
      <c r="A127" s="23"/>
    </row>
    <row r="128" spans="1:3" x14ac:dyDescent="0.25">
      <c r="A128" s="23"/>
      <c r="C128" s="5" t="str">
        <f>CONCATENATE("    ",B121)</f>
        <v xml:space="preserve">    People with this variant have two copies of the  variant. This substitution of a single nucleotide is known as a missense mutation.</v>
      </c>
    </row>
    <row r="129" spans="1:3" x14ac:dyDescent="0.25">
      <c r="A129" s="23"/>
    </row>
    <row r="130" spans="1:3" x14ac:dyDescent="0.25">
      <c r="A130" s="23"/>
      <c r="C130" s="5" t="s">
        <v>39</v>
      </c>
    </row>
    <row r="131" spans="1:3" x14ac:dyDescent="0.25">
      <c r="A131" s="23"/>
    </row>
    <row r="132" spans="1:3" x14ac:dyDescent="0.25">
      <c r="A132" s="35"/>
      <c r="C132" s="5" t="str">
        <f>CONCATENATE(B122)</f>
        <v xml:space="preserve">
    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 What should I do about this?
    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133" spans="1:3" x14ac:dyDescent="0.25">
      <c r="A133" s="35"/>
    </row>
    <row r="134" spans="1:3" x14ac:dyDescent="0.25">
      <c r="A134" s="35"/>
      <c r="C134" s="5" t="s">
        <v>40</v>
      </c>
    </row>
    <row r="135" spans="1:3" x14ac:dyDescent="0.25">
      <c r="A135" s="35"/>
    </row>
    <row r="136" spans="1:3" x14ac:dyDescent="0.25">
      <c r="A136" s="35"/>
      <c r="C136" s="5" t="str">
        <f>CONCATENATE( "    &lt;piechart percentage=",B123," /&gt;")</f>
        <v xml:space="preserve">    &lt;piechart percentage=6 /&gt;</v>
      </c>
    </row>
    <row r="137" spans="1:3" x14ac:dyDescent="0.25">
      <c r="A137" s="35"/>
      <c r="C137" s="5" t="str">
        <f>"  &lt;/Analysis&gt;"</f>
        <v xml:space="preserve">  &lt;/Analysis&gt;</v>
      </c>
    </row>
    <row r="138" spans="1:3" s="30" customFormat="1" x14ac:dyDescent="0.25">
      <c r="A138" s="36" t="s">
        <v>100</v>
      </c>
      <c r="B138" s="29" t="s">
        <v>115</v>
      </c>
      <c r="C138" s="30" t="str">
        <f>CONCATENATE("&lt;# ",B138," #&gt;")</f>
        <v>&lt;# Wild type #&gt;</v>
      </c>
    </row>
    <row r="139" spans="1:3" x14ac:dyDescent="0.25">
      <c r="A139" s="23" t="s">
        <v>24</v>
      </c>
      <c r="B139" s="24" t="str">
        <f>K44</f>
        <v>NC_000001.10:g.[11856378=];[11856378=]</v>
      </c>
    </row>
    <row r="140" spans="1:3" x14ac:dyDescent="0.25">
      <c r="A140" s="23" t="s">
        <v>102</v>
      </c>
      <c r="B140" s="24" t="str">
        <f>L44</f>
        <v>NC_000001.10:g.[11854476=];[11854476=]</v>
      </c>
      <c r="C140" s="5" t="str">
        <f>CONCATENATE("  &lt;Analysis name=",CHAR(34),B138,CHAR(34))</f>
        <v xml:space="preserve">  &lt;Analysis name="Wild type"</v>
      </c>
    </row>
    <row r="141" spans="1:3" x14ac:dyDescent="0.25">
      <c r="A141" s="35" t="s">
        <v>105</v>
      </c>
      <c r="B141" s="24" t="str">
        <f>CONCATENATE("Your ",B12," gene has no variants. A normal gene is referred to as a ",CHAR(34),"wild-type",CHAR(34)," gene.")</f>
        <v>Your MTHFR gene has no variants. A normal gene is referred to as a "wild-type" gene.</v>
      </c>
      <c r="C141" s="5" t="str">
        <f>CONCATENATE("            case={  variantCall ",CHAR(40),CHAR(34),B139,CHAR(34),CHAR(41))</f>
        <v xml:space="preserve">            case={  variantCall ("NC_000001.10:g.[11856378=];[11856378=]")</v>
      </c>
    </row>
    <row r="142" spans="1:3" x14ac:dyDescent="0.25">
      <c r="A142" s="35" t="s">
        <v>36</v>
      </c>
      <c r="C142" s="5" t="s">
        <v>101</v>
      </c>
    </row>
    <row r="143" spans="1:3" x14ac:dyDescent="0.25">
      <c r="A143" s="35" t="s">
        <v>103</v>
      </c>
      <c r="B143" s="24">
        <v>61</v>
      </c>
      <c r="C143" s="5" t="str">
        <f>CONCATENATE("                    variantCall ",CHAR(40),CHAR(34),B140,CHAR(34),CHAR(41))</f>
        <v xml:space="preserve">                    variantCall ("NC_000001.10:g.[11854476=];[11854476=]")</v>
      </c>
    </row>
    <row r="144" spans="1:3" x14ac:dyDescent="0.25">
      <c r="A144" s="35"/>
      <c r="C144" s="5" t="str">
        <f>CONCATENATE("                  } &gt; ")</f>
        <v xml:space="preserve">                  } &gt; </v>
      </c>
    </row>
    <row r="145" spans="1:3" x14ac:dyDescent="0.25">
      <c r="A145" s="35"/>
    </row>
    <row r="146" spans="1:3" x14ac:dyDescent="0.25">
      <c r="A146" s="35"/>
      <c r="C146" s="5" t="s">
        <v>34</v>
      </c>
    </row>
    <row r="147" spans="1:3" x14ac:dyDescent="0.25">
      <c r="A147" s="23"/>
    </row>
    <row r="148" spans="1:3" x14ac:dyDescent="0.25">
      <c r="A148" s="23"/>
      <c r="C148" s="5" t="str">
        <f>CONCATENATE("    ",B141)</f>
        <v xml:space="preserve">    Your MTHFR gene has no variants. A normal gene is referred to as a "wild-type" gene.</v>
      </c>
    </row>
    <row r="149" spans="1:3" x14ac:dyDescent="0.25">
      <c r="A149" s="23"/>
    </row>
    <row r="150" spans="1:3" x14ac:dyDescent="0.25">
      <c r="A150" s="35"/>
      <c r="C150" s="5" t="s">
        <v>40</v>
      </c>
    </row>
    <row r="151" spans="1:3" x14ac:dyDescent="0.25">
      <c r="A151" s="35"/>
    </row>
    <row r="152" spans="1:3" x14ac:dyDescent="0.25">
      <c r="A152" s="35"/>
      <c r="C152" s="5" t="str">
        <f>CONCATENATE( "    &lt;piechart percentage=",B143," /&gt;")</f>
        <v xml:space="preserve">    &lt;piechart percentage=61 /&gt;</v>
      </c>
    </row>
    <row r="153" spans="1:3" x14ac:dyDescent="0.25">
      <c r="A153" s="35"/>
      <c r="C153" s="5" t="str">
        <f>"  &lt;/Analysis&gt;"</f>
        <v xml:space="preserve">  &lt;/Analysis&gt;</v>
      </c>
    </row>
    <row r="154" spans="1:3" s="30" customFormat="1" x14ac:dyDescent="0.25">
      <c r="A154" s="36" t="s">
        <v>100</v>
      </c>
      <c r="B154" s="29" t="s">
        <v>116</v>
      </c>
      <c r="C154" s="30" t="str">
        <f>CONCATENATE("&lt;# ",B154," #&gt;")</f>
        <v>&lt;# Unknown #&gt;</v>
      </c>
    </row>
    <row r="155" spans="1:3" x14ac:dyDescent="0.25">
      <c r="A155" s="23" t="s">
        <v>24</v>
      </c>
      <c r="B155" s="24">
        <f>K60</f>
        <v>0</v>
      </c>
    </row>
    <row r="156" spans="1:3" x14ac:dyDescent="0.25">
      <c r="A156" s="23" t="s">
        <v>102</v>
      </c>
      <c r="C156" s="5" t="str">
        <f>CONCATENATE("  &lt;Analysis name=",CHAR(34),B154,CHAR(34), " case=true&gt;")</f>
        <v xml:space="preserve">  &lt;Analysis name="Unknown" case=true&gt;</v>
      </c>
    </row>
    <row r="157" spans="1:3" x14ac:dyDescent="0.25">
      <c r="A157" s="35" t="s">
        <v>105</v>
      </c>
      <c r="B157" s="24" t="s">
        <v>54</v>
      </c>
    </row>
    <row r="158" spans="1:3" x14ac:dyDescent="0.25">
      <c r="A158" s="35" t="s">
        <v>103</v>
      </c>
      <c r="B158" s="24">
        <v>0</v>
      </c>
      <c r="C158" s="5" t="s">
        <v>34</v>
      </c>
    </row>
    <row r="159" spans="1:3" x14ac:dyDescent="0.25">
      <c r="A159" s="35"/>
    </row>
    <row r="160" spans="1:3" x14ac:dyDescent="0.25">
      <c r="A160" s="23"/>
      <c r="C160" s="5" t="str">
        <f>CONCATENATE("    ",B157)</f>
        <v xml:space="preserve">    The effect is unknown.</v>
      </c>
    </row>
    <row r="161" spans="1:3" x14ac:dyDescent="0.25">
      <c r="A161" s="23"/>
    </row>
    <row r="162" spans="1:3" x14ac:dyDescent="0.25">
      <c r="A162" s="23"/>
      <c r="C162" s="5" t="s">
        <v>40</v>
      </c>
    </row>
    <row r="163" spans="1:3" x14ac:dyDescent="0.25">
      <c r="A163" s="35"/>
    </row>
    <row r="164" spans="1:3" x14ac:dyDescent="0.25">
      <c r="A164" s="35"/>
      <c r="C164" s="5" t="str">
        <f>CONCATENATE( "    &lt;piechart percentage=",B158," /&gt;")</f>
        <v xml:space="preserve">    &lt;piechart percentage=0 /&gt;</v>
      </c>
    </row>
    <row r="165" spans="1:3" x14ac:dyDescent="0.25">
      <c r="A165" s="35"/>
      <c r="C165" s="5" t="str">
        <f>"  &lt;/Analysis&gt;"</f>
        <v xml:space="preserve">  &lt;/Analysis&gt;</v>
      </c>
    </row>
    <row r="166" spans="1:3" x14ac:dyDescent="0.25">
      <c r="A166" s="23"/>
      <c r="C166" s="39" t="s">
        <v>108</v>
      </c>
    </row>
    <row r="167" spans="1:3" s="30" customFormat="1" x14ac:dyDescent="0.25">
      <c r="A167" s="28"/>
      <c r="B167" s="29"/>
      <c r="C167" s="43"/>
    </row>
    <row r="168" spans="1:3" x14ac:dyDescent="0.25">
      <c r="A168" s="23" t="s">
        <v>109</v>
      </c>
      <c r="B168" s="24" t="s">
        <v>110</v>
      </c>
      <c r="C168" s="19" t="str">
        <f>CONCATENATE("&lt;# ",A168," ",B168," #&gt;")</f>
        <v>&lt;# Tissues endocrineSystem and pancreas #&gt;</v>
      </c>
    </row>
    <row r="169" spans="1:3" x14ac:dyDescent="0.25">
      <c r="A169" s="23"/>
    </row>
    <row r="170" spans="1:3" x14ac:dyDescent="0.25">
      <c r="A170" s="23"/>
      <c r="B170" s="24" t="s">
        <v>111</v>
      </c>
      <c r="C170" s="39" t="str">
        <f>CONCATENATE("&lt;TopicBar ",B170," /&gt;")</f>
        <v>&lt;TopicBar endocrineSystem pancreas /&gt;</v>
      </c>
    </row>
    <row r="171" spans="1:3" x14ac:dyDescent="0.25">
      <c r="A171" s="23"/>
    </row>
    <row r="172" spans="1:3" x14ac:dyDescent="0.25">
      <c r="A172" s="23" t="s">
        <v>73</v>
      </c>
      <c r="B172" s="24" t="s">
        <v>74</v>
      </c>
      <c r="C172" s="19" t="str">
        <f>CONCATENATE("&lt;# ",A172," ",B172," #&gt;")</f>
        <v>&lt;# Symptoms fatigue D005221 memory problems D008569 inflamation D007249 #&gt;</v>
      </c>
    </row>
    <row r="173" spans="1:3" x14ac:dyDescent="0.25">
      <c r="A173" s="23"/>
    </row>
    <row r="174" spans="1:3" x14ac:dyDescent="0.25">
      <c r="A174" s="23"/>
      <c r="B174" s="24" t="s">
        <v>112</v>
      </c>
      <c r="C174" s="39" t="str">
        <f>CONCATENATE("&lt;TopicBar ",B174," /&gt;")</f>
        <v>&lt;TopicBar mesh_D005221 mesh_D008569 mesh_D007249 /&gt;</v>
      </c>
    </row>
    <row r="175" spans="1:3" x14ac:dyDescent="0.25">
      <c r="A175" s="23"/>
      <c r="C175" s="39"/>
    </row>
    <row r="176" spans="1:3" x14ac:dyDescent="0.25">
      <c r="A176" s="23" t="s">
        <v>79</v>
      </c>
      <c r="B176" s="24" t="s">
        <v>113</v>
      </c>
      <c r="C176" s="19" t="str">
        <f>CONCATENATE("&lt;# ",A176," ",B176," #&gt;")</f>
        <v>&lt;# Diseases depression D003866 hypothyroid D007037  #&gt;</v>
      </c>
    </row>
    <row r="177" spans="1:3" x14ac:dyDescent="0.25">
      <c r="A177" s="23"/>
    </row>
    <row r="178" spans="1:3" x14ac:dyDescent="0.25">
      <c r="A178" s="23"/>
      <c r="B178" s="24" t="s">
        <v>114</v>
      </c>
      <c r="C178" s="39" t="str">
        <f>CONCATENATE("&lt;TopicBar ",B178," /&gt;")</f>
        <v>&lt;TopicBar mesh_D003866 mesh_D007037  /&gt;</v>
      </c>
    </row>
    <row r="179" spans="1:3" x14ac:dyDescent="0.25">
      <c r="A179" s="23"/>
    </row>
    <row r="180" spans="1:3" s="30" customFormat="1" x14ac:dyDescent="0.25">
      <c r="A180" s="36"/>
      <c r="B180" s="29"/>
    </row>
    <row r="181" spans="1:3" x14ac:dyDescent="0.25">
      <c r="B181" s="38"/>
    </row>
    <row r="183" spans="1:3" x14ac:dyDescent="0.25">
      <c r="B183" s="38"/>
    </row>
    <row r="185" spans="1:3" x14ac:dyDescent="0.25">
      <c r="B185" s="38"/>
    </row>
    <row r="187" spans="1:3" x14ac:dyDescent="0.25">
      <c r="B187" s="38"/>
    </row>
    <row r="189" spans="1:3" x14ac:dyDescent="0.25">
      <c r="B189" s="5"/>
    </row>
    <row r="191" spans="1:3" x14ac:dyDescent="0.25">
      <c r="B191" s="5"/>
    </row>
    <row r="863" spans="3:3" x14ac:dyDescent="0.25">
      <c r="C863" s="5" t="str">
        <f>CONCATENATE("    This variant is a change at a specific point in the ",B854," gene from ",B863," to ",B864," resulting in incorrect ",B857,"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9" spans="3:3" x14ac:dyDescent="0.25">
      <c r="C869" s="5" t="str">
        <f>CONCATENATE("    This variant is a change at a specific point in the ",B854," gene from ",B869," to ",B870," resulting in incorrect ",B857,"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9" spans="3:3" x14ac:dyDescent="0.25">
      <c r="C999" s="5" t="str">
        <f>CONCATENATE("    This variant is a change at a specific point in the ",B990," gene from ",B999," to ",B1000," resulting in incorrect ",B993,"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05" spans="3:3" x14ac:dyDescent="0.25">
      <c r="C1005" s="5" t="str">
        <f>CONCATENATE("    This variant is a change at a specific point in the ",B990," gene from ",B1005," to ",B1006," resulting in incorrect ",B993,"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7" spans="3:3" x14ac:dyDescent="0.25">
      <c r="C1407" s="5" t="str">
        <f>CONCATENATE("    This variant is a change at a specific point in the ",B1398," gene from ",B1407," to ",B1408," resulting in incorrect ",B1401,"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13" spans="3:3" x14ac:dyDescent="0.25">
      <c r="C1413" s="5" t="str">
        <f>CONCATENATE("    This variant is a change at a specific point in the ",B1398," gene from ",B1413," to ",B1414," resulting in incorrect ",B1401,"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3" spans="3:3" x14ac:dyDescent="0.25">
      <c r="C1543" s="5" t="str">
        <f>CONCATENATE("    This variant is a change at a specific point in the ",B1534," gene from ",B1543," to ",B1544," resulting in incorrect ",B1537,"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9" spans="3:3" x14ac:dyDescent="0.25">
      <c r="C1549" s="5" t="str">
        <f>CONCATENATE("    This variant is a change at a specific point in the ",B1534," gene from ",B1549," to ",B1550," resulting in incorrect ",B1537,"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9" spans="3:3" x14ac:dyDescent="0.25">
      <c r="C1679" s="5" t="str">
        <f>CONCATENATE("    This variant is a change at a specific point in the ",B1670," gene from ",B1679," to ",B1680," resulting in incorrect ",B1673,"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5" spans="3:3" x14ac:dyDescent="0.25">
      <c r="C1685" s="5" t="str">
        <f>CONCATENATE("    This variant is a change at a specific point in the ",B1670," gene from ",B1685," to ",B1686," resulting in incorrect ",B1673,"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5" spans="3:3" x14ac:dyDescent="0.25">
      <c r="C1815" s="5" t="str">
        <f>CONCATENATE("    This variant is a change at a specific point in the ",B1806," gene from ",B1815," to ",B1816," resulting in incorrect ",B1809,"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21" spans="3:3" x14ac:dyDescent="0.25">
      <c r="C1821" s="5" t="str">
        <f>CONCATENATE("    This variant is a change at a specific point in the ",B1806," gene from ",B1821," to ",B1822," resulting in incorrect ",B1809,"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1" spans="3:3" x14ac:dyDescent="0.25">
      <c r="C1951" s="5" t="str">
        <f>CONCATENATE("    This variant is a change at a specific point in the ",B1942," gene from ",B1951," to ",B1952," resulting in incorrect ",B1945,"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7" spans="3:3" x14ac:dyDescent="0.25">
      <c r="C1957" s="5" t="str">
        <f>CONCATENATE("    This variant is a change at a specific point in the ",B1942," gene from ",B1957," to ",B1958," resulting in incorrect ",B1945,"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7" spans="3:3" x14ac:dyDescent="0.25">
      <c r="C2087" s="5" t="str">
        <f>CONCATENATE("    This variant is a change at a specific point in the ",B2078," gene from ",B2087," to ",B2088," resulting in incorrect ",B2081,"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93" spans="3:3" x14ac:dyDescent="0.25">
      <c r="C2093" s="5" t="str">
        <f>CONCATENATE("    This variant is a change at a specific point in the ",B2078," gene from ",B2093," to ",B2094," resulting in incorrect ",B2081,"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3" spans="3:3" x14ac:dyDescent="0.25">
      <c r="C2223" s="5" t="str">
        <f>CONCATENATE("    This variant is a change at a specific point in the ",B2214," gene from ",B2223," to ",B2224," resulting in incorrect ",B2217,"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9" spans="3:3" x14ac:dyDescent="0.25">
      <c r="C2229" s="5" t="str">
        <f>CONCATENATE("    This variant is a change at a specific point in the ",B2214," gene from ",B2229," to ",B2230," resulting in incorrect ",B2217,"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9" spans="3:3" x14ac:dyDescent="0.25">
      <c r="C2359" s="5" t="str">
        <f>CONCATENATE("    This variant is a change at a specific point in the ",B2350," gene from ",B2359," to ",B2360," resulting in incorrect ",B2353,"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5" spans="3:3" x14ac:dyDescent="0.25">
      <c r="C2365" s="5" t="str">
        <f>CONCATENATE("    This variant is a change at a specific point in the ",B2350," gene from ",B2365," to ",B2366," resulting in incorrect ",B2353,"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MTHFR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2018-08-23T00:10:44Z</dcterms:created>
  <dcterms:modified xsi:type="dcterms:W3CDTF">2018-08-23T01:50:15Z</dcterms:modified>
</cp:coreProperties>
</file>