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Elizabeth\Documents\Genes\"/>
    </mc:Choice>
  </mc:AlternateContent>
  <xr:revisionPtr revIDLastSave="0" documentId="13_ncr:1_{48DD088D-50E5-49BD-B172-0F95A4F2E29F}" xr6:coauthVersionLast="34" xr6:coauthVersionMax="34" xr10:uidLastSave="{00000000-0000-0000-0000-000000000000}"/>
  <bookViews>
    <workbookView xWindow="0" yWindow="0" windowWidth="7740" windowHeight="3285" activeTab="5" xr2:uid="{37CBBA56-91A8-400C-8519-D84B1C9C5B0B}"/>
  </bookViews>
  <sheets>
    <sheet name="3 variants" sheetId="2" r:id="rId1"/>
    <sheet name="GRIK3" sheetId="4" r:id="rId2"/>
    <sheet name="CLYBL" sheetId="5" r:id="rId3"/>
    <sheet name="MTHFR" sheetId="3" r:id="rId4"/>
    <sheet name="CHRNA3" sheetId="6" r:id="rId5"/>
    <sheet name="CHRNA5" sheetId="7"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15" i="7" l="1"/>
  <c r="C324" i="7" s="1"/>
  <c r="B293" i="7"/>
  <c r="B271" i="7"/>
  <c r="C280" i="7" s="1"/>
  <c r="B249" i="7"/>
  <c r="B227" i="7"/>
  <c r="B205" i="7"/>
  <c r="B183" i="7"/>
  <c r="B53" i="7"/>
  <c r="C319" i="7"/>
  <c r="C317" i="7"/>
  <c r="C315" i="7"/>
  <c r="C297" i="7"/>
  <c r="C295" i="7"/>
  <c r="C275" i="7"/>
  <c r="C273" i="7"/>
  <c r="C253" i="7"/>
  <c r="C251" i="7"/>
  <c r="C231" i="7"/>
  <c r="C227" i="7"/>
  <c r="C254" i="7"/>
  <c r="C258" i="7"/>
  <c r="C262" i="7"/>
  <c r="C192" i="7"/>
  <c r="B161" i="7"/>
  <c r="C170" i="7" s="1"/>
  <c r="B117" i="7"/>
  <c r="C126" i="7" s="1"/>
  <c r="B95" i="7"/>
  <c r="C104" i="7" s="1"/>
  <c r="B73" i="7"/>
  <c r="C82" i="7" s="1"/>
  <c r="B158" i="7"/>
  <c r="C160" i="7" s="1"/>
  <c r="C174" i="7"/>
  <c r="C166" i="7"/>
  <c r="C157" i="7"/>
  <c r="B136" i="7"/>
  <c r="C136" i="7" s="1"/>
  <c r="B114" i="7"/>
  <c r="C116" i="7" s="1"/>
  <c r="B92" i="7"/>
  <c r="C130" i="7"/>
  <c r="C122" i="7"/>
  <c r="C113" i="7"/>
  <c r="B70" i="7"/>
  <c r="B48" i="7"/>
  <c r="C31" i="7"/>
  <c r="C22" i="7"/>
  <c r="C2563" i="7"/>
  <c r="C2557" i="7"/>
  <c r="C2427" i="7"/>
  <c r="C2421" i="7"/>
  <c r="C2291" i="7"/>
  <c r="C2285" i="7"/>
  <c r="C2155" i="7"/>
  <c r="C2149" i="7"/>
  <c r="C2019" i="7"/>
  <c r="C2013" i="7"/>
  <c r="C1883" i="7"/>
  <c r="C1877" i="7"/>
  <c r="C1747" i="7"/>
  <c r="C1741" i="7"/>
  <c r="C1611" i="7"/>
  <c r="C1605" i="7"/>
  <c r="C1203" i="7"/>
  <c r="C1197" i="7"/>
  <c r="C1067" i="7"/>
  <c r="C1061" i="7"/>
  <c r="C376" i="7"/>
  <c r="C374" i="7"/>
  <c r="C372" i="7"/>
  <c r="C370" i="7"/>
  <c r="C368" i="7"/>
  <c r="C366" i="7"/>
  <c r="C363" i="7"/>
  <c r="C362" i="7"/>
  <c r="C358" i="7"/>
  <c r="C354" i="7"/>
  <c r="C352" i="7"/>
  <c r="C351" i="7"/>
  <c r="C350" i="7"/>
  <c r="C342" i="7"/>
  <c r="B337" i="7"/>
  <c r="C346" i="7" s="1"/>
  <c r="C336" i="7"/>
  <c r="C334" i="7"/>
  <c r="C333" i="7"/>
  <c r="C332" i="7"/>
  <c r="C328" i="7"/>
  <c r="C320" i="7"/>
  <c r="C311" i="7"/>
  <c r="C310" i="7"/>
  <c r="C306" i="7"/>
  <c r="C298" i="7"/>
  <c r="C302" i="7"/>
  <c r="C289" i="7"/>
  <c r="C288" i="7"/>
  <c r="C284" i="7"/>
  <c r="C276" i="7"/>
  <c r="C267" i="7"/>
  <c r="C266" i="7"/>
  <c r="C245" i="7"/>
  <c r="C244" i="7"/>
  <c r="C240" i="7"/>
  <c r="C232" i="7"/>
  <c r="C236" i="7"/>
  <c r="C223" i="7"/>
  <c r="C222" i="7"/>
  <c r="C218" i="7"/>
  <c r="C210" i="7"/>
  <c r="C214" i="7"/>
  <c r="C201" i="7"/>
  <c r="C200" i="7"/>
  <c r="C196" i="7"/>
  <c r="C188" i="7"/>
  <c r="C179" i="7"/>
  <c r="C152" i="7"/>
  <c r="C144" i="7"/>
  <c r="B139" i="7"/>
  <c r="C148" i="7" s="1"/>
  <c r="C135" i="7"/>
  <c r="C108" i="7"/>
  <c r="C100" i="7"/>
  <c r="B97" i="7"/>
  <c r="C112" i="7" s="1"/>
  <c r="C91" i="7"/>
  <c r="C86" i="7"/>
  <c r="M79" i="7"/>
  <c r="M101" i="7" s="1"/>
  <c r="L79" i="7"/>
  <c r="L101" i="7" s="1"/>
  <c r="L145" i="7" s="1"/>
  <c r="L189" i="7" s="1"/>
  <c r="K79" i="7"/>
  <c r="K101" i="7" s="1"/>
  <c r="K145" i="7" s="1"/>
  <c r="K189" i="7" s="1"/>
  <c r="J79" i="7"/>
  <c r="J101" i="7" s="1"/>
  <c r="J145" i="7" s="1"/>
  <c r="J189" i="7" s="1"/>
  <c r="M78" i="7"/>
  <c r="M100" i="7" s="1"/>
  <c r="M144" i="7" s="1"/>
  <c r="M188" i="7" s="1"/>
  <c r="L78" i="7"/>
  <c r="L100" i="7" s="1"/>
  <c r="L144" i="7" s="1"/>
  <c r="L188" i="7" s="1"/>
  <c r="L342" i="7" s="1"/>
  <c r="K78" i="7"/>
  <c r="K100" i="7" s="1"/>
  <c r="J78" i="7"/>
  <c r="J100" i="7" s="1"/>
  <c r="J144" i="7" s="1"/>
  <c r="J188" i="7" s="1"/>
  <c r="C78" i="7"/>
  <c r="M77" i="7"/>
  <c r="M99" i="7" s="1"/>
  <c r="M143" i="7" s="1"/>
  <c r="B141" i="7" s="1"/>
  <c r="C156" i="7" s="1"/>
  <c r="L77" i="7"/>
  <c r="K77" i="7"/>
  <c r="K99" i="7" s="1"/>
  <c r="K143" i="7" s="1"/>
  <c r="K187" i="7" s="1"/>
  <c r="K341" i="7" s="1"/>
  <c r="J77" i="7"/>
  <c r="J99" i="7" s="1"/>
  <c r="J76" i="7"/>
  <c r="J98" i="7" s="1"/>
  <c r="J142" i="7" s="1"/>
  <c r="J186" i="7" s="1"/>
  <c r="J340" i="7" s="1"/>
  <c r="J75" i="7"/>
  <c r="J97" i="7" s="1"/>
  <c r="J141" i="7" s="1"/>
  <c r="J185" i="7" s="1"/>
  <c r="J207" i="7" s="1"/>
  <c r="J229" i="7" s="1"/>
  <c r="J251" i="7" s="1"/>
  <c r="J273" i="7" s="1"/>
  <c r="J295" i="7" s="1"/>
  <c r="J317" i="7" s="1"/>
  <c r="B75" i="7"/>
  <c r="C90" i="7" s="1"/>
  <c r="J74" i="7"/>
  <c r="J96" i="7" s="1"/>
  <c r="J118" i="7" s="1"/>
  <c r="J162" i="7" s="1"/>
  <c r="J73" i="7"/>
  <c r="J95" i="7" s="1"/>
  <c r="J139" i="7" s="1"/>
  <c r="J183" i="7" s="1"/>
  <c r="J72" i="7"/>
  <c r="J94" i="7" s="1"/>
  <c r="J138" i="7" s="1"/>
  <c r="J182" i="7" s="1"/>
  <c r="J204" i="7" s="1"/>
  <c r="J226" i="7" s="1"/>
  <c r="J248" i="7" s="1"/>
  <c r="J270" i="7" s="1"/>
  <c r="J292" i="7" s="1"/>
  <c r="J314" i="7" s="1"/>
  <c r="M69" i="7"/>
  <c r="M91" i="7" s="1"/>
  <c r="M135" i="7" s="1"/>
  <c r="M179" i="7" s="1"/>
  <c r="M333" i="7" s="1"/>
  <c r="L69" i="7"/>
  <c r="L91" i="7" s="1"/>
  <c r="L135" i="7" s="1"/>
  <c r="L179" i="7" s="1"/>
  <c r="K69" i="7"/>
  <c r="K91" i="7" s="1"/>
  <c r="K135" i="7" s="1"/>
  <c r="K179" i="7" s="1"/>
  <c r="K333" i="7" s="1"/>
  <c r="C69" i="7"/>
  <c r="C64" i="7"/>
  <c r="C56" i="7"/>
  <c r="C68" i="7"/>
  <c r="M51" i="7"/>
  <c r="M73" i="7" s="1"/>
  <c r="M95" i="7" s="1"/>
  <c r="M139" i="7" s="1"/>
  <c r="M183" i="7" s="1"/>
  <c r="L51" i="7"/>
  <c r="L73" i="7" s="1"/>
  <c r="L95" i="7" s="1"/>
  <c r="L139" i="7" s="1"/>
  <c r="L183" i="7" s="1"/>
  <c r="K51" i="7"/>
  <c r="K73" i="7" s="1"/>
  <c r="K95" i="7" s="1"/>
  <c r="K139" i="7" s="1"/>
  <c r="K183" i="7" s="1"/>
  <c r="B51" i="7"/>
  <c r="C60" i="7" s="1"/>
  <c r="M50" i="7"/>
  <c r="M72" i="7" s="1"/>
  <c r="M94" i="7" s="1"/>
  <c r="M138" i="7" s="1"/>
  <c r="M182" i="7" s="1"/>
  <c r="L50" i="7"/>
  <c r="L72" i="7" s="1"/>
  <c r="L94" i="7" s="1"/>
  <c r="L138" i="7" s="1"/>
  <c r="L182" i="7" s="1"/>
  <c r="K50" i="7"/>
  <c r="K72" i="7" s="1"/>
  <c r="M49" i="7"/>
  <c r="L49" i="7"/>
  <c r="K49" i="7"/>
  <c r="M48" i="7"/>
  <c r="M70" i="7" s="1"/>
  <c r="M92" i="7" s="1"/>
  <c r="M136" i="7" s="1"/>
  <c r="M180" i="7" s="1"/>
  <c r="L48" i="7"/>
  <c r="L70" i="7" s="1"/>
  <c r="L92" i="7" s="1"/>
  <c r="L136" i="7" s="1"/>
  <c r="L180" i="7" s="1"/>
  <c r="K48" i="7"/>
  <c r="K70" i="7" s="1"/>
  <c r="K92" i="7" s="1"/>
  <c r="K136" i="7" s="1"/>
  <c r="K180" i="7" s="1"/>
  <c r="C42" i="7"/>
  <c r="C40" i="7"/>
  <c r="C38" i="7"/>
  <c r="C36" i="7"/>
  <c r="C33" i="7"/>
  <c r="C29" i="7"/>
  <c r="C27" i="7"/>
  <c r="C24" i="7"/>
  <c r="C20" i="7"/>
  <c r="C18" i="7"/>
  <c r="C16" i="7"/>
  <c r="C14" i="7"/>
  <c r="C12" i="7"/>
  <c r="C8" i="7"/>
  <c r="C6" i="7"/>
  <c r="C4" i="7"/>
  <c r="C2" i="7"/>
  <c r="B121" i="6"/>
  <c r="B141" i="6"/>
  <c r="B161" i="6"/>
  <c r="C168" i="6" s="1"/>
  <c r="B181" i="6"/>
  <c r="C148" i="6"/>
  <c r="C128" i="6"/>
  <c r="C141" i="6"/>
  <c r="B138" i="6"/>
  <c r="C156" i="6"/>
  <c r="C152" i="6"/>
  <c r="L147" i="6"/>
  <c r="L145" i="6"/>
  <c r="K145" i="6"/>
  <c r="J145" i="6"/>
  <c r="C144" i="6"/>
  <c r="C140" i="6"/>
  <c r="B140" i="6"/>
  <c r="L139" i="6"/>
  <c r="K139" i="6"/>
  <c r="B139" i="6"/>
  <c r="K138" i="6"/>
  <c r="C138" i="6"/>
  <c r="K137" i="6"/>
  <c r="C137" i="6"/>
  <c r="B178" i="6"/>
  <c r="B98" i="6"/>
  <c r="C196" i="6"/>
  <c r="C192" i="6"/>
  <c r="L185" i="6"/>
  <c r="K185" i="6"/>
  <c r="J185" i="6"/>
  <c r="C184" i="6"/>
  <c r="C188" i="6"/>
  <c r="L179" i="6"/>
  <c r="K179" i="6"/>
  <c r="C178" i="6"/>
  <c r="K177" i="6"/>
  <c r="C177" i="6"/>
  <c r="C176" i="6"/>
  <c r="C172" i="6"/>
  <c r="L165" i="6"/>
  <c r="K165" i="6"/>
  <c r="J165" i="6"/>
  <c r="C164" i="6"/>
  <c r="K161" i="6"/>
  <c r="K181" i="6" s="1"/>
  <c r="B160" i="6"/>
  <c r="L159" i="6"/>
  <c r="K159" i="6"/>
  <c r="B159" i="6"/>
  <c r="K158" i="6"/>
  <c r="K178" i="6" s="1"/>
  <c r="B158" i="6"/>
  <c r="C158" i="6" s="1"/>
  <c r="K157" i="6"/>
  <c r="C157" i="6"/>
  <c r="L117" i="6"/>
  <c r="K117" i="6"/>
  <c r="C63" i="6"/>
  <c r="C61" i="6"/>
  <c r="C43" i="6"/>
  <c r="C41" i="6"/>
  <c r="B83" i="6"/>
  <c r="J99" i="6"/>
  <c r="J103" i="6"/>
  <c r="J104" i="6"/>
  <c r="J124" i="6" s="1"/>
  <c r="J105" i="6"/>
  <c r="J107" i="6"/>
  <c r="J127" i="6" s="1"/>
  <c r="L97" i="6"/>
  <c r="L98" i="6"/>
  <c r="L99" i="6"/>
  <c r="L100" i="6"/>
  <c r="L120" i="6" s="1"/>
  <c r="L101" i="6"/>
  <c r="L121" i="6" s="1"/>
  <c r="L161" i="6" s="1"/>
  <c r="L181" i="6" s="1"/>
  <c r="L104" i="6"/>
  <c r="L105" i="6"/>
  <c r="K98" i="6"/>
  <c r="K99" i="6"/>
  <c r="K101" i="6"/>
  <c r="K121" i="6" s="1"/>
  <c r="K141" i="6" s="1"/>
  <c r="K105" i="6"/>
  <c r="K125" i="6" s="1"/>
  <c r="K107" i="6"/>
  <c r="K127" i="6" s="1"/>
  <c r="L125" i="6"/>
  <c r="J123" i="6"/>
  <c r="L118" i="6"/>
  <c r="K118" i="6"/>
  <c r="J125" i="6"/>
  <c r="L124" i="6"/>
  <c r="L119" i="6"/>
  <c r="K119" i="6"/>
  <c r="J87" i="6"/>
  <c r="L86" i="6"/>
  <c r="L106" i="6" s="1"/>
  <c r="L126" i="6" s="1"/>
  <c r="J86" i="6"/>
  <c r="J106" i="6" s="1"/>
  <c r="J126" i="6" s="1"/>
  <c r="K85" i="6"/>
  <c r="J84" i="6"/>
  <c r="J83" i="6"/>
  <c r="J82" i="6"/>
  <c r="J102" i="6" s="1"/>
  <c r="J122" i="6" s="1"/>
  <c r="J80" i="6"/>
  <c r="J100" i="6" s="1"/>
  <c r="J120" i="6" s="1"/>
  <c r="J60" i="6"/>
  <c r="J61" i="6"/>
  <c r="J81" i="6" s="1"/>
  <c r="J101" i="6" s="1"/>
  <c r="J121" i="6" s="1"/>
  <c r="J62" i="6"/>
  <c r="J63" i="6"/>
  <c r="J64" i="6"/>
  <c r="J65" i="6"/>
  <c r="J85" i="6" s="1"/>
  <c r="J66" i="6"/>
  <c r="J67" i="6"/>
  <c r="K65" i="6"/>
  <c r="L65" i="6"/>
  <c r="L85" i="6" s="1"/>
  <c r="K66" i="6"/>
  <c r="K86" i="6" s="1"/>
  <c r="K106" i="6" s="1"/>
  <c r="K126" i="6" s="1"/>
  <c r="L66" i="6"/>
  <c r="K67" i="6"/>
  <c r="K87" i="6" s="1"/>
  <c r="L67" i="6"/>
  <c r="L87" i="6" s="1"/>
  <c r="L107" i="6" s="1"/>
  <c r="L127" i="6" s="1"/>
  <c r="L167" i="6" s="1"/>
  <c r="L187" i="6" s="1"/>
  <c r="K59" i="6"/>
  <c r="K79" i="6" s="1"/>
  <c r="L61" i="6"/>
  <c r="L81" i="6" s="1"/>
  <c r="L57" i="6"/>
  <c r="L77" i="6" s="1"/>
  <c r="K57" i="6"/>
  <c r="K77" i="6" s="1"/>
  <c r="K97" i="6" s="1"/>
  <c r="B78" i="6"/>
  <c r="C2425" i="6"/>
  <c r="C2419" i="6"/>
  <c r="C2289" i="6"/>
  <c r="C2283" i="6"/>
  <c r="C2153" i="6"/>
  <c r="C2147" i="6"/>
  <c r="C2017" i="6"/>
  <c r="C2011" i="6"/>
  <c r="C1881" i="6"/>
  <c r="C1875" i="6"/>
  <c r="C1745" i="6"/>
  <c r="C1739" i="6"/>
  <c r="C1609" i="6"/>
  <c r="C1603" i="6"/>
  <c r="C1473" i="6"/>
  <c r="C1467" i="6"/>
  <c r="C1065" i="6"/>
  <c r="C1059" i="6"/>
  <c r="C929" i="6"/>
  <c r="C923" i="6"/>
  <c r="C238" i="6"/>
  <c r="C236" i="6"/>
  <c r="C234" i="6"/>
  <c r="C232" i="6"/>
  <c r="C230" i="6"/>
  <c r="C228" i="6"/>
  <c r="C225" i="6"/>
  <c r="C224" i="6"/>
  <c r="C220" i="6"/>
  <c r="C216" i="6"/>
  <c r="C214" i="6"/>
  <c r="C213" i="6"/>
  <c r="C212" i="6"/>
  <c r="C204" i="6"/>
  <c r="C200" i="6"/>
  <c r="C198" i="6"/>
  <c r="C197" i="6"/>
  <c r="C136" i="6"/>
  <c r="C132" i="6"/>
  <c r="C124" i="6"/>
  <c r="C117" i="6"/>
  <c r="C116" i="6"/>
  <c r="C112" i="6"/>
  <c r="C104" i="6"/>
  <c r="B103" i="6"/>
  <c r="B101" i="6"/>
  <c r="C108" i="6" s="1"/>
  <c r="C98" i="6"/>
  <c r="C97" i="6"/>
  <c r="C92" i="6"/>
  <c r="C88" i="6"/>
  <c r="C84" i="6"/>
  <c r="C96" i="6"/>
  <c r="B81" i="6"/>
  <c r="C78" i="6"/>
  <c r="C77" i="6"/>
  <c r="C76" i="6"/>
  <c r="C72" i="6"/>
  <c r="C64" i="6"/>
  <c r="B63" i="6"/>
  <c r="B61" i="6"/>
  <c r="C68" i="6" s="1"/>
  <c r="B58" i="6"/>
  <c r="C58" i="6" s="1"/>
  <c r="C57" i="6"/>
  <c r="C52" i="6"/>
  <c r="C48" i="6"/>
  <c r="C44" i="6"/>
  <c r="B43" i="6"/>
  <c r="C56" i="6" s="1"/>
  <c r="L41" i="6"/>
  <c r="K41" i="6"/>
  <c r="K61" i="6" s="1"/>
  <c r="K81" i="6" s="1"/>
  <c r="B41" i="6"/>
  <c r="L40" i="6"/>
  <c r="L60" i="6" s="1"/>
  <c r="L80" i="6" s="1"/>
  <c r="K40" i="6"/>
  <c r="K60" i="6" s="1"/>
  <c r="L39" i="6"/>
  <c r="L44" i="6" s="1"/>
  <c r="L64" i="6" s="1"/>
  <c r="L84" i="6" s="1"/>
  <c r="K39" i="6"/>
  <c r="L38" i="6"/>
  <c r="L58" i="6" s="1"/>
  <c r="L78" i="6" s="1"/>
  <c r="K38" i="6"/>
  <c r="K58" i="6" s="1"/>
  <c r="K78" i="6" s="1"/>
  <c r="B38" i="6"/>
  <c r="C32" i="6"/>
  <c r="C30" i="6"/>
  <c r="C28" i="6"/>
  <c r="C26" i="6"/>
  <c r="C24" i="6"/>
  <c r="C22" i="6"/>
  <c r="C20" i="6"/>
  <c r="C18" i="6"/>
  <c r="C16" i="6"/>
  <c r="C14" i="6"/>
  <c r="B201" i="6"/>
  <c r="C208" i="6" s="1"/>
  <c r="C8" i="6"/>
  <c r="C6" i="6"/>
  <c r="C4" i="6"/>
  <c r="C2" i="6"/>
  <c r="C16" i="5"/>
  <c r="J74" i="5"/>
  <c r="J75" i="5"/>
  <c r="J76" i="5"/>
  <c r="J77" i="5"/>
  <c r="J78" i="5"/>
  <c r="J79" i="5"/>
  <c r="J80" i="5"/>
  <c r="J73" i="5"/>
  <c r="K74" i="5"/>
  <c r="K78" i="5"/>
  <c r="K79" i="5"/>
  <c r="K80" i="5"/>
  <c r="K59" i="5"/>
  <c r="K60" i="5"/>
  <c r="K61" i="5"/>
  <c r="B57" i="5"/>
  <c r="C68" i="5" s="1"/>
  <c r="B52" i="5"/>
  <c r="B30" i="5"/>
  <c r="C30" i="5" s="1"/>
  <c r="C2297" i="5"/>
  <c r="C2291" i="5"/>
  <c r="C2161" i="5"/>
  <c r="C2155" i="5"/>
  <c r="C2025" i="5"/>
  <c r="C2019" i="5"/>
  <c r="C1889" i="5"/>
  <c r="C1883" i="5"/>
  <c r="C1753" i="5"/>
  <c r="C1747" i="5"/>
  <c r="C1617" i="5"/>
  <c r="C1611" i="5"/>
  <c r="C1481" i="5"/>
  <c r="C1475" i="5"/>
  <c r="C1345" i="5"/>
  <c r="C1339" i="5"/>
  <c r="C937" i="5"/>
  <c r="C931" i="5"/>
  <c r="C801" i="5"/>
  <c r="C795" i="5"/>
  <c r="C110" i="5"/>
  <c r="C108" i="5"/>
  <c r="C106" i="5"/>
  <c r="C104" i="5"/>
  <c r="C102" i="5"/>
  <c r="C100" i="5"/>
  <c r="C97" i="5"/>
  <c r="C96" i="5"/>
  <c r="C92" i="5"/>
  <c r="C88" i="5"/>
  <c r="C86" i="5"/>
  <c r="C84" i="5"/>
  <c r="C83" i="5"/>
  <c r="C75" i="5"/>
  <c r="B74" i="5"/>
  <c r="C79" i="5" s="1"/>
  <c r="C73" i="5"/>
  <c r="C71" i="5"/>
  <c r="C69" i="5"/>
  <c r="C64" i="5"/>
  <c r="M61" i="5"/>
  <c r="L61" i="5"/>
  <c r="J61" i="5"/>
  <c r="M60" i="5"/>
  <c r="L60" i="5"/>
  <c r="J60" i="5"/>
  <c r="C56" i="5"/>
  <c r="M59" i="5"/>
  <c r="L59" i="5"/>
  <c r="J59" i="5"/>
  <c r="M58" i="5"/>
  <c r="J58" i="5"/>
  <c r="J57" i="5"/>
  <c r="J56" i="5"/>
  <c r="L55" i="5"/>
  <c r="J55" i="5"/>
  <c r="B55" i="5"/>
  <c r="C60" i="5" s="1"/>
  <c r="M54" i="5"/>
  <c r="L54" i="5"/>
  <c r="J54" i="5"/>
  <c r="M53" i="5"/>
  <c r="M52" i="5"/>
  <c r="M51" i="5"/>
  <c r="L51" i="5"/>
  <c r="K51" i="5"/>
  <c r="K70" i="5" s="1"/>
  <c r="C51" i="5"/>
  <c r="C46" i="5"/>
  <c r="C38" i="5"/>
  <c r="B73" i="5"/>
  <c r="M57" i="5"/>
  <c r="B35" i="5"/>
  <c r="C50" i="5" s="1"/>
  <c r="M55" i="5"/>
  <c r="K33" i="5"/>
  <c r="K55" i="5" s="1"/>
  <c r="B33" i="5"/>
  <c r="C42" i="5" s="1"/>
  <c r="K32" i="5"/>
  <c r="K54" i="5" s="1"/>
  <c r="K31" i="5"/>
  <c r="K72" i="5" s="1"/>
  <c r="L52" i="5"/>
  <c r="K30" i="5"/>
  <c r="K52" i="5" s="1"/>
  <c r="C24" i="5"/>
  <c r="C22" i="5"/>
  <c r="C20" i="5"/>
  <c r="C18" i="5"/>
  <c r="C14" i="5"/>
  <c r="C12" i="5"/>
  <c r="C8" i="5"/>
  <c r="C6" i="5"/>
  <c r="C4" i="5"/>
  <c r="C2" i="5"/>
  <c r="L105" i="4"/>
  <c r="J107" i="4"/>
  <c r="L107" i="4"/>
  <c r="L129" i="4" s="1"/>
  <c r="J108" i="4"/>
  <c r="M108" i="4"/>
  <c r="J109" i="4"/>
  <c r="J112" i="4"/>
  <c r="K112" i="4"/>
  <c r="J113" i="4"/>
  <c r="M113" i="4"/>
  <c r="J114" i="4"/>
  <c r="M114" i="4"/>
  <c r="K126" i="4"/>
  <c r="L127" i="4"/>
  <c r="J129" i="4"/>
  <c r="J151" i="4" s="1"/>
  <c r="J173" i="4" s="1"/>
  <c r="J195" i="4" s="1"/>
  <c r="J217" i="4" s="1"/>
  <c r="J239" i="4" s="1"/>
  <c r="J261" i="4" s="1"/>
  <c r="J130" i="4"/>
  <c r="M130" i="4"/>
  <c r="C16" i="4"/>
  <c r="C2510" i="4"/>
  <c r="C2504" i="4"/>
  <c r="C2374" i="4"/>
  <c r="C2368" i="4"/>
  <c r="C2238" i="4"/>
  <c r="C2232" i="4"/>
  <c r="C2102" i="4"/>
  <c r="C2096" i="4"/>
  <c r="C1966" i="4"/>
  <c r="C1960" i="4"/>
  <c r="C1830" i="4"/>
  <c r="C1824" i="4"/>
  <c r="C1694" i="4"/>
  <c r="C1688" i="4"/>
  <c r="C1558" i="4"/>
  <c r="C1552" i="4"/>
  <c r="C1150" i="4"/>
  <c r="C1144" i="4"/>
  <c r="C1014" i="4"/>
  <c r="C1008" i="4"/>
  <c r="C323" i="4"/>
  <c r="C321" i="4"/>
  <c r="C319" i="4"/>
  <c r="C317" i="4"/>
  <c r="C315" i="4"/>
  <c r="C313" i="4"/>
  <c r="C310" i="4"/>
  <c r="C309" i="4"/>
  <c r="C305" i="4"/>
  <c r="C301" i="4"/>
  <c r="C299" i="4"/>
  <c r="C298" i="4"/>
  <c r="C297" i="4"/>
  <c r="C289" i="4"/>
  <c r="B284" i="4"/>
  <c r="C293" i="4" s="1"/>
  <c r="C283" i="4"/>
  <c r="C281" i="4"/>
  <c r="C236" i="4"/>
  <c r="C235" i="4"/>
  <c r="C231" i="4"/>
  <c r="C223" i="4"/>
  <c r="B218" i="4"/>
  <c r="C227" i="4" s="1"/>
  <c r="C192" i="4"/>
  <c r="C191" i="4"/>
  <c r="C187" i="4"/>
  <c r="C179" i="4"/>
  <c r="B174" i="4"/>
  <c r="C183" i="4" s="1"/>
  <c r="C104" i="4"/>
  <c r="C99" i="4"/>
  <c r="C91" i="4"/>
  <c r="B88" i="4"/>
  <c r="C103" i="4" s="1"/>
  <c r="B86" i="4"/>
  <c r="C95" i="4" s="1"/>
  <c r="B83" i="4"/>
  <c r="C82" i="4"/>
  <c r="C77" i="4"/>
  <c r="M70" i="4"/>
  <c r="M92" i="4" s="1"/>
  <c r="L70" i="4"/>
  <c r="L92" i="4" s="1"/>
  <c r="K70" i="4"/>
  <c r="K92" i="4" s="1"/>
  <c r="J70" i="4"/>
  <c r="J92" i="4" s="1"/>
  <c r="M69" i="4"/>
  <c r="M91" i="4" s="1"/>
  <c r="L69" i="4"/>
  <c r="L91" i="4" s="1"/>
  <c r="K69" i="4"/>
  <c r="K91" i="4" s="1"/>
  <c r="J69" i="4"/>
  <c r="J91" i="4" s="1"/>
  <c r="C69" i="4"/>
  <c r="M68" i="4"/>
  <c r="M90" i="4" s="1"/>
  <c r="M112" i="4" s="1"/>
  <c r="L68" i="4"/>
  <c r="L90" i="4" s="1"/>
  <c r="K68" i="4"/>
  <c r="K90" i="4" s="1"/>
  <c r="J68" i="4"/>
  <c r="J90" i="4" s="1"/>
  <c r="J67" i="4"/>
  <c r="J89" i="4" s="1"/>
  <c r="J66" i="4"/>
  <c r="J88" i="4" s="1"/>
  <c r="B66" i="4"/>
  <c r="C81" i="4" s="1"/>
  <c r="J65" i="4"/>
  <c r="J87" i="4" s="1"/>
  <c r="J64" i="4"/>
  <c r="J86" i="4" s="1"/>
  <c r="B64" i="4"/>
  <c r="C73" i="4" s="1"/>
  <c r="J63" i="4"/>
  <c r="J85" i="4" s="1"/>
  <c r="B61" i="4"/>
  <c r="M60" i="4"/>
  <c r="M82" i="4" s="1"/>
  <c r="M104" i="4" s="1"/>
  <c r="L60" i="4"/>
  <c r="L82" i="4" s="1"/>
  <c r="L104" i="4" s="1"/>
  <c r="L126" i="4" s="1"/>
  <c r="K60" i="4"/>
  <c r="K82" i="4" s="1"/>
  <c r="K104" i="4" s="1"/>
  <c r="C60" i="4"/>
  <c r="C55" i="4"/>
  <c r="C47" i="4"/>
  <c r="B44" i="4"/>
  <c r="C59" i="4" s="1"/>
  <c r="M42" i="4"/>
  <c r="M64" i="4" s="1"/>
  <c r="M86" i="4" s="1"/>
  <c r="L42" i="4"/>
  <c r="L64" i="4" s="1"/>
  <c r="L86" i="4" s="1"/>
  <c r="L108" i="4" s="1"/>
  <c r="L130" i="4" s="1"/>
  <c r="K42" i="4"/>
  <c r="K64" i="4" s="1"/>
  <c r="K86" i="4" s="1"/>
  <c r="K108" i="4" s="1"/>
  <c r="K130" i="4" s="1"/>
  <c r="B42" i="4"/>
  <c r="C51" i="4" s="1"/>
  <c r="M41" i="4"/>
  <c r="M63" i="4" s="1"/>
  <c r="M85" i="4" s="1"/>
  <c r="M107" i="4" s="1"/>
  <c r="M129" i="4" s="1"/>
  <c r="L41" i="4"/>
  <c r="L63" i="4" s="1"/>
  <c r="L85" i="4" s="1"/>
  <c r="K41" i="4"/>
  <c r="K63" i="4" s="1"/>
  <c r="M40" i="4"/>
  <c r="L40" i="4"/>
  <c r="K40" i="4"/>
  <c r="M39" i="4"/>
  <c r="M61" i="4" s="1"/>
  <c r="M83" i="4" s="1"/>
  <c r="M105" i="4" s="1"/>
  <c r="M127" i="4" s="1"/>
  <c r="L39" i="4"/>
  <c r="L61" i="4" s="1"/>
  <c r="L83" i="4" s="1"/>
  <c r="K39" i="4"/>
  <c r="K61" i="4" s="1"/>
  <c r="K83" i="4" s="1"/>
  <c r="K105" i="4" s="1"/>
  <c r="K127" i="4" s="1"/>
  <c r="B39" i="4"/>
  <c r="C33" i="4"/>
  <c r="C29" i="4"/>
  <c r="B29" i="4"/>
  <c r="C31" i="4" s="1"/>
  <c r="C27" i="4"/>
  <c r="C24" i="4"/>
  <c r="C22" i="4"/>
  <c r="C20" i="4"/>
  <c r="C18" i="4"/>
  <c r="C14" i="4"/>
  <c r="C12" i="4"/>
  <c r="C8" i="4"/>
  <c r="C6" i="4"/>
  <c r="C4" i="4"/>
  <c r="C2" i="4"/>
  <c r="C16" i="2"/>
  <c r="B183" i="2"/>
  <c r="B205" i="2"/>
  <c r="B227" i="2"/>
  <c r="C236" i="2"/>
  <c r="B249" i="2"/>
  <c r="C258" i="2" s="1"/>
  <c r="C273" i="2"/>
  <c r="C271" i="2"/>
  <c r="B271" i="2"/>
  <c r="B268" i="2"/>
  <c r="B246" i="2"/>
  <c r="B224" i="2"/>
  <c r="B158" i="2"/>
  <c r="B136" i="2"/>
  <c r="B202" i="2"/>
  <c r="B180" i="2"/>
  <c r="C288" i="2"/>
  <c r="C284" i="2"/>
  <c r="M277" i="2"/>
  <c r="L277" i="2"/>
  <c r="K277" i="2"/>
  <c r="J277" i="2"/>
  <c r="M276" i="2"/>
  <c r="L276" i="2"/>
  <c r="K276" i="2"/>
  <c r="J276" i="2"/>
  <c r="C276" i="2"/>
  <c r="M275" i="2"/>
  <c r="L275" i="2"/>
  <c r="K275" i="2"/>
  <c r="J275" i="2"/>
  <c r="M274" i="2"/>
  <c r="L274" i="2"/>
  <c r="K274" i="2"/>
  <c r="J274" i="2"/>
  <c r="M273" i="2"/>
  <c r="L273" i="2"/>
  <c r="K273" i="2"/>
  <c r="J273" i="2"/>
  <c r="M272" i="2"/>
  <c r="L272" i="2"/>
  <c r="K272" i="2"/>
  <c r="J272" i="2"/>
  <c r="M271" i="2"/>
  <c r="L271" i="2"/>
  <c r="K271" i="2"/>
  <c r="J271" i="2"/>
  <c r="C280" i="2"/>
  <c r="M270" i="2"/>
  <c r="L270" i="2"/>
  <c r="K270" i="2"/>
  <c r="J270" i="2"/>
  <c r="M269" i="2"/>
  <c r="L269" i="2"/>
  <c r="K269" i="2"/>
  <c r="B269" i="2"/>
  <c r="M268" i="2"/>
  <c r="L268" i="2"/>
  <c r="K268" i="2"/>
  <c r="K267" i="2"/>
  <c r="C267" i="2"/>
  <c r="C266" i="2"/>
  <c r="C262" i="2"/>
  <c r="M255" i="2"/>
  <c r="L255" i="2"/>
  <c r="K255" i="2"/>
  <c r="J255" i="2"/>
  <c r="M254" i="2"/>
  <c r="L254" i="2"/>
  <c r="K254" i="2"/>
  <c r="J254" i="2"/>
  <c r="C254" i="2"/>
  <c r="M253" i="2"/>
  <c r="L253" i="2"/>
  <c r="K253" i="2"/>
  <c r="J253" i="2"/>
  <c r="M252" i="2"/>
  <c r="L252" i="2"/>
  <c r="K252" i="2"/>
  <c r="J252" i="2"/>
  <c r="M251" i="2"/>
  <c r="L251" i="2"/>
  <c r="K251" i="2"/>
  <c r="J251" i="2"/>
  <c r="M250" i="2"/>
  <c r="C253" i="2" s="1"/>
  <c r="L250" i="2"/>
  <c r="C251" i="2" s="1"/>
  <c r="K250" i="2"/>
  <c r="J250" i="2"/>
  <c r="M249" i="2"/>
  <c r="L249" i="2"/>
  <c r="K249" i="2"/>
  <c r="J249" i="2"/>
  <c r="C249" i="2"/>
  <c r="M248" i="2"/>
  <c r="L248" i="2"/>
  <c r="K248" i="2"/>
  <c r="J248" i="2"/>
  <c r="M247" i="2"/>
  <c r="L247" i="2"/>
  <c r="K247" i="2"/>
  <c r="B247" i="2"/>
  <c r="M246" i="2"/>
  <c r="L246" i="2"/>
  <c r="K246" i="2"/>
  <c r="K245" i="2"/>
  <c r="C245" i="2"/>
  <c r="C244" i="2"/>
  <c r="C240" i="2"/>
  <c r="M233" i="2"/>
  <c r="L233" i="2"/>
  <c r="K233" i="2"/>
  <c r="J233" i="2"/>
  <c r="M232" i="2"/>
  <c r="L232" i="2"/>
  <c r="K232" i="2"/>
  <c r="J232" i="2"/>
  <c r="C232" i="2"/>
  <c r="M231" i="2"/>
  <c r="L231" i="2"/>
  <c r="K231" i="2"/>
  <c r="J231" i="2"/>
  <c r="M230" i="2"/>
  <c r="L230" i="2"/>
  <c r="K230" i="2"/>
  <c r="J230" i="2"/>
  <c r="M229" i="2"/>
  <c r="L229" i="2"/>
  <c r="K229" i="2"/>
  <c r="J229" i="2"/>
  <c r="M228" i="2"/>
  <c r="C231" i="2" s="1"/>
  <c r="L228" i="2"/>
  <c r="C229" i="2" s="1"/>
  <c r="K228" i="2"/>
  <c r="J228" i="2"/>
  <c r="M227" i="2"/>
  <c r="L227" i="2"/>
  <c r="K227" i="2"/>
  <c r="J227" i="2"/>
  <c r="C227" i="2"/>
  <c r="M226" i="2"/>
  <c r="L226" i="2"/>
  <c r="K226" i="2"/>
  <c r="J226" i="2"/>
  <c r="M225" i="2"/>
  <c r="L225" i="2"/>
  <c r="K225" i="2"/>
  <c r="B225" i="2"/>
  <c r="M224" i="2"/>
  <c r="L224" i="2"/>
  <c r="K224" i="2"/>
  <c r="K223" i="2"/>
  <c r="C223" i="2"/>
  <c r="C222" i="2"/>
  <c r="C218" i="2"/>
  <c r="M211" i="2"/>
  <c r="L211" i="2"/>
  <c r="K211" i="2"/>
  <c r="J211" i="2"/>
  <c r="M210" i="2"/>
  <c r="L210" i="2"/>
  <c r="K210" i="2"/>
  <c r="J210" i="2"/>
  <c r="C210" i="2"/>
  <c r="M209" i="2"/>
  <c r="L209" i="2"/>
  <c r="K209" i="2"/>
  <c r="J209" i="2"/>
  <c r="M208" i="2"/>
  <c r="L208" i="2"/>
  <c r="K208" i="2"/>
  <c r="J208" i="2"/>
  <c r="M207" i="2"/>
  <c r="L207" i="2"/>
  <c r="K207" i="2"/>
  <c r="J207" i="2"/>
  <c r="M206" i="2"/>
  <c r="C209" i="2" s="1"/>
  <c r="L206" i="2"/>
  <c r="C207" i="2" s="1"/>
  <c r="K206" i="2"/>
  <c r="J206" i="2"/>
  <c r="M205" i="2"/>
  <c r="L205" i="2"/>
  <c r="K205" i="2"/>
  <c r="J205" i="2"/>
  <c r="C205" i="2"/>
  <c r="C214" i="2"/>
  <c r="M204" i="2"/>
  <c r="L204" i="2"/>
  <c r="K204" i="2"/>
  <c r="J204" i="2"/>
  <c r="M203" i="2"/>
  <c r="L203" i="2"/>
  <c r="K203" i="2"/>
  <c r="B203" i="2"/>
  <c r="M202" i="2"/>
  <c r="L202" i="2"/>
  <c r="K202" i="2"/>
  <c r="K201" i="2"/>
  <c r="C201" i="2"/>
  <c r="C200" i="2"/>
  <c r="C196" i="2"/>
  <c r="M189" i="2"/>
  <c r="L189" i="2"/>
  <c r="K189" i="2"/>
  <c r="J189" i="2"/>
  <c r="M188" i="2"/>
  <c r="L188" i="2"/>
  <c r="K188" i="2"/>
  <c r="J188" i="2"/>
  <c r="C188" i="2"/>
  <c r="M187" i="2"/>
  <c r="L187" i="2"/>
  <c r="K187" i="2"/>
  <c r="J187" i="2"/>
  <c r="M186" i="2"/>
  <c r="L186" i="2"/>
  <c r="K186" i="2"/>
  <c r="J186" i="2"/>
  <c r="M185" i="2"/>
  <c r="L185" i="2"/>
  <c r="K185" i="2"/>
  <c r="J185" i="2"/>
  <c r="M184" i="2"/>
  <c r="C187" i="2" s="1"/>
  <c r="L184" i="2"/>
  <c r="C185" i="2" s="1"/>
  <c r="K184" i="2"/>
  <c r="J184" i="2"/>
  <c r="M183" i="2"/>
  <c r="L183" i="2"/>
  <c r="K183" i="2"/>
  <c r="J183" i="2"/>
  <c r="C183" i="2"/>
  <c r="C192" i="2"/>
  <c r="M182" i="2"/>
  <c r="L182" i="2"/>
  <c r="K182" i="2"/>
  <c r="J182" i="2"/>
  <c r="M181" i="2"/>
  <c r="L181" i="2"/>
  <c r="K181" i="2"/>
  <c r="B181" i="2"/>
  <c r="M180" i="2"/>
  <c r="L180" i="2"/>
  <c r="K180" i="2"/>
  <c r="K179" i="2"/>
  <c r="C179" i="2"/>
  <c r="C289" i="2"/>
  <c r="K289" i="2"/>
  <c r="L289" i="2"/>
  <c r="C290" i="2"/>
  <c r="K290" i="2"/>
  <c r="L290" i="2"/>
  <c r="M290" i="2"/>
  <c r="B291" i="2"/>
  <c r="K291" i="2"/>
  <c r="L291" i="2"/>
  <c r="M291" i="2"/>
  <c r="B292" i="2"/>
  <c r="C292" i="2"/>
  <c r="J292" i="2"/>
  <c r="K292" i="2"/>
  <c r="L292" i="2"/>
  <c r="M292" i="2"/>
  <c r="B293" i="2"/>
  <c r="C293" i="2"/>
  <c r="J293" i="2"/>
  <c r="K293" i="2"/>
  <c r="L293" i="2"/>
  <c r="M293" i="2"/>
  <c r="J294" i="2"/>
  <c r="K294" i="2"/>
  <c r="L294" i="2"/>
  <c r="M294" i="2"/>
  <c r="J295" i="2"/>
  <c r="K295" i="2"/>
  <c r="L295" i="2"/>
  <c r="C295" i="2" s="1"/>
  <c r="M295" i="2"/>
  <c r="J296" i="2"/>
  <c r="K296" i="2"/>
  <c r="L296" i="2"/>
  <c r="M296" i="2"/>
  <c r="C297" i="2"/>
  <c r="J297" i="2"/>
  <c r="K297" i="2"/>
  <c r="L297" i="2"/>
  <c r="M297" i="2"/>
  <c r="C298" i="2"/>
  <c r="J298" i="2"/>
  <c r="K298" i="2"/>
  <c r="L298" i="2"/>
  <c r="M298" i="2"/>
  <c r="J299" i="2"/>
  <c r="K299" i="2"/>
  <c r="L299" i="2"/>
  <c r="M299" i="2"/>
  <c r="C302" i="2"/>
  <c r="C306" i="2"/>
  <c r="C307" i="2"/>
  <c r="C308" i="2"/>
  <c r="B309" i="2"/>
  <c r="C310" i="2"/>
  <c r="B161" i="2"/>
  <c r="C170" i="2"/>
  <c r="C161" i="2"/>
  <c r="C178" i="2"/>
  <c r="C174" i="2"/>
  <c r="M167" i="2"/>
  <c r="L167" i="2"/>
  <c r="K167" i="2"/>
  <c r="J167" i="2"/>
  <c r="M166" i="2"/>
  <c r="L166" i="2"/>
  <c r="K166" i="2"/>
  <c r="J166" i="2"/>
  <c r="C166" i="2"/>
  <c r="M165" i="2"/>
  <c r="L165" i="2"/>
  <c r="K165" i="2"/>
  <c r="J165" i="2"/>
  <c r="M164" i="2"/>
  <c r="L164" i="2"/>
  <c r="K164" i="2"/>
  <c r="J164" i="2"/>
  <c r="M163" i="2"/>
  <c r="L163" i="2"/>
  <c r="K163" i="2"/>
  <c r="J163" i="2"/>
  <c r="M162" i="2"/>
  <c r="C165" i="2" s="1"/>
  <c r="L162" i="2"/>
  <c r="C163" i="2" s="1"/>
  <c r="K162" i="2"/>
  <c r="J162" i="2"/>
  <c r="M161" i="2"/>
  <c r="L161" i="2"/>
  <c r="K161" i="2"/>
  <c r="J161" i="2"/>
  <c r="M160" i="2"/>
  <c r="L160" i="2"/>
  <c r="K160" i="2"/>
  <c r="J160" i="2"/>
  <c r="M159" i="2"/>
  <c r="L159" i="2"/>
  <c r="K159" i="2"/>
  <c r="B159" i="2"/>
  <c r="M158" i="2"/>
  <c r="L158" i="2"/>
  <c r="K158" i="2"/>
  <c r="M157" i="2"/>
  <c r="M179" i="2" s="1"/>
  <c r="M201" i="2" s="1"/>
  <c r="M223" i="2" s="1"/>
  <c r="M245" i="2" s="1"/>
  <c r="M267" i="2" s="1"/>
  <c r="K157" i="2"/>
  <c r="C157" i="2"/>
  <c r="B117" i="2"/>
  <c r="B139" i="2"/>
  <c r="C148" i="2"/>
  <c r="C143" i="2"/>
  <c r="C141" i="2"/>
  <c r="C139" i="2"/>
  <c r="B119" i="2"/>
  <c r="C134" i="2" s="1"/>
  <c r="B95" i="2"/>
  <c r="B115" i="2"/>
  <c r="C119" i="2"/>
  <c r="C97" i="2"/>
  <c r="B114" i="2"/>
  <c r="C114" i="2" s="1"/>
  <c r="B92" i="2"/>
  <c r="C92" i="2" s="1"/>
  <c r="B70" i="2"/>
  <c r="B48" i="2"/>
  <c r="C122" i="2"/>
  <c r="C99" i="2"/>
  <c r="C121" i="2"/>
  <c r="B93" i="2"/>
  <c r="C51" i="2"/>
  <c r="C78" i="2"/>
  <c r="M123" i="2"/>
  <c r="M145" i="2" s="1"/>
  <c r="J72" i="2"/>
  <c r="J94" i="2" s="1"/>
  <c r="J116" i="2" s="1"/>
  <c r="J138" i="2" s="1"/>
  <c r="K72" i="2"/>
  <c r="J73" i="2"/>
  <c r="J95" i="2" s="1"/>
  <c r="J117" i="2" s="1"/>
  <c r="J139" i="2" s="1"/>
  <c r="J74" i="2"/>
  <c r="J96" i="2" s="1"/>
  <c r="J118" i="2" s="1"/>
  <c r="J140" i="2" s="1"/>
  <c r="J75" i="2"/>
  <c r="J97" i="2" s="1"/>
  <c r="J119" i="2" s="1"/>
  <c r="J141" i="2" s="1"/>
  <c r="J76" i="2"/>
  <c r="J98" i="2" s="1"/>
  <c r="J120" i="2" s="1"/>
  <c r="J142" i="2" s="1"/>
  <c r="J77" i="2"/>
  <c r="J99" i="2" s="1"/>
  <c r="J121" i="2" s="1"/>
  <c r="J143" i="2" s="1"/>
  <c r="K77" i="2"/>
  <c r="K99" i="2" s="1"/>
  <c r="K121" i="2" s="1"/>
  <c r="K143" i="2" s="1"/>
  <c r="L77" i="2"/>
  <c r="L99" i="2" s="1"/>
  <c r="L121" i="2" s="1"/>
  <c r="L143" i="2" s="1"/>
  <c r="M77" i="2"/>
  <c r="M99" i="2" s="1"/>
  <c r="M121" i="2" s="1"/>
  <c r="M143" i="2" s="1"/>
  <c r="J78" i="2"/>
  <c r="J100" i="2" s="1"/>
  <c r="J122" i="2" s="1"/>
  <c r="J144" i="2" s="1"/>
  <c r="K78" i="2"/>
  <c r="K100" i="2" s="1"/>
  <c r="K122" i="2" s="1"/>
  <c r="K144" i="2" s="1"/>
  <c r="L78" i="2"/>
  <c r="L100" i="2" s="1"/>
  <c r="L122" i="2" s="1"/>
  <c r="L144" i="2" s="1"/>
  <c r="M78" i="2"/>
  <c r="M100" i="2" s="1"/>
  <c r="M122" i="2" s="1"/>
  <c r="M144" i="2" s="1"/>
  <c r="J79" i="2"/>
  <c r="J101" i="2" s="1"/>
  <c r="J123" i="2" s="1"/>
  <c r="J145" i="2" s="1"/>
  <c r="K79" i="2"/>
  <c r="K101" i="2" s="1"/>
  <c r="K123" i="2" s="1"/>
  <c r="K145" i="2" s="1"/>
  <c r="L79" i="2"/>
  <c r="L101" i="2" s="1"/>
  <c r="L123" i="2" s="1"/>
  <c r="L145" i="2" s="1"/>
  <c r="M79" i="2"/>
  <c r="M101" i="2" s="1"/>
  <c r="K69" i="2"/>
  <c r="K91" i="2" s="1"/>
  <c r="K113" i="2" s="1"/>
  <c r="K135" i="2" s="1"/>
  <c r="L69" i="2"/>
  <c r="L91" i="2" s="1"/>
  <c r="L113" i="2" s="1"/>
  <c r="L135" i="2" s="1"/>
  <c r="L157" i="2" s="1"/>
  <c r="L179" i="2" s="1"/>
  <c r="L201" i="2" s="1"/>
  <c r="L223" i="2" s="1"/>
  <c r="L245" i="2" s="1"/>
  <c r="L267" i="2" s="1"/>
  <c r="M69" i="2"/>
  <c r="M91" i="2" s="1"/>
  <c r="M113" i="2" s="1"/>
  <c r="M135" i="2" s="1"/>
  <c r="M289" i="2" s="1"/>
  <c r="M48" i="2"/>
  <c r="M70" i="2" s="1"/>
  <c r="M92" i="2" s="1"/>
  <c r="M114" i="2" s="1"/>
  <c r="M136" i="2" s="1"/>
  <c r="B75" i="2"/>
  <c r="C90" i="2" s="1"/>
  <c r="M50" i="2"/>
  <c r="M72" i="2" s="1"/>
  <c r="M94" i="2" s="1"/>
  <c r="M116" i="2" s="1"/>
  <c r="M138" i="2" s="1"/>
  <c r="M51" i="2"/>
  <c r="M49" i="2"/>
  <c r="M71" i="2" s="1"/>
  <c r="M93" i="2" s="1"/>
  <c r="M115" i="2" s="1"/>
  <c r="M137" i="2" s="1"/>
  <c r="B39" i="2"/>
  <c r="C40" i="2" s="1"/>
  <c r="B29" i="2"/>
  <c r="C31" i="2" s="1"/>
  <c r="C42" i="2"/>
  <c r="C38" i="2"/>
  <c r="C36" i="2"/>
  <c r="C2365" i="3"/>
  <c r="C2359" i="3"/>
  <c r="C2229" i="3"/>
  <c r="C2223" i="3"/>
  <c r="C2093" i="3"/>
  <c r="C2087" i="3"/>
  <c r="C1957" i="3"/>
  <c r="C1951" i="3"/>
  <c r="C1821" i="3"/>
  <c r="C1815" i="3"/>
  <c r="C1685" i="3"/>
  <c r="C1679" i="3"/>
  <c r="C1549" i="3"/>
  <c r="C1543" i="3"/>
  <c r="C1413" i="3"/>
  <c r="C1407" i="3"/>
  <c r="C1005" i="3"/>
  <c r="C999" i="3"/>
  <c r="C869" i="3"/>
  <c r="C863" i="3"/>
  <c r="C178" i="3"/>
  <c r="C176" i="3"/>
  <c r="C174" i="3"/>
  <c r="C172" i="3"/>
  <c r="C170" i="3"/>
  <c r="C168" i="3"/>
  <c r="C165" i="3"/>
  <c r="C164" i="3"/>
  <c r="C160" i="3"/>
  <c r="C156" i="3"/>
  <c r="B155" i="3"/>
  <c r="C154" i="3"/>
  <c r="C153" i="3"/>
  <c r="C152" i="3"/>
  <c r="C144" i="3"/>
  <c r="C140" i="3"/>
  <c r="C138" i="3"/>
  <c r="C137" i="3"/>
  <c r="C136" i="3"/>
  <c r="C132" i="3"/>
  <c r="C124" i="3"/>
  <c r="B121" i="3"/>
  <c r="C128" i="3" s="1"/>
  <c r="C117" i="3"/>
  <c r="C116" i="3"/>
  <c r="C112" i="3"/>
  <c r="C104" i="3"/>
  <c r="B103" i="3"/>
  <c r="B101" i="3"/>
  <c r="C108" i="3" s="1"/>
  <c r="B98" i="3"/>
  <c r="C98" i="3" s="1"/>
  <c r="C97" i="3"/>
  <c r="C92" i="3"/>
  <c r="C88" i="3"/>
  <c r="C84" i="3"/>
  <c r="B83" i="3"/>
  <c r="C96" i="3" s="1"/>
  <c r="B81" i="3"/>
  <c r="B78" i="3"/>
  <c r="C78" i="3" s="1"/>
  <c r="C77" i="3"/>
  <c r="C76" i="3"/>
  <c r="C72" i="3"/>
  <c r="C64" i="3"/>
  <c r="B63" i="3"/>
  <c r="B61" i="3"/>
  <c r="C68" i="3" s="1"/>
  <c r="B58" i="3"/>
  <c r="C58" i="3" s="1"/>
  <c r="C57" i="3"/>
  <c r="C52" i="3"/>
  <c r="C48" i="3"/>
  <c r="C44" i="3"/>
  <c r="L43" i="3"/>
  <c r="B100" i="3" s="1"/>
  <c r="C103" i="3" s="1"/>
  <c r="B43" i="3"/>
  <c r="C56" i="3" s="1"/>
  <c r="L42" i="3"/>
  <c r="B120" i="3" s="1"/>
  <c r="C123" i="3" s="1"/>
  <c r="L41" i="3"/>
  <c r="K41" i="3"/>
  <c r="B41" i="3"/>
  <c r="L40" i="3"/>
  <c r="K40" i="3"/>
  <c r="L39" i="3"/>
  <c r="L44" i="3" s="1"/>
  <c r="K39" i="3"/>
  <c r="K43" i="3" s="1"/>
  <c r="B59" i="3" s="1"/>
  <c r="C61" i="3" s="1"/>
  <c r="L38" i="3"/>
  <c r="K38" i="3"/>
  <c r="B38" i="3"/>
  <c r="B118" i="3" s="1"/>
  <c r="C32" i="3"/>
  <c r="B30" i="3"/>
  <c r="C30" i="3" s="1"/>
  <c r="C28" i="3"/>
  <c r="C26" i="3"/>
  <c r="C24" i="3"/>
  <c r="C22" i="3"/>
  <c r="C20" i="3"/>
  <c r="C18" i="3"/>
  <c r="C16" i="3"/>
  <c r="C14" i="3"/>
  <c r="C12" i="3"/>
  <c r="B12" i="3"/>
  <c r="B141" i="3" s="1"/>
  <c r="C148" i="3" s="1"/>
  <c r="C8" i="3"/>
  <c r="C6" i="3"/>
  <c r="C4" i="3"/>
  <c r="C2" i="3"/>
  <c r="C144" i="2"/>
  <c r="C100" i="2"/>
  <c r="C56" i="2"/>
  <c r="C318" i="2"/>
  <c r="C319" i="2"/>
  <c r="C314" i="2"/>
  <c r="C332" i="2"/>
  <c r="C324" i="2"/>
  <c r="C328" i="2"/>
  <c r="C330" i="2"/>
  <c r="C326" i="2"/>
  <c r="C322" i="2"/>
  <c r="C156" i="2"/>
  <c r="C152" i="2"/>
  <c r="C126" i="2"/>
  <c r="C104" i="2"/>
  <c r="B97" i="2"/>
  <c r="C112" i="2" s="1"/>
  <c r="C135" i="2"/>
  <c r="C130" i="2"/>
  <c r="C113" i="2"/>
  <c r="C108" i="2"/>
  <c r="C18" i="2"/>
  <c r="B73" i="2"/>
  <c r="C82" i="2" s="1"/>
  <c r="C70" i="2"/>
  <c r="C91" i="2"/>
  <c r="C86" i="2"/>
  <c r="C64" i="2"/>
  <c r="C69" i="2"/>
  <c r="B51" i="2"/>
  <c r="C60" i="2" s="1"/>
  <c r="C50" i="2"/>
  <c r="B53" i="2"/>
  <c r="C68" i="2" s="1"/>
  <c r="K49" i="2"/>
  <c r="K71" i="2" s="1"/>
  <c r="K93" i="2" s="1"/>
  <c r="K115" i="2" s="1"/>
  <c r="K137" i="2" s="1"/>
  <c r="L50" i="2"/>
  <c r="L72" i="2" s="1"/>
  <c r="L94" i="2" s="1"/>
  <c r="L116" i="2" s="1"/>
  <c r="L138" i="2" s="1"/>
  <c r="L51" i="2"/>
  <c r="L73" i="2" s="1"/>
  <c r="L95" i="2" s="1"/>
  <c r="L117" i="2" s="1"/>
  <c r="L139" i="2" s="1"/>
  <c r="L49" i="2"/>
  <c r="L71" i="2" s="1"/>
  <c r="L93" i="2" s="1"/>
  <c r="L115" i="2" s="1"/>
  <c r="L137" i="2" s="1"/>
  <c r="K51" i="2"/>
  <c r="K73" i="2" s="1"/>
  <c r="K95" i="2" s="1"/>
  <c r="K117" i="2" s="1"/>
  <c r="K139" i="2" s="1"/>
  <c r="K50" i="2"/>
  <c r="C12" i="2"/>
  <c r="C2519" i="2"/>
  <c r="C2513" i="2"/>
  <c r="C2383" i="2"/>
  <c r="C2377" i="2"/>
  <c r="C2247" i="2"/>
  <c r="C2241" i="2"/>
  <c r="C2111" i="2"/>
  <c r="C2105" i="2"/>
  <c r="C1975" i="2"/>
  <c r="C1969" i="2"/>
  <c r="C1839" i="2"/>
  <c r="C1833" i="2"/>
  <c r="C1703" i="2"/>
  <c r="C1697" i="2"/>
  <c r="C1567" i="2"/>
  <c r="C1561" i="2"/>
  <c r="C1159" i="2"/>
  <c r="C1153" i="2"/>
  <c r="C1023" i="2"/>
  <c r="C1017" i="2"/>
  <c r="C33" i="2"/>
  <c r="C29" i="2"/>
  <c r="C27" i="2"/>
  <c r="C24" i="2"/>
  <c r="C22" i="2"/>
  <c r="C20" i="2"/>
  <c r="L48" i="2"/>
  <c r="L70" i="2" s="1"/>
  <c r="L92" i="2" s="1"/>
  <c r="L114" i="2" s="1"/>
  <c r="L136" i="2" s="1"/>
  <c r="K48" i="2"/>
  <c r="K70" i="2" s="1"/>
  <c r="K92" i="2" s="1"/>
  <c r="K114" i="2" s="1"/>
  <c r="K136" i="2" s="1"/>
  <c r="C8" i="2"/>
  <c r="C6" i="2"/>
  <c r="C4" i="2"/>
  <c r="C2" i="2"/>
  <c r="B119" i="7" l="1"/>
  <c r="C134" i="7"/>
  <c r="L114" i="7"/>
  <c r="L158" i="7" s="1"/>
  <c r="C158" i="7"/>
  <c r="L54" i="7"/>
  <c r="L76" i="7" s="1"/>
  <c r="J116" i="7"/>
  <c r="J160" i="7" s="1"/>
  <c r="K113" i="7"/>
  <c r="K157" i="7" s="1"/>
  <c r="M116" i="7"/>
  <c r="M160" i="7" s="1"/>
  <c r="K114" i="7"/>
  <c r="K158" i="7" s="1"/>
  <c r="B312" i="7"/>
  <c r="C314" i="7" s="1"/>
  <c r="C138" i="7"/>
  <c r="C114" i="7"/>
  <c r="M145" i="7"/>
  <c r="M189" i="7" s="1"/>
  <c r="M343" i="7" s="1"/>
  <c r="M123" i="7"/>
  <c r="M167" i="7" s="1"/>
  <c r="K144" i="7"/>
  <c r="K188" i="7" s="1"/>
  <c r="K342" i="7" s="1"/>
  <c r="K122" i="7"/>
  <c r="K166" i="7" s="1"/>
  <c r="J143" i="7"/>
  <c r="J187" i="7" s="1"/>
  <c r="J341" i="7" s="1"/>
  <c r="J121" i="7"/>
  <c r="J165" i="7" s="1"/>
  <c r="K117" i="7"/>
  <c r="K161" i="7" s="1"/>
  <c r="K123" i="7"/>
  <c r="K167" i="7" s="1"/>
  <c r="J140" i="7"/>
  <c r="J184" i="7" s="1"/>
  <c r="J338" i="7" s="1"/>
  <c r="L113" i="7"/>
  <c r="L157" i="7" s="1"/>
  <c r="L117" i="7"/>
  <c r="L161" i="7" s="1"/>
  <c r="J119" i="7"/>
  <c r="J163" i="7" s="1"/>
  <c r="J120" i="7"/>
  <c r="J164" i="7" s="1"/>
  <c r="M121" i="7"/>
  <c r="M165" i="7" s="1"/>
  <c r="L122" i="7"/>
  <c r="L166" i="7" s="1"/>
  <c r="L123" i="7"/>
  <c r="L167" i="7" s="1"/>
  <c r="M113" i="7"/>
  <c r="M157" i="7" s="1"/>
  <c r="M117" i="7"/>
  <c r="M161" i="7" s="1"/>
  <c r="M122" i="7"/>
  <c r="M166" i="7" s="1"/>
  <c r="B163" i="7" s="1"/>
  <c r="L99" i="7"/>
  <c r="M114" i="7"/>
  <c r="M158" i="7" s="1"/>
  <c r="L116" i="7"/>
  <c r="L160" i="7" s="1"/>
  <c r="J117" i="7"/>
  <c r="J161" i="7" s="1"/>
  <c r="K121" i="7"/>
  <c r="K165" i="7" s="1"/>
  <c r="J122" i="7"/>
  <c r="J166" i="7" s="1"/>
  <c r="J123" i="7"/>
  <c r="J167" i="7" s="1"/>
  <c r="M54" i="7"/>
  <c r="M53" i="7"/>
  <c r="M75" i="7" s="1"/>
  <c r="M97" i="7" s="1"/>
  <c r="M52" i="7"/>
  <c r="M74" i="7" s="1"/>
  <c r="M96" i="7" s="1"/>
  <c r="L71" i="7"/>
  <c r="L93" i="7" s="1"/>
  <c r="L53" i="7"/>
  <c r="K53" i="7"/>
  <c r="B71" i="7" s="1"/>
  <c r="C73" i="7" s="1"/>
  <c r="C94" i="7"/>
  <c r="L336" i="7"/>
  <c r="L204" i="7"/>
  <c r="L226" i="7" s="1"/>
  <c r="L248" i="7" s="1"/>
  <c r="L270" i="7" s="1"/>
  <c r="L292" i="7" s="1"/>
  <c r="L314" i="7" s="1"/>
  <c r="K202" i="7"/>
  <c r="K224" i="7" s="1"/>
  <c r="K246" i="7" s="1"/>
  <c r="K268" i="7" s="1"/>
  <c r="K290" i="7" s="1"/>
  <c r="K312" i="7" s="1"/>
  <c r="K334" i="7"/>
  <c r="M336" i="7"/>
  <c r="M204" i="7"/>
  <c r="M226" i="7" s="1"/>
  <c r="M248" i="7" s="1"/>
  <c r="M270" i="7" s="1"/>
  <c r="M292" i="7" s="1"/>
  <c r="M314" i="7" s="1"/>
  <c r="L334" i="7"/>
  <c r="L202" i="7"/>
  <c r="L224" i="7" s="1"/>
  <c r="L246" i="7" s="1"/>
  <c r="L268" i="7" s="1"/>
  <c r="L290" i="7" s="1"/>
  <c r="L312" i="7" s="1"/>
  <c r="K343" i="7"/>
  <c r="K211" i="7"/>
  <c r="K233" i="7" s="1"/>
  <c r="K255" i="7" s="1"/>
  <c r="K277" i="7" s="1"/>
  <c r="K299" i="7" s="1"/>
  <c r="K321" i="7" s="1"/>
  <c r="L201" i="7"/>
  <c r="L223" i="7" s="1"/>
  <c r="L245" i="7" s="1"/>
  <c r="L267" i="7" s="1"/>
  <c r="L289" i="7" s="1"/>
  <c r="L311" i="7" s="1"/>
  <c r="L333" i="7"/>
  <c r="J205" i="7"/>
  <c r="J227" i="7" s="1"/>
  <c r="J249" i="7" s="1"/>
  <c r="J271" i="7" s="1"/>
  <c r="J293" i="7" s="1"/>
  <c r="J315" i="7" s="1"/>
  <c r="J337" i="7"/>
  <c r="M210" i="7"/>
  <c r="M232" i="7" s="1"/>
  <c r="M254" i="7" s="1"/>
  <c r="M276" i="7" s="1"/>
  <c r="M298" i="7" s="1"/>
  <c r="M320" i="7" s="1"/>
  <c r="M342" i="7"/>
  <c r="M334" i="7"/>
  <c r="M202" i="7"/>
  <c r="M224" i="7" s="1"/>
  <c r="M246" i="7" s="1"/>
  <c r="M268" i="7" s="1"/>
  <c r="M290" i="7" s="1"/>
  <c r="M312" i="7" s="1"/>
  <c r="B353" i="7"/>
  <c r="K94" i="7"/>
  <c r="K337" i="7"/>
  <c r="K205" i="7"/>
  <c r="K227" i="7" s="1"/>
  <c r="K249" i="7" s="1"/>
  <c r="K271" i="7" s="1"/>
  <c r="K293" i="7" s="1"/>
  <c r="K315" i="7" s="1"/>
  <c r="J343" i="7"/>
  <c r="J211" i="7"/>
  <c r="J233" i="7" s="1"/>
  <c r="J255" i="7" s="1"/>
  <c r="J277" i="7" s="1"/>
  <c r="J299" i="7" s="1"/>
  <c r="J321" i="7" s="1"/>
  <c r="M337" i="7"/>
  <c r="M205" i="7"/>
  <c r="M227" i="7" s="1"/>
  <c r="M249" i="7" s="1"/>
  <c r="M271" i="7" s="1"/>
  <c r="M293" i="7" s="1"/>
  <c r="M315" i="7" s="1"/>
  <c r="J342" i="7"/>
  <c r="J210" i="7"/>
  <c r="J232" i="7" s="1"/>
  <c r="J254" i="7" s="1"/>
  <c r="J276" i="7" s="1"/>
  <c r="J298" i="7" s="1"/>
  <c r="J320" i="7" s="1"/>
  <c r="K52" i="7"/>
  <c r="C51" i="7" s="1"/>
  <c r="B268" i="7"/>
  <c r="B202" i="7"/>
  <c r="C72" i="7"/>
  <c r="C70" i="7"/>
  <c r="K71" i="7"/>
  <c r="K93" i="7" s="1"/>
  <c r="L205" i="7"/>
  <c r="L227" i="7" s="1"/>
  <c r="L249" i="7" s="1"/>
  <c r="L271" i="7" s="1"/>
  <c r="L293" i="7" s="1"/>
  <c r="L315" i="7" s="1"/>
  <c r="L337" i="7"/>
  <c r="K201" i="7"/>
  <c r="K223" i="7" s="1"/>
  <c r="K245" i="7" s="1"/>
  <c r="K267" i="7" s="1"/>
  <c r="K289" i="7" s="1"/>
  <c r="K311" i="7" s="1"/>
  <c r="L75" i="7"/>
  <c r="B160" i="7" s="1"/>
  <c r="L343" i="7"/>
  <c r="L211" i="7"/>
  <c r="L233" i="7" s="1"/>
  <c r="L255" i="7" s="1"/>
  <c r="L277" i="7" s="1"/>
  <c r="L299" i="7" s="1"/>
  <c r="L321" i="7" s="1"/>
  <c r="M201" i="7"/>
  <c r="M223" i="7" s="1"/>
  <c r="M245" i="7" s="1"/>
  <c r="M267" i="7" s="1"/>
  <c r="M289" i="7" s="1"/>
  <c r="M311" i="7" s="1"/>
  <c r="B224" i="7"/>
  <c r="K54" i="7"/>
  <c r="M71" i="7"/>
  <c r="M93" i="7" s="1"/>
  <c r="C92" i="7"/>
  <c r="B138" i="7"/>
  <c r="B180" i="7"/>
  <c r="M187" i="7"/>
  <c r="K209" i="7"/>
  <c r="K231" i="7" s="1"/>
  <c r="K253" i="7" s="1"/>
  <c r="K275" i="7" s="1"/>
  <c r="K297" i="7" s="1"/>
  <c r="K319" i="7" s="1"/>
  <c r="L210" i="7"/>
  <c r="L232" i="7" s="1"/>
  <c r="L254" i="7" s="1"/>
  <c r="L276" i="7" s="1"/>
  <c r="L298" i="7" s="1"/>
  <c r="L320" i="7" s="1"/>
  <c r="B246" i="7"/>
  <c r="J336" i="7"/>
  <c r="C48" i="7"/>
  <c r="C50" i="7"/>
  <c r="J208" i="7"/>
  <c r="J230" i="7" s="1"/>
  <c r="J252" i="7" s="1"/>
  <c r="J274" i="7" s="1"/>
  <c r="J296" i="7" s="1"/>
  <c r="J318" i="7" s="1"/>
  <c r="B290" i="7"/>
  <c r="J339" i="7"/>
  <c r="L52" i="7"/>
  <c r="L74" i="7" s="1"/>
  <c r="L96" i="7" s="1"/>
  <c r="L118" i="7" s="1"/>
  <c r="L162" i="7" s="1"/>
  <c r="J160" i="6"/>
  <c r="J180" i="6" s="1"/>
  <c r="J140" i="6"/>
  <c r="K147" i="6"/>
  <c r="K167" i="6"/>
  <c r="K187" i="6" s="1"/>
  <c r="J147" i="6"/>
  <c r="J167" i="6"/>
  <c r="J187" i="6" s="1"/>
  <c r="K166" i="6"/>
  <c r="K186" i="6" s="1"/>
  <c r="K146" i="6"/>
  <c r="L144" i="6"/>
  <c r="L164" i="6"/>
  <c r="L184" i="6" s="1"/>
  <c r="J143" i="6"/>
  <c r="J163" i="6"/>
  <c r="J183" i="6" s="1"/>
  <c r="L138" i="6"/>
  <c r="L158" i="6"/>
  <c r="L178" i="6" s="1"/>
  <c r="L140" i="6"/>
  <c r="L160" i="6"/>
  <c r="L180" i="6" s="1"/>
  <c r="L137" i="6"/>
  <c r="L157" i="6"/>
  <c r="L177" i="6" s="1"/>
  <c r="J162" i="6"/>
  <c r="J182" i="6" s="1"/>
  <c r="J142" i="6"/>
  <c r="J146" i="6"/>
  <c r="J166" i="6"/>
  <c r="J186" i="6" s="1"/>
  <c r="L141" i="6"/>
  <c r="J161" i="6"/>
  <c r="J181" i="6" s="1"/>
  <c r="J141" i="6"/>
  <c r="L146" i="6"/>
  <c r="L166" i="6"/>
  <c r="L186" i="6" s="1"/>
  <c r="J144" i="6"/>
  <c r="J164" i="6"/>
  <c r="J184" i="6" s="1"/>
  <c r="C180" i="6"/>
  <c r="C160" i="6"/>
  <c r="B215" i="6"/>
  <c r="K80" i="6"/>
  <c r="K100" i="6" s="1"/>
  <c r="K120" i="6" s="1"/>
  <c r="L59" i="6"/>
  <c r="L79" i="6" s="1"/>
  <c r="B118" i="6"/>
  <c r="C118" i="6" s="1"/>
  <c r="L43" i="6"/>
  <c r="L42" i="6"/>
  <c r="K43" i="6"/>
  <c r="C12" i="6"/>
  <c r="B60" i="6"/>
  <c r="B40" i="6"/>
  <c r="B200" i="6"/>
  <c r="C203" i="6" s="1"/>
  <c r="C40" i="6"/>
  <c r="C60" i="6"/>
  <c r="C100" i="6"/>
  <c r="C38" i="6"/>
  <c r="B80" i="6"/>
  <c r="K44" i="6"/>
  <c r="K64" i="6" s="1"/>
  <c r="K84" i="6" s="1"/>
  <c r="C80" i="6"/>
  <c r="K42" i="6"/>
  <c r="K62" i="6" s="1"/>
  <c r="K82" i="6" s="1"/>
  <c r="K71" i="5"/>
  <c r="K73" i="5"/>
  <c r="K36" i="5"/>
  <c r="C54" i="5"/>
  <c r="C52" i="5"/>
  <c r="C32" i="5"/>
  <c r="K34" i="5"/>
  <c r="K75" i="5" s="1"/>
  <c r="K35" i="5"/>
  <c r="K76" i="5" s="1"/>
  <c r="K53" i="5"/>
  <c r="L53" i="5"/>
  <c r="L56" i="5"/>
  <c r="B87" i="5"/>
  <c r="L58" i="5"/>
  <c r="M56" i="5"/>
  <c r="J132" i="4"/>
  <c r="J154" i="4" s="1"/>
  <c r="J176" i="4" s="1"/>
  <c r="J198" i="4" s="1"/>
  <c r="J220" i="4" s="1"/>
  <c r="J242" i="4" s="1"/>
  <c r="J264" i="4" s="1"/>
  <c r="L134" i="4"/>
  <c r="L288" i="4" s="1"/>
  <c r="K136" i="4"/>
  <c r="K158" i="4" s="1"/>
  <c r="K180" i="4" s="1"/>
  <c r="K202" i="4" s="1"/>
  <c r="K224" i="4" s="1"/>
  <c r="K246" i="4" s="1"/>
  <c r="K268" i="4" s="1"/>
  <c r="L135" i="4"/>
  <c r="L289" i="4" s="1"/>
  <c r="J131" i="4"/>
  <c r="J134" i="4"/>
  <c r="J156" i="4" s="1"/>
  <c r="J178" i="4" s="1"/>
  <c r="J200" i="4" s="1"/>
  <c r="J222" i="4" s="1"/>
  <c r="J244" i="4" s="1"/>
  <c r="J266" i="4" s="1"/>
  <c r="M135" i="4"/>
  <c r="M157" i="4" s="1"/>
  <c r="M179" i="4" s="1"/>
  <c r="M201" i="4" s="1"/>
  <c r="M223" i="4" s="1"/>
  <c r="M245" i="4" s="1"/>
  <c r="M267" i="4" s="1"/>
  <c r="M136" i="4"/>
  <c r="L114" i="4"/>
  <c r="L136" i="4" s="1"/>
  <c r="L113" i="4"/>
  <c r="J111" i="4"/>
  <c r="J133" i="4" s="1"/>
  <c r="J110" i="4"/>
  <c r="K134" i="4"/>
  <c r="K288" i="4" s="1"/>
  <c r="J135" i="4"/>
  <c r="J157" i="4" s="1"/>
  <c r="J179" i="4" s="1"/>
  <c r="J201" i="4" s="1"/>
  <c r="J223" i="4" s="1"/>
  <c r="J245" i="4" s="1"/>
  <c r="J267" i="4" s="1"/>
  <c r="J136" i="4"/>
  <c r="J290" i="4" s="1"/>
  <c r="K114" i="4"/>
  <c r="K113" i="4"/>
  <c r="K135" i="4" s="1"/>
  <c r="L112" i="4"/>
  <c r="K280" i="4"/>
  <c r="M126" i="4"/>
  <c r="M280" i="4" s="1"/>
  <c r="K44" i="4"/>
  <c r="B62" i="4" s="1"/>
  <c r="C64" i="4" s="1"/>
  <c r="L44" i="4"/>
  <c r="L45" i="4"/>
  <c r="M44" i="4"/>
  <c r="M66" i="4" s="1"/>
  <c r="M88" i="4" s="1"/>
  <c r="C85" i="4"/>
  <c r="M45" i="4"/>
  <c r="M43" i="4"/>
  <c r="M65" i="4" s="1"/>
  <c r="M87" i="4" s="1"/>
  <c r="M109" i="4" s="1"/>
  <c r="L62" i="4"/>
  <c r="L84" i="4" s="1"/>
  <c r="L106" i="4" s="1"/>
  <c r="L128" i="4" s="1"/>
  <c r="L282" i="4" s="1"/>
  <c r="L283" i="4"/>
  <c r="L151" i="4"/>
  <c r="L173" i="4" s="1"/>
  <c r="L195" i="4" s="1"/>
  <c r="L217" i="4" s="1"/>
  <c r="L239" i="4" s="1"/>
  <c r="L261" i="4" s="1"/>
  <c r="L156" i="4"/>
  <c r="L178" i="4" s="1"/>
  <c r="L200" i="4" s="1"/>
  <c r="L222" i="4" s="1"/>
  <c r="L244" i="4" s="1"/>
  <c r="L266" i="4" s="1"/>
  <c r="K149" i="4"/>
  <c r="K171" i="4" s="1"/>
  <c r="K193" i="4" s="1"/>
  <c r="K215" i="4" s="1"/>
  <c r="K237" i="4" s="1"/>
  <c r="K259" i="4" s="1"/>
  <c r="K281" i="4"/>
  <c r="M283" i="4"/>
  <c r="M151" i="4"/>
  <c r="M173" i="4" s="1"/>
  <c r="M195" i="4" s="1"/>
  <c r="M217" i="4" s="1"/>
  <c r="M239" i="4" s="1"/>
  <c r="M261" i="4" s="1"/>
  <c r="L281" i="4"/>
  <c r="L149" i="4"/>
  <c r="L171" i="4" s="1"/>
  <c r="L193" i="4" s="1"/>
  <c r="L215" i="4" s="1"/>
  <c r="L237" i="4" s="1"/>
  <c r="L259" i="4" s="1"/>
  <c r="K290" i="4"/>
  <c r="M67" i="4"/>
  <c r="M89" i="4" s="1"/>
  <c r="M131" i="4"/>
  <c r="L148" i="4"/>
  <c r="L170" i="4" s="1"/>
  <c r="L192" i="4" s="1"/>
  <c r="L214" i="4" s="1"/>
  <c r="L236" i="4" s="1"/>
  <c r="L258" i="4" s="1"/>
  <c r="L280" i="4"/>
  <c r="J152" i="4"/>
  <c r="J174" i="4" s="1"/>
  <c r="J196" i="4" s="1"/>
  <c r="J218" i="4" s="1"/>
  <c r="J240" i="4" s="1"/>
  <c r="J262" i="4" s="1"/>
  <c r="J284" i="4"/>
  <c r="J153" i="4"/>
  <c r="J175" i="4" s="1"/>
  <c r="J197" i="4" s="1"/>
  <c r="J219" i="4" s="1"/>
  <c r="J241" i="4" s="1"/>
  <c r="J263" i="4" s="1"/>
  <c r="J285" i="4"/>
  <c r="M281" i="4"/>
  <c r="M149" i="4"/>
  <c r="M171" i="4" s="1"/>
  <c r="M193" i="4" s="1"/>
  <c r="M215" i="4" s="1"/>
  <c r="M237" i="4" s="1"/>
  <c r="M259" i="4" s="1"/>
  <c r="B300" i="4"/>
  <c r="K85" i="4"/>
  <c r="K107" i="4" s="1"/>
  <c r="K129" i="4" s="1"/>
  <c r="K284" i="4"/>
  <c r="K152" i="4"/>
  <c r="K174" i="4" s="1"/>
  <c r="K196" i="4" s="1"/>
  <c r="K218" i="4" s="1"/>
  <c r="K240" i="4" s="1"/>
  <c r="K262" i="4" s="1"/>
  <c r="M284" i="4"/>
  <c r="M152" i="4"/>
  <c r="M174" i="4" s="1"/>
  <c r="M196" i="4" s="1"/>
  <c r="M218" i="4" s="1"/>
  <c r="M240" i="4" s="1"/>
  <c r="M262" i="4" s="1"/>
  <c r="J288" i="4"/>
  <c r="J289" i="4"/>
  <c r="M158" i="4"/>
  <c r="M180" i="4" s="1"/>
  <c r="M202" i="4" s="1"/>
  <c r="M224" i="4" s="1"/>
  <c r="M246" i="4" s="1"/>
  <c r="M268" i="4" s="1"/>
  <c r="M290" i="4"/>
  <c r="K43" i="4"/>
  <c r="B215" i="4"/>
  <c r="C63" i="4"/>
  <c r="C61" i="4"/>
  <c r="K62" i="4"/>
  <c r="K84" i="4" s="1"/>
  <c r="K106" i="4" s="1"/>
  <c r="K128" i="4" s="1"/>
  <c r="K66" i="4"/>
  <c r="K88" i="4" s="1"/>
  <c r="L152" i="4"/>
  <c r="L174" i="4" s="1"/>
  <c r="L196" i="4" s="1"/>
  <c r="L218" i="4" s="1"/>
  <c r="L240" i="4" s="1"/>
  <c r="L262" i="4" s="1"/>
  <c r="L284" i="4"/>
  <c r="K148" i="4"/>
  <c r="K170" i="4" s="1"/>
  <c r="K192" i="4" s="1"/>
  <c r="K214" i="4" s="1"/>
  <c r="K236" i="4" s="1"/>
  <c r="K258" i="4" s="1"/>
  <c r="B171" i="4"/>
  <c r="K45" i="4"/>
  <c r="M62" i="4"/>
  <c r="M84" i="4" s="1"/>
  <c r="M106" i="4" s="1"/>
  <c r="M128" i="4" s="1"/>
  <c r="C83" i="4"/>
  <c r="M134" i="4"/>
  <c r="K156" i="4"/>
  <c r="K178" i="4" s="1"/>
  <c r="K200" i="4" s="1"/>
  <c r="K222" i="4" s="1"/>
  <c r="K244" i="4" s="1"/>
  <c r="K266" i="4" s="1"/>
  <c r="J283" i="4"/>
  <c r="C39" i="4"/>
  <c r="C41" i="4"/>
  <c r="J286" i="4"/>
  <c r="L43" i="4"/>
  <c r="L65" i="4" s="1"/>
  <c r="L87" i="4" s="1"/>
  <c r="L109" i="4" s="1"/>
  <c r="C204" i="2"/>
  <c r="C160" i="2"/>
  <c r="C182" i="2"/>
  <c r="C180" i="2"/>
  <c r="C158" i="2"/>
  <c r="K94" i="2"/>
  <c r="K116" i="2" s="1"/>
  <c r="K138" i="2" s="1"/>
  <c r="M54" i="2"/>
  <c r="M76" i="2" s="1"/>
  <c r="M98" i="2" s="1"/>
  <c r="M120" i="2" s="1"/>
  <c r="M142" i="2" s="1"/>
  <c r="M53" i="2"/>
  <c r="M52" i="2"/>
  <c r="M74" i="2" s="1"/>
  <c r="M96" i="2" s="1"/>
  <c r="M118" i="2" s="1"/>
  <c r="M140" i="2" s="1"/>
  <c r="M73" i="2"/>
  <c r="M95" i="2" s="1"/>
  <c r="M117" i="2" s="1"/>
  <c r="M139" i="2" s="1"/>
  <c r="C72" i="2"/>
  <c r="C118" i="3"/>
  <c r="C120" i="3"/>
  <c r="B60" i="3"/>
  <c r="C63" i="3" s="1"/>
  <c r="B40" i="3"/>
  <c r="C43" i="3" s="1"/>
  <c r="B140" i="3"/>
  <c r="C143" i="3" s="1"/>
  <c r="C40" i="3"/>
  <c r="C60" i="3"/>
  <c r="C100" i="3"/>
  <c r="C38" i="3"/>
  <c r="B80" i="3"/>
  <c r="C83" i="3" s="1"/>
  <c r="K44" i="3"/>
  <c r="C80" i="3"/>
  <c r="K42" i="3"/>
  <c r="C136" i="2"/>
  <c r="K53" i="2"/>
  <c r="C48" i="2"/>
  <c r="L52" i="2"/>
  <c r="L74" i="2" s="1"/>
  <c r="L96" i="2" s="1"/>
  <c r="K54" i="2"/>
  <c r="C94" i="2"/>
  <c r="C116" i="2"/>
  <c r="K52" i="2"/>
  <c r="K74" i="2" s="1"/>
  <c r="K96" i="2" s="1"/>
  <c r="K118" i="2" s="1"/>
  <c r="K140" i="2" s="1"/>
  <c r="L53" i="2"/>
  <c r="L54" i="2"/>
  <c r="L76" i="2" s="1"/>
  <c r="L98" i="2" s="1"/>
  <c r="L120" i="2" s="1"/>
  <c r="L142" i="2" s="1"/>
  <c r="C14" i="2"/>
  <c r="J209" i="7" l="1"/>
  <c r="J231" i="7" s="1"/>
  <c r="J253" i="7" s="1"/>
  <c r="J275" i="7" s="1"/>
  <c r="J297" i="7" s="1"/>
  <c r="J319" i="7" s="1"/>
  <c r="M211" i="7"/>
  <c r="M233" i="7" s="1"/>
  <c r="M255" i="7" s="1"/>
  <c r="M277" i="7" s="1"/>
  <c r="M299" i="7" s="1"/>
  <c r="M321" i="7" s="1"/>
  <c r="K75" i="7"/>
  <c r="K97" i="7" s="1"/>
  <c r="K141" i="7" s="1"/>
  <c r="K185" i="7" s="1"/>
  <c r="K339" i="7" s="1"/>
  <c r="C178" i="7"/>
  <c r="B336" i="7"/>
  <c r="C53" i="7"/>
  <c r="L98" i="7"/>
  <c r="L142" i="7" s="1"/>
  <c r="L186" i="7" s="1"/>
  <c r="C75" i="7"/>
  <c r="C312" i="7"/>
  <c r="M76" i="7"/>
  <c r="C55" i="7"/>
  <c r="K210" i="7"/>
  <c r="K232" i="7" s="1"/>
  <c r="K254" i="7" s="1"/>
  <c r="K276" i="7" s="1"/>
  <c r="K298" i="7" s="1"/>
  <c r="K320" i="7" s="1"/>
  <c r="J206" i="7"/>
  <c r="J228" i="7" s="1"/>
  <c r="J250" i="7" s="1"/>
  <c r="J272" i="7" s="1"/>
  <c r="J294" i="7" s="1"/>
  <c r="J316" i="7" s="1"/>
  <c r="K137" i="7"/>
  <c r="K181" i="7" s="1"/>
  <c r="K203" i="7" s="1"/>
  <c r="K225" i="7" s="1"/>
  <c r="K247" i="7" s="1"/>
  <c r="K269" i="7" s="1"/>
  <c r="K291" i="7" s="1"/>
  <c r="K313" i="7" s="1"/>
  <c r="K115" i="7"/>
  <c r="K159" i="7" s="1"/>
  <c r="M141" i="7"/>
  <c r="M185" i="7" s="1"/>
  <c r="M119" i="7"/>
  <c r="L143" i="7"/>
  <c r="L187" i="7" s="1"/>
  <c r="L121" i="7"/>
  <c r="L165" i="7" s="1"/>
  <c r="C117" i="7"/>
  <c r="B115" i="7"/>
  <c r="K138" i="7"/>
  <c r="K182" i="7" s="1"/>
  <c r="K336" i="7" s="1"/>
  <c r="K116" i="7"/>
  <c r="K160" i="7" s="1"/>
  <c r="L137" i="7"/>
  <c r="L181" i="7" s="1"/>
  <c r="L115" i="7"/>
  <c r="L159" i="7" s="1"/>
  <c r="M137" i="7"/>
  <c r="M181" i="7" s="1"/>
  <c r="M203" i="7" s="1"/>
  <c r="M225" i="7" s="1"/>
  <c r="M247" i="7" s="1"/>
  <c r="M269" i="7" s="1"/>
  <c r="M291" i="7" s="1"/>
  <c r="M313" i="7" s="1"/>
  <c r="M115" i="7"/>
  <c r="M159" i="7" s="1"/>
  <c r="K119" i="7"/>
  <c r="K163" i="7" s="1"/>
  <c r="M140" i="7"/>
  <c r="M184" i="7" s="1"/>
  <c r="M118" i="7"/>
  <c r="M162" i="7" s="1"/>
  <c r="B159" i="7" s="1"/>
  <c r="C161" i="7" s="1"/>
  <c r="C248" i="7"/>
  <c r="C246" i="7"/>
  <c r="C180" i="7"/>
  <c r="C182" i="7"/>
  <c r="B335" i="7"/>
  <c r="C337" i="7" s="1"/>
  <c r="K76" i="7"/>
  <c r="K98" i="7" s="1"/>
  <c r="C204" i="7"/>
  <c r="C202" i="7"/>
  <c r="L140" i="7"/>
  <c r="L184" i="7" s="1"/>
  <c r="C95" i="7"/>
  <c r="B93" i="7"/>
  <c r="C224" i="7"/>
  <c r="C226" i="7"/>
  <c r="C270" i="7"/>
  <c r="C268" i="7"/>
  <c r="L97" i="7"/>
  <c r="K74" i="7"/>
  <c r="B49" i="7"/>
  <c r="B181" i="7"/>
  <c r="C290" i="7"/>
  <c r="C292" i="7"/>
  <c r="M209" i="7"/>
  <c r="M231" i="7" s="1"/>
  <c r="M253" i="7" s="1"/>
  <c r="M275" i="7" s="1"/>
  <c r="M297" i="7" s="1"/>
  <c r="M319" i="7" s="1"/>
  <c r="M341" i="7"/>
  <c r="M335" i="7"/>
  <c r="K104" i="6"/>
  <c r="C81" i="6"/>
  <c r="B179" i="6"/>
  <c r="K102" i="6"/>
  <c r="K122" i="6" s="1"/>
  <c r="K140" i="6"/>
  <c r="K160" i="6"/>
  <c r="K180" i="6" s="1"/>
  <c r="B59" i="6"/>
  <c r="K63" i="6"/>
  <c r="K83" i="6" s="1"/>
  <c r="K103" i="6" s="1"/>
  <c r="K123" i="6" s="1"/>
  <c r="C120" i="6"/>
  <c r="B120" i="6"/>
  <c r="L62" i="6"/>
  <c r="L82" i="6" s="1"/>
  <c r="B100" i="6"/>
  <c r="L63" i="6"/>
  <c r="L83" i="6" s="1"/>
  <c r="L103" i="6" s="1"/>
  <c r="B119" i="6"/>
  <c r="B39" i="6"/>
  <c r="B99" i="6"/>
  <c r="B199" i="6"/>
  <c r="C201" i="6" s="1"/>
  <c r="B79" i="6"/>
  <c r="B72" i="5"/>
  <c r="C74" i="5" s="1"/>
  <c r="K77" i="5"/>
  <c r="K58" i="5"/>
  <c r="K57" i="5"/>
  <c r="B53" i="5"/>
  <c r="C55" i="5" s="1"/>
  <c r="C35" i="5"/>
  <c r="L57" i="5"/>
  <c r="K56" i="5"/>
  <c r="B31" i="5"/>
  <c r="C33" i="5"/>
  <c r="K289" i="4"/>
  <c r="K157" i="4"/>
  <c r="K179" i="4" s="1"/>
  <c r="K201" i="4" s="1"/>
  <c r="K223" i="4" s="1"/>
  <c r="K245" i="4" s="1"/>
  <c r="K267" i="4" s="1"/>
  <c r="L158" i="4"/>
  <c r="L180" i="4" s="1"/>
  <c r="L202" i="4" s="1"/>
  <c r="L224" i="4" s="1"/>
  <c r="L246" i="4" s="1"/>
  <c r="L268" i="4" s="1"/>
  <c r="L290" i="4"/>
  <c r="J287" i="4"/>
  <c r="J155" i="4"/>
  <c r="J177" i="4" s="1"/>
  <c r="J199" i="4" s="1"/>
  <c r="J221" i="4" s="1"/>
  <c r="J243" i="4" s="1"/>
  <c r="J265" i="4" s="1"/>
  <c r="M110" i="4"/>
  <c r="M132" i="4" s="1"/>
  <c r="J158" i="4"/>
  <c r="J180" i="4" s="1"/>
  <c r="J202" i="4" s="1"/>
  <c r="J224" i="4" s="1"/>
  <c r="J246" i="4" s="1"/>
  <c r="J268" i="4" s="1"/>
  <c r="M289" i="4"/>
  <c r="L150" i="4"/>
  <c r="L172" i="4" s="1"/>
  <c r="L194" i="4" s="1"/>
  <c r="L216" i="4" s="1"/>
  <c r="L238" i="4" s="1"/>
  <c r="L260" i="4" s="1"/>
  <c r="M148" i="4"/>
  <c r="M170" i="4" s="1"/>
  <c r="M192" i="4" s="1"/>
  <c r="M214" i="4" s="1"/>
  <c r="M236" i="4" s="1"/>
  <c r="M258" i="4" s="1"/>
  <c r="K110" i="4"/>
  <c r="K132" i="4" s="1"/>
  <c r="M111" i="4"/>
  <c r="M133" i="4" s="1"/>
  <c r="L66" i="4"/>
  <c r="L88" i="4" s="1"/>
  <c r="L110" i="4" s="1"/>
  <c r="L157" i="4"/>
  <c r="L179" i="4" s="1"/>
  <c r="L201" i="4" s="1"/>
  <c r="L223" i="4" s="1"/>
  <c r="L245" i="4" s="1"/>
  <c r="L267" i="4" s="1"/>
  <c r="B283" i="4"/>
  <c r="L67" i="4"/>
  <c r="L89" i="4" s="1"/>
  <c r="C44" i="4"/>
  <c r="B282" i="4"/>
  <c r="C284" i="4" s="1"/>
  <c r="K67" i="4"/>
  <c r="K89" i="4" s="1"/>
  <c r="K111" i="4" s="1"/>
  <c r="M285" i="4"/>
  <c r="M153" i="4"/>
  <c r="L131" i="4"/>
  <c r="C86" i="4"/>
  <c r="B84" i="4"/>
  <c r="C171" i="4"/>
  <c r="C173" i="4"/>
  <c r="K150" i="4"/>
  <c r="K172" i="4" s="1"/>
  <c r="K194" i="4" s="1"/>
  <c r="K216" i="4" s="1"/>
  <c r="K238" i="4" s="1"/>
  <c r="K260" i="4" s="1"/>
  <c r="K282" i="4"/>
  <c r="C217" i="4"/>
  <c r="C215" i="4"/>
  <c r="K65" i="4"/>
  <c r="B40" i="4"/>
  <c r="C42" i="4"/>
  <c r="M156" i="4"/>
  <c r="M178" i="4" s="1"/>
  <c r="M200" i="4" s="1"/>
  <c r="M222" i="4" s="1"/>
  <c r="M244" i="4" s="1"/>
  <c r="M266" i="4" s="1"/>
  <c r="M288" i="4"/>
  <c r="M282" i="4"/>
  <c r="M150" i="4"/>
  <c r="M172" i="4" s="1"/>
  <c r="M194" i="4" s="1"/>
  <c r="M216" i="4" s="1"/>
  <c r="M238" i="4" s="1"/>
  <c r="M260" i="4" s="1"/>
  <c r="K283" i="4"/>
  <c r="K151" i="4"/>
  <c r="K173" i="4" s="1"/>
  <c r="K195" i="4" s="1"/>
  <c r="K217" i="4" s="1"/>
  <c r="K239" i="4" s="1"/>
  <c r="K261" i="4" s="1"/>
  <c r="C202" i="2"/>
  <c r="C226" i="2"/>
  <c r="B116" i="2"/>
  <c r="L75" i="2"/>
  <c r="C75" i="2" s="1"/>
  <c r="C53" i="2"/>
  <c r="K76" i="2"/>
  <c r="K98" i="2" s="1"/>
  <c r="K120" i="2" s="1"/>
  <c r="K142" i="2" s="1"/>
  <c r="C95" i="2"/>
  <c r="L118" i="2"/>
  <c r="L140" i="2" s="1"/>
  <c r="B71" i="2"/>
  <c r="C73" i="2" s="1"/>
  <c r="K75" i="2"/>
  <c r="K97" i="2" s="1"/>
  <c r="K119" i="2" s="1"/>
  <c r="K141" i="2" s="1"/>
  <c r="M75" i="2"/>
  <c r="C55" i="2"/>
  <c r="B119" i="3"/>
  <c r="C121" i="3" s="1"/>
  <c r="B39" i="3"/>
  <c r="C41" i="3" s="1"/>
  <c r="B99" i="3"/>
  <c r="C101" i="3" s="1"/>
  <c r="B139" i="3"/>
  <c r="C141" i="3" s="1"/>
  <c r="B79" i="3"/>
  <c r="C81" i="3" s="1"/>
  <c r="C138" i="2"/>
  <c r="B49" i="2"/>
  <c r="B137" i="2"/>
  <c r="C117" i="2"/>
  <c r="C187" i="7" l="1"/>
  <c r="L120" i="7"/>
  <c r="L164" i="7" s="1"/>
  <c r="M338" i="7"/>
  <c r="B137" i="7"/>
  <c r="C139" i="7" s="1"/>
  <c r="M206" i="7"/>
  <c r="K207" i="7"/>
  <c r="C205" i="7" s="1"/>
  <c r="K120" i="7"/>
  <c r="C119" i="7" s="1"/>
  <c r="C97" i="7"/>
  <c r="M98" i="7"/>
  <c r="C77" i="7"/>
  <c r="K335" i="7"/>
  <c r="K204" i="7"/>
  <c r="K226" i="7" s="1"/>
  <c r="K248" i="7" s="1"/>
  <c r="K270" i="7" s="1"/>
  <c r="K292" i="7" s="1"/>
  <c r="K314" i="7" s="1"/>
  <c r="M163" i="7"/>
  <c r="L340" i="7"/>
  <c r="C339" i="7" s="1"/>
  <c r="L208" i="7"/>
  <c r="L230" i="7" s="1"/>
  <c r="L252" i="7" s="1"/>
  <c r="L274" i="7" s="1"/>
  <c r="L296" i="7" s="1"/>
  <c r="L318" i="7" s="1"/>
  <c r="L209" i="7"/>
  <c r="L231" i="7" s="1"/>
  <c r="L253" i="7" s="1"/>
  <c r="L275" i="7" s="1"/>
  <c r="L297" i="7" s="1"/>
  <c r="L319" i="7" s="1"/>
  <c r="L341" i="7"/>
  <c r="L141" i="7"/>
  <c r="L185" i="7" s="1"/>
  <c r="C185" i="7" s="1"/>
  <c r="L119" i="7"/>
  <c r="L163" i="7" s="1"/>
  <c r="L335" i="7"/>
  <c r="L203" i="7"/>
  <c r="L225" i="7" s="1"/>
  <c r="L247" i="7" s="1"/>
  <c r="L269" i="7" s="1"/>
  <c r="L291" i="7" s="1"/>
  <c r="L313" i="7" s="1"/>
  <c r="M339" i="7"/>
  <c r="M207" i="7"/>
  <c r="M229" i="7" s="1"/>
  <c r="M251" i="7" s="1"/>
  <c r="M273" i="7" s="1"/>
  <c r="M295" i="7" s="1"/>
  <c r="M317" i="7" s="1"/>
  <c r="L206" i="7"/>
  <c r="L338" i="7"/>
  <c r="K142" i="7"/>
  <c r="B203" i="7"/>
  <c r="K96" i="7"/>
  <c r="K118" i="7" s="1"/>
  <c r="K162" i="7" s="1"/>
  <c r="M228" i="7"/>
  <c r="K143" i="6"/>
  <c r="K163" i="6"/>
  <c r="C121" i="6"/>
  <c r="K162" i="6"/>
  <c r="K182" i="6" s="1"/>
  <c r="C181" i="6" s="1"/>
  <c r="K142" i="6"/>
  <c r="C83" i="6"/>
  <c r="L102" i="6"/>
  <c r="L122" i="6" s="1"/>
  <c r="B180" i="6"/>
  <c r="C103" i="6"/>
  <c r="L123" i="6"/>
  <c r="K124" i="6"/>
  <c r="C101" i="6"/>
  <c r="M287" i="4"/>
  <c r="M155" i="4"/>
  <c r="M177" i="4" s="1"/>
  <c r="M199" i="4" s="1"/>
  <c r="M221" i="4" s="1"/>
  <c r="M243" i="4" s="1"/>
  <c r="M265" i="4" s="1"/>
  <c r="K154" i="4"/>
  <c r="K176" i="4" s="1"/>
  <c r="K198" i="4" s="1"/>
  <c r="K220" i="4" s="1"/>
  <c r="K242" i="4" s="1"/>
  <c r="K264" i="4" s="1"/>
  <c r="K286" i="4"/>
  <c r="M154" i="4"/>
  <c r="M176" i="4" s="1"/>
  <c r="M198" i="4" s="1"/>
  <c r="M220" i="4" s="1"/>
  <c r="M242" i="4" s="1"/>
  <c r="M264" i="4" s="1"/>
  <c r="M286" i="4"/>
  <c r="L111" i="4"/>
  <c r="L133" i="4" s="1"/>
  <c r="C66" i="4"/>
  <c r="L153" i="4"/>
  <c r="L285" i="4"/>
  <c r="C90" i="4"/>
  <c r="K87" i="4"/>
  <c r="K109" i="4" s="1"/>
  <c r="L132" i="4"/>
  <c r="M175" i="4"/>
  <c r="C270" i="2"/>
  <c r="C224" i="2"/>
  <c r="M97" i="2"/>
  <c r="M119" i="2" s="1"/>
  <c r="M141" i="2" s="1"/>
  <c r="C77" i="2"/>
  <c r="L97" i="2"/>
  <c r="L119" i="2" s="1"/>
  <c r="L141" i="2" s="1"/>
  <c r="C143" i="7" l="1"/>
  <c r="C141" i="7"/>
  <c r="K229" i="7"/>
  <c r="K251" i="7" s="1"/>
  <c r="K273" i="7" s="1"/>
  <c r="K295" i="7" s="1"/>
  <c r="K317" i="7" s="1"/>
  <c r="C207" i="7"/>
  <c r="C99" i="7"/>
  <c r="M142" i="7"/>
  <c r="M186" i="7" s="1"/>
  <c r="M120" i="7"/>
  <c r="C209" i="7"/>
  <c r="K164" i="7"/>
  <c r="L339" i="7"/>
  <c r="L207" i="7"/>
  <c r="L229" i="7" s="1"/>
  <c r="L251" i="7" s="1"/>
  <c r="L273" i="7" s="1"/>
  <c r="L295" i="7" s="1"/>
  <c r="L317" i="7" s="1"/>
  <c r="M250" i="7"/>
  <c r="B225" i="7"/>
  <c r="K140" i="7"/>
  <c r="K186" i="7"/>
  <c r="L228" i="7"/>
  <c r="C229" i="7" s="1"/>
  <c r="K144" i="6"/>
  <c r="K164" i="6"/>
  <c r="K184" i="6" s="1"/>
  <c r="L142" i="6"/>
  <c r="C143" i="6" s="1"/>
  <c r="C123" i="6"/>
  <c r="L162" i="6"/>
  <c r="L182" i="6" s="1"/>
  <c r="L143" i="6"/>
  <c r="L163" i="6"/>
  <c r="C161" i="6"/>
  <c r="K183" i="6"/>
  <c r="L155" i="4"/>
  <c r="L177" i="4" s="1"/>
  <c r="L199" i="4" s="1"/>
  <c r="L221" i="4" s="1"/>
  <c r="L243" i="4" s="1"/>
  <c r="L265" i="4" s="1"/>
  <c r="L287" i="4"/>
  <c r="K133" i="4"/>
  <c r="L175" i="4"/>
  <c r="L286" i="4"/>
  <c r="L154" i="4"/>
  <c r="L176" i="4" s="1"/>
  <c r="L198" i="4" s="1"/>
  <c r="L220" i="4" s="1"/>
  <c r="L242" i="4" s="1"/>
  <c r="L264" i="4" s="1"/>
  <c r="M197" i="4"/>
  <c r="B172" i="4"/>
  <c r="C248" i="2"/>
  <c r="C246" i="2"/>
  <c r="C268" i="2"/>
  <c r="M164" i="7" l="1"/>
  <c r="C121" i="7"/>
  <c r="M208" i="7"/>
  <c r="M230" i="7" s="1"/>
  <c r="M252" i="7" s="1"/>
  <c r="M274" i="7" s="1"/>
  <c r="M296" i="7" s="1"/>
  <c r="M318" i="7" s="1"/>
  <c r="M340" i="7"/>
  <c r="C341" i="7" s="1"/>
  <c r="C165" i="7"/>
  <c r="C163" i="7"/>
  <c r="K208" i="7"/>
  <c r="K230" i="7" s="1"/>
  <c r="K252" i="7" s="1"/>
  <c r="K274" i="7" s="1"/>
  <c r="K296" i="7" s="1"/>
  <c r="K318" i="7" s="1"/>
  <c r="K340" i="7"/>
  <c r="M272" i="7"/>
  <c r="K184" i="7"/>
  <c r="B247" i="7"/>
  <c r="L250" i="7"/>
  <c r="C163" i="6"/>
  <c r="L183" i="6"/>
  <c r="C183" i="6" s="1"/>
  <c r="C286" i="4"/>
  <c r="K131" i="4"/>
  <c r="K155" i="4"/>
  <c r="K177" i="4" s="1"/>
  <c r="K199" i="4" s="1"/>
  <c r="K221" i="4" s="1"/>
  <c r="K243" i="4" s="1"/>
  <c r="K265" i="4" s="1"/>
  <c r="K287" i="4"/>
  <c r="M219" i="4"/>
  <c r="L197" i="4"/>
  <c r="C176" i="4"/>
  <c r="M294" i="7" l="1"/>
  <c r="L272" i="7"/>
  <c r="B269" i="7"/>
  <c r="C183" i="7"/>
  <c r="K338" i="7"/>
  <c r="K206" i="7"/>
  <c r="L219" i="4"/>
  <c r="M241" i="4"/>
  <c r="B216" i="4"/>
  <c r="K285" i="4"/>
  <c r="K153" i="4"/>
  <c r="K228" i="7" l="1"/>
  <c r="B291" i="7"/>
  <c r="L294" i="7"/>
  <c r="M316" i="7"/>
  <c r="K175" i="4"/>
  <c r="M263" i="4"/>
  <c r="L241" i="4"/>
  <c r="C220" i="4"/>
  <c r="B313" i="7" l="1"/>
  <c r="K250" i="7"/>
  <c r="L316" i="7"/>
  <c r="L263" i="4"/>
  <c r="C174" i="4"/>
  <c r="K197" i="4"/>
  <c r="K272" i="7" l="1"/>
  <c r="C249" i="7"/>
  <c r="K219" i="4"/>
  <c r="C271" i="7" l="1"/>
  <c r="K294" i="7"/>
  <c r="C218" i="4"/>
  <c r="K241" i="4"/>
  <c r="C293" i="7" l="1"/>
  <c r="K316" i="7"/>
  <c r="K263" i="4"/>
</calcChain>
</file>

<file path=xl/sharedStrings.xml><?xml version="1.0" encoding="utf-8"?>
<sst xmlns="http://schemas.openxmlformats.org/spreadsheetml/2006/main" count="1060" uniqueCount="206">
  <si>
    <t>Type</t>
  </si>
  <si>
    <t>Value</t>
  </si>
  <si>
    <t>Paragraph</t>
  </si>
  <si>
    <t>Gene</t>
  </si>
  <si>
    <t>MTHFR</t>
  </si>
  <si>
    <t>Intro</t>
  </si>
  <si>
    <t>Chromosome</t>
  </si>
  <si>
    <t>Item</t>
  </si>
  <si>
    <t>enzyme</t>
  </si>
  <si>
    <t>Interval</t>
  </si>
  <si>
    <t>NC_000001.11 :g.11785730_11806103</t>
  </si>
  <si>
    <t>Variant Number</t>
  </si>
  <si>
    <t>two</t>
  </si>
  <si>
    <t xml:space="preserve"> </t>
  </si>
  <si>
    <t>Gene Location</t>
  </si>
  <si>
    <t>Name</t>
  </si>
  <si>
    <t>C677T</t>
  </si>
  <si>
    <t>Original</t>
  </si>
  <si>
    <t>cytosine (C)</t>
  </si>
  <si>
    <t>Change</t>
  </si>
  <si>
    <t>thymine (T)</t>
  </si>
  <si>
    <t>Variant</t>
  </si>
  <si>
    <t>[C677T](http://gnomad.broadinstitute.org/variant/1-11856378-G-A)</t>
  </si>
  <si>
    <t>A1298C</t>
  </si>
  <si>
    <t>adenine (A)</t>
  </si>
  <si>
    <t>[A1298C](https://www.ncbi.nlm.nih.gov/projects/SNP/snp_ref.cgi?rs=1801131)</t>
  </si>
  <si>
    <t xml:space="preserve">    # What does this mean?</t>
  </si>
  <si>
    <t>het meaning</t>
  </si>
  <si>
    <t>het effect</t>
  </si>
  <si>
    <t xml:space="preserve">    # What is the effect of this variant?</t>
  </si>
  <si>
    <t xml:space="preserve">    # How common is this genotype in the general population?</t>
  </si>
  <si>
    <t>The effect is unknown.</t>
  </si>
  <si>
    <t>Symptoms</t>
  </si>
  <si>
    <t>fatigue D005221 memory problems D008569 inflamation D007249</t>
  </si>
  <si>
    <t>MTHFR is involved in the production of folate (also known as B9). Folate is a precursor to the amino acid
methionine. The body uses [methionine](https://ghr.nlm.nih.gov/condition/hypermethioninemia) to make proteins, red and white blood cells, DNA, and other important compounds, including neurotransmitters such as serotonin, dopamine, and norepinephrine. Folate deficiency may cause [fatigue, pins and needles (paraesthesia), muscle weakness, disturbed vision, depression, confusion, and memory problems](https://medlineplus.gov/ency/article/000354.htm).</t>
  </si>
  <si>
    <t>Gene_Name</t>
  </si>
  <si>
    <t>CHRNA3</t>
  </si>
  <si>
    <t>GeneName_full</t>
  </si>
  <si>
    <t>Neuronal acetylcholine receptor subunit alpha-3</t>
  </si>
  <si>
    <t>CHRNA3 encodes a neurotransmitter called [acetylcholine](http://www.uniprot.org/citations/8906617) that regulates the creation and destruction of nicotine receptors in the nervous system. It also controls [serotonin](https://www.ebi.ac.uk/QuickGO/term/GO:0022850) channels in the brain. Variants in this gene have been associated with [nicotine dependence](https://www.ncbi.nlm.nih.gov/pubmed/22290489), [lung cancer](https://www.ncbi.nlm.nih.gov/pubmed/19836008), [COPD](https://www.ncbi.nlm.nih.gov/pubmed/24621683) (Chronic Obstructive Pulmonary Disease), [cocaine dependence](https://www.ncbi.nlm.nih.gov/pubmed/20485328), and ME/[CFS](https://www.ncbi.nlm.nih.gov/pubmed/27099524).</t>
  </si>
  <si>
    <t>protein</t>
  </si>
  <si>
    <t>C78606381T</t>
  </si>
  <si>
    <t>[C78606381T](https://www.ncbi.nlm.nih.gov/projects/SNP/snp_ref.cgi?rs=12914385)</t>
  </si>
  <si>
    <t xml:space="preserve">C645T </t>
  </si>
  <si>
    <t>guanine (G)</t>
  </si>
  <si>
    <t>[C645T](https://www.ncbi.nlm.nih.gov/clinvar/variation/17503/)</t>
  </si>
  <si>
    <t>fatigue D005221 inflamation D007249 anxiety D001007 depression D003863</t>
  </si>
  <si>
    <t xml:space="preserve">brain D001921 bone marrow and immune system D007107 </t>
  </si>
  <si>
    <t>Diseases</t>
  </si>
  <si>
    <t>cancer;  COPD; anxiety disorder; ME/CFS; nicotine dependency; autoimmune disorder; Disease susceptibility - increased susceptibility to viral, bacterial, and parasitical infections; cocaine dependence; schizophrenia, Major depression; coronary heart disease;</t>
  </si>
  <si>
    <t>Methylenetetrahydrofolate reductase</t>
  </si>
  <si>
    <t>Variant Location</t>
  </si>
  <si>
    <t>Wildtype</t>
  </si>
  <si>
    <t>rs1801131</t>
  </si>
  <si>
    <t>rs1801133</t>
  </si>
  <si>
    <t>NC_000001.10:g.11854476T&gt;G</t>
  </si>
  <si>
    <t>[11854476T&gt;G]</t>
  </si>
  <si>
    <t>[11854476=]</t>
  </si>
  <si>
    <t>NC_000001.10:g.11856378G&gt;A</t>
  </si>
  <si>
    <t>[11856378G&gt;A]</t>
  </si>
  <si>
    <t>[11856378=]</t>
  </si>
  <si>
    <t>&lt;/GeneMap&gt;</t>
  </si>
  <si>
    <t>&lt;AnalysisBox&gt;</t>
  </si>
  <si>
    <t>Het</t>
  </si>
  <si>
    <t>Homo</t>
  </si>
  <si>
    <t>Place</t>
  </si>
  <si>
    <t>NC_000001.10:g.</t>
  </si>
  <si>
    <t>Het%</t>
  </si>
  <si>
    <t>Homo%</t>
  </si>
  <si>
    <t>Wildtype%</t>
  </si>
  <si>
    <t xml:space="preserve">Name </t>
  </si>
  <si>
    <t xml:space="preserve">                    and</t>
  </si>
  <si>
    <t>Second Gene</t>
  </si>
  <si>
    <t>Percentage</t>
  </si>
  <si>
    <t xml:space="preserve">    People with the following variants have a slightly reduced efficacy of processing folate [(82% of normal function)](https://www.ncbi.nlm.nih.gov/pubmed/25902009). In ME/CFS, [hypomethylation](http://dx.doi.org/10.4172/2155-9899.1000228), which is greatly affected by the vitamins B12 and folate, is seen in a majority of certain immune cells. The low B12 and higher homocysteine levels correlate significantly with ratings of [mental fatigue](https://www.ncbi.nlm.nih.gov/pubmed/25902009).
    # What should I do about this?
    Some people with mild loss of function variant may benefit from supplementing their diets with an [oral folic acid](https://www.ncbi.nlm.nih.gov/pubmed/25902009) supplement. Consult your physician. </t>
  </si>
  <si>
    <t>homo meaning</t>
  </si>
  <si>
    <t xml:space="preserve">    People with the following mutations have a drastically reduced efficacy of processing folate ([30% of normal function)](https://www.ncbi.nlm.nih.gov/pubmed/25902009).  In ME/CFS, [hypomethylation](http://dx.doi.org/10.4172/2155-9899.1000228), which is greatly affected by the vitamins B12 and folate, is seen in a majority of certain immune cells. The low B12 and higher homocysteine levels correlate significantly with ratings of [mental fatigue](https://www.ncbi.nlm.nih.gov/pubmed/25902009).
    # What should I do about this?
    Most people with the moderate loss of function variant may benefit from supplementing their diets with an [oral folic acid](https://www.ncbi.nlm.nih.gov/pubmed/25902009) supplement. However, opioid analgesics and other drugs that have to be demethylated (the removal of one methyl CH3 group) as part of their metabolism negatively impact MTHFR function.  Consult your physician. </t>
  </si>
  <si>
    <t xml:space="preserve">
    People with the following mutations have a drastically reduced efficiency of processing folate ([15% of normal function](https://www.ncbi.nlm.nih.gov/pubmed/25902009).  The elevated homocysteine levels are associated with low thyroid hormones (hypothyroidism), chronic conditions like obesity, diabetes, high cholesterol, physical inactivity, and high blood pressure. However, very high homocysteine levels are rarely caused by only these variants. 
    In ME/CFS, [hypomethylation](http://dx.doi.org/10.4172/2155-9899.1000228), which is greatly affected by the vitamins B12 and folate, is seen in a majority of certain immune cells. The low B12 and very elevated homocysteine levels correlate significantly with ratings of [mental fatigue](https://www.ncbi.nlm.nih.gov/pubmed/25902009).
    # What should I do about this?
    It is strongly recommended that people in this group take an [oral folic acid](https://www.ncbi.nlm.nih.gov/pubmed/25902009) supplement on a daily basis to provide blood saturations high enough to be a remedy for good and safe relief in CFS patients. However, opioid analgesics and other drugs that have to be demethylated (the removal of one methyl CH3 group) as part of their metabolism negatively impact MTHFR function. You should also be carefully evaluated for other factors known to affect [homocysteine](https://medlineplus.gov/druginfo/natural/1017.html), such as:
    * Eye lens dislocations
    * Unusual (Marfan type) body shape
    * Stroke
    * Blood clotting abnormalities
    * Low thyroid hormones (hypothyroidism)</t>
  </si>
  <si>
    <t>&lt;/AnalysisBox&gt;</t>
  </si>
  <si>
    <t>Tissues</t>
  </si>
  <si>
    <t>endocrineSystem and pancreas</t>
  </si>
  <si>
    <t>endocrineSystem pancreas</t>
  </si>
  <si>
    <t>mesh_D005221 mesh_D008569 mesh_D007249</t>
  </si>
  <si>
    <t xml:space="preserve">depression D003866 hypothyroid D007037 </t>
  </si>
  <si>
    <t xml:space="preserve">mesh_D003866 mesh_D007037 </t>
  </si>
  <si>
    <t>Wild type</t>
  </si>
  <si>
    <t>Unknown</t>
  </si>
  <si>
    <t>GRIK3</t>
  </si>
  <si>
    <t>Glutamate receptor ionotropic, kainate 3</t>
  </si>
  <si>
    <t>The GRIK3 gene creates a protein that helps form receptors for the neurotransmitter [glutamate](https://www.nimh.nih.gov/health/educational-resources/brain-basics/brain-basics.shtml). It increases the chance neurons will fire and enhances the electrical flow among brain cells, but elevated levels of glutamate are toxic to neurons. Problems creating or absorbing glutamate are linked to ME/CFS, [major](https://www.ncbi.nlm.nih.gov/pubmed/16958029) [depressive disorder](https://www.ncbi.nlm.nih.gov/pubmed/19221446/), [schizophrenia](https://www.ncbi.nlm.nih.gov/pubmed/19921975/), [and memory problems](https://www.nimh.nih.gov/health/educational-resources/brain-basics/brain-basics.shtml).</t>
  </si>
  <si>
    <t>NC000001_1.11:g.1111_9999</t>
  </si>
  <si>
    <t>three</t>
  </si>
  <si>
    <t>T928G</t>
  </si>
  <si>
    <t>[T928G](https://www.ncbi.nlm.nih.gov/projects/SNP/snp_ref.cgi?rs=6691840)[(Ser310Ala)](https://www.ncbi.nlm.nih.gov/pubmed/11986986)</t>
  </si>
  <si>
    <t>C36983994T</t>
  </si>
  <si>
    <t>[C36983994T](https://www.ncbi.nlm.nih.gov/projects/SNP/snp_ref.cgi?rs=3913434)</t>
  </si>
  <si>
    <t>A7783504C</t>
  </si>
  <si>
    <t>[A7783504C](https://www.ncbi.nlm.nih.gov/projects/SNP/snp_ref.cgi?rs=270838)</t>
  </si>
  <si>
    <t>NC_000001.10:g.37325477A&gt;G</t>
  </si>
  <si>
    <t>[37325477A&gt;G]</t>
  </si>
  <si>
    <t>[37325477=]</t>
  </si>
  <si>
    <t>NC_000002.11:g.7783504A&gt;C</t>
  </si>
  <si>
    <t>NC_000001.10:g.37449595C&gt;T</t>
  </si>
  <si>
    <t>[37449595C&gt;T]</t>
  </si>
  <si>
    <t>[37449595=]</t>
  </si>
  <si>
    <t>NC_000002.11:g.</t>
  </si>
  <si>
    <t>[7783504A&gt;C]</t>
  </si>
  <si>
    <t>[7783504=]</t>
  </si>
  <si>
    <t>rs6691840</t>
  </si>
  <si>
    <t>rs270838</t>
  </si>
  <si>
    <t>rs3913434</t>
  </si>
  <si>
    <t>This variant is linked to increasing the risk of [schizophrenia](https://www.ncbi.nlm.nih.gov/pubmed/19921975/) by [30%](https://www.ncbi.nlm.nih.gov/pubmed/25054019?dopt=Abstract) and [recurrent major depressive disorder](https://www.ncbi.nlm.nih.gov/pubmed/16958029). Having two copies of this variant is associated with personality differences.  These include higher scores in [harm avoidance, anxiety, and shyness, and lower scores in novelty seeking, responsibility, resourcefulness, helpfulness, compassion, self motivation, and cooperativeness](https://www.ncbi.nlm.nih.gov/pubmed/19221446/). This pattern of scores is similar to that observed in [depressed patients](https://www.ncbi.nlm.nih.gov/pubmed/19221446/).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t>
  </si>
  <si>
    <t>Having one copy of this variant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t>
  </si>
  <si>
    <t>This variant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t>
  </si>
  <si>
    <t>This variant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t>
  </si>
  <si>
    <t xml:space="preserve">    There is currently no data on the interaction between these variants.  However, some information exists on the individual variants. 
    # What is the effect of T928G?
    Having one copy of T928G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t>
  </si>
  <si>
    <t xml:space="preserve">    There is currently no data on the interaction between these variants.  However, some information exists on the individual variants. 
    # What is the effect of T928G?
    Having one copy of T928G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t>
  </si>
  <si>
    <t xml:space="preserve">    There is currently no data on the interaction between these variants.  However, some information exists on the individual variants. 
    # What is the effect of T928G?
Two copies of T928G is linked to increasing the risk of [schizophrenia](https://www.ncbi.nlm.nih.gov/pubmed/19921975/) by [30%](https://www.ncbi.nlm.nih.gov/pubmed/25054019?dopt=Abstract) and [recurrent major depressive disorder](https://www.ncbi.nlm.nih.gov/pubmed/16958029). Having two copies of this variant is associated with personality differences.  These include higher scores in [harm avoidance, anxiety, and shyness, and lower scores in novelty seeking, responsibility, resourcefulness, helpfulness, compassion, self motivation, and cooperativeness](https://www.ncbi.nlm.nih.gov/pubmed/19221446/). This pattern of scores is similar to that observed in [depressed patients](https://www.ncbi.nlm.nih.gov/pubmed/19221446/).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t>
  </si>
  <si>
    <t xml:space="preserve">    There is currently no data on the interaction between these variants.  However, some information exists on the individual variants. 
    # What is the effect of T928G?
Two copies of T928G is linked to increasing the risk of [schizophrenia](https://www.ncbi.nlm.nih.gov/pubmed/19921975/) by [30%](https://www.ncbi.nlm.nih.gov/pubmed/25054019?dopt=Abstract) and [recurrent major depressive disorder](https://www.ncbi.nlm.nih.gov/pubmed/16958029). Having two copies of this variant is associated with personality differences.  These include higher scores in [harm avoidance, anxiety, and shyness, and lower scores in novelty seeking, responsibility, resourcefulness, helpfulness, compassion, self motivation, and cooperativeness](https://www.ncbi.nlm.nih.gov/pubmed/19221446/). This pattern of scores is similar to that observed in [depressed patients](https://www.ncbi.nlm.nih.gov/pubmed/19221446/).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t>
  </si>
  <si>
    <t xml:space="preserve">    There is currently no data on the interaction between these variants.  However, some information exists on the individual variants.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t>
  </si>
  <si>
    <t xml:space="preserve">    There is currently no data on the interaction between these variants.  However, some information exists on the individual variants. 
    # What is the effect of T928G?
    Having one copy of T928G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t>
  </si>
  <si>
    <t>depression, stress, problems with thinking or memory, brain fog, pain</t>
  </si>
  <si>
    <t>mesh_D003863 mesh_D040701 mesh_D008569 mesh_D010146</t>
  </si>
  <si>
    <t xml:space="preserve">schizophrenia D012559; major depressive disorder D003866; ME/CFS D015673; </t>
  </si>
  <si>
    <t>mesh_D012559 mesh_D003866 mesh_D015673</t>
  </si>
  <si>
    <t>brain D001921</t>
  </si>
  <si>
    <t>brain</t>
  </si>
  <si>
    <t>CLYBL</t>
  </si>
  <si>
    <t>Citramalyl-CoA lyase, mitochondrial</t>
  </si>
  <si>
    <t>[CLYBL](http://www.uniprot.org/uniprot/Q8N0X4) creates an energy production enzyme involved in the metabolism of vitamin B12 . It also involved in removing metals like magnesium and the citric acid cycle, which controls energy production and biosynthesis. Vitamin B12 is required for red blood cell formation, protein metabolism, neurological function, homocysteine conversion, and replicating DNA. Vitamin B12 plays a fundamental role in [detoxification](https://www.ncbi.nlm.nih.gov/pubmed/19409980) due to its substantial [antioxidant](https://www.ncbi.nlm.nih.gov/pubmed/19799418) properties. Vitamin B12 deficiency is linked with [anemia, neurodegenerative disorder, cardiovascular disease, gastrointestinal disease](https://www.ncbi.nlm.nih.gov/pubmed/22367966), and [ME/CFS](https://www.ncbi.nlm.nih.gov/pubmed/29100069).</t>
  </si>
  <si>
    <t>mitochondrial enzyme</t>
  </si>
  <si>
    <t>one</t>
  </si>
  <si>
    <t>C775T</t>
  </si>
  <si>
    <t>[C775T (Arg259Ter)](https://www.ncbi.nlm.nih.gov/pubmed/29100069)</t>
  </si>
  <si>
    <t>NC_000013.10:g.100258919_100549388</t>
  </si>
  <si>
    <t>rs41281112 </t>
  </si>
  <si>
    <t>NC_000013.10:g.100518634C&gt;T</t>
  </si>
  <si>
    <t>NC_000013.10:g.</t>
  </si>
  <si>
    <t>[100518634C&gt;T]</t>
  </si>
  <si>
    <t>[100518634=]</t>
  </si>
  <si>
    <t xml:space="preserve">    This variant [shortens the protein](https://www.ncbi.nlm.nih.gov/pubmed/22367966), which may lead to [malabsorption of B12](https://www.ncbi.nlm.nih.gov/pubmed/25902009) due to improper binding with ions (electrically charged particles) and metals. People with this variant have blood serum vitamin B12 levels [36.2% lower](https://www.ncbi.nlm.nih.gov/pubmed/22367966) than normal. Vitamin B12 deficiency is linked to [anemia, loss of balance, numbness or tingling in the arms and legs, and weakness](https://medlineplus.gov/ency/article/002403.htm). Low levels of B12 may also cause increased levels of homocysteine, increasing the chance of [coronary heart disease, stroke, peripheral vascular disease, hardening of the arteries](https://labtestsonline.org/tests/homocysteine), and [mental fatigue](https://www.ncbi.nlm.nih.gov/pubmed/25902009).
    This variant is much more common in people with [ME/CFS](https://www.ncbi.nlm.nih.gov/pubmed/29100069). In ME/CFS, [hypomethylation](http://dx.doi.org/10.4172/2155-9899.1000228), or reduced gene expression and protein expression, is seen in a majority of certain [immune cells](https://www.ncbi.nlm.nih.gov/pubmed/25111603/). Hypomethylation is greatly affected by the vitamins B12 and folate (B9), suggesting a blockage of B12 across the blood brain barrier. The reduction of circulating vitamin B12 also causes increased levels of [itaconate](https://www.ncbi.nlm.nih.gov/pubmed/29056341), an anti-microbial and immune regulating metabolic compound, which in turn deactivates vitamin B12. 
    # What should I do about this?
    - Consider a daily [oral folic acid](https://www.ncbi.nlm.nih.gov/pubmed/25902009) supplement combined with oral or injectable B12. 
    - Avoid [opioids, duloxetine, pregabalin](https://www.ncbi.nlm.nih.gov/pubmed/25902009), [metformin](https://www.ncbi.nlm.nih.gov/pubmed/20488910?dopt=Abstract), and other anti-epilectic drugs. 
    - Check homocysteine levels. If elevated, consider taking [folate](https://medlineplus.gov/druginfo/natural/1017.html). 
    - If [homocysteine is elevated](https://www.ncbi.nlm.nih.gov/pubmed/18709886), watch for eye lens dislocations, “Marfan type” body shape, stroke, blood clotting issues, and low thyroid hormones (hypothyroidism).</t>
  </si>
  <si>
    <t xml:space="preserve">    This variant [shortens the protein](https://www.ncbi.nlm.nih.gov/pubmed/22367966), which may lead to [malabsorption of B12 and mental fatigue](https://www.ncbi.nlm.nih.gov/pubmed/25902009) due to improper binding between the protein and ions (electrically charged particles) or metals. People with this variant have blood serum vitamin B12 levels [88.9% lower](https://www.ncbi.nlm.nih.gov/pubmed/22367966) than normal and may have higher homocysteine levels. 
    This variant is also more common in people with [ME/CFS](https://www.ncbi.nlm.nih.gov/pubmed/29100069). In ME/CFS, [hypomethylation](http://dx.doi.org/10.4172/2155-9899.1000228), or reduced gene expression and protein expression, is seen in a majority of certain [immune cells](https://www.ncbi.nlm.nih.gov/pubmed/25111603/). Hypomethylation is greatly affected by the vitamins B12 and folate (B9), suggesting a blockage of B12 across the blood brain barrier. The reduction of circulating vitamin B12 also causes increased levels of [itaconate](https://www.ncbi.nlm.nih.gov/pubmed/29056341), an anti-microbial and immune regulating metabolic compound, which in turn deactivates vitamin B12. 
    # What should I do about this?
    - Check blood serum vitamin B12 levels. If too low, consider an [oral or injectable B12](https://www.ncbi.nlm.nih.gov/pubmed/25902009) supplement if low. 
    - Be cautious when taking [opioids, duloxetine, pregabalin](https://www.ncbi.nlm.nih.gov/pubmed/25902009), and [metformin](https://www.ncbi.nlm.nih.gov/pubmed/20488910?dopt=Abstract), which lower B12 levels.</t>
  </si>
  <si>
    <t>fatigue D005221 memory problems D008569 inflamation D007249 muscle aches and pain D063806</t>
  </si>
  <si>
    <t xml:space="preserve">[kidney, liver](https://www.ncbi.nlm.nih.gov/gene/171425#gene-expression), and blood; circulatory and cardiovascular system D002319 Kidney and urinary bladder D005221 liver D008099 </t>
  </si>
  <si>
    <t>anemia D000740 neurodegenerative disorder D000752 cardiovascular disease D002318 gastrointestinal disease D005767 ME/CFS D015673 coronary heart disease D003327 stroke  D016491</t>
  </si>
  <si>
    <t>mesh_D000740 mesh_D000752 mesh_D002318 mesh_D005767 mesh_D015673 mesh_D003327 mesh_D016491</t>
  </si>
  <si>
    <t>mesh_D005221 mesh_D008569 mesh_D007249 mesh_D063806</t>
  </si>
  <si>
    <t xml:space="preserve">mesh_D002319 mesh_D005221 mesh_D008099 </t>
  </si>
  <si>
    <t>NC_000015.9:g.78885394_78913637</t>
  </si>
  <si>
    <t>rs12914385</t>
  </si>
  <si>
    <t>rs1051730</t>
  </si>
  <si>
    <t>NC_000015.9:g.78898723C&gt;T</t>
  </si>
  <si>
    <t>NC_000015.9:g.78894339G&gt;A</t>
  </si>
  <si>
    <t>NC_000015.9:g.</t>
  </si>
  <si>
    <t>[78898723C&gt;T]</t>
  </si>
  <si>
    <t>[78898723=]</t>
  </si>
  <si>
    <t>[78894339G&gt;A]</t>
  </si>
  <si>
    <t>[78894339=]</t>
  </si>
  <si>
    <t xml:space="preserve">    The CHRNA3 protein plays a role in developing nicotine dependence and regulating nicotine receptor proliferation and destruction. Incorrect formation of the nicotine neurotransmitter receptor protein has a variety of effects. This homozygous variant causes greatly increased risk of [lung cancer](https://www.ncbi.nlm.nih.gov/pubmed/23094028), with an [odds ratio of 1.44](https://www.ncbi.nlm.nih.gov/pubmed/21559498), and [COPD](https://www.ncbi.nlm.nih.gov/pubmed/24621683), with an [odds ratio of 1.39](https://www.ncbi.nlm.nih.gov/pubmed/24621683). It causes an [increase](https://www.ncbi.nlm.nih.gov/pubmed/29030599) of [two](https://www.ncbi.nlm.nih.gov/pubmed/21559498)[cigarettes](https://www.ncbi.nlm.nih.gov/pubmed/23870182)[per day](https://www.ncbi.nlm.nih.gov/pubmed/20418890) and may also cause greatly increased [smoking persistence](https://www.ncbi.nlm.nih.gov/pubmed/22290489). This variant may cause an increase in [cocaine dependence](https://www.ncbi.nlm.nih.gov/pubmed/20485328).
    Natural killer cells (NKC) are a type of white blood cells found in the blood, bone marrow, spleen, and lymph nodes. They kill viral infected cells and tumorous cells. CFS patients have half the cellular efficiency of the normal population with a [17% cellular death rate](https://www.ncbi.nlm.nih.gov/pubmed/27099524). The C78606381T (T;T) variant decreases gene expression in both the DNA and RNA, causing significant reduction in NKC activity. This variant was five as common in [CFS patients at 85.7% with an odds ratio of 6.22.](https://www.ncbi.nlm.nih.gov/pubmed/27099524)
    # What should I do about this?
    People should not smoke or use cocaine. If you do smoke, be aware of your greatly increased risk for dependency and difficulty of quitting smoking, and consider regular checks for lung cancer.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
    Many dietary supplements have been found to increase or decrease natural killer cell (NKC) function.
    - [Resveratrol](https://www.ncbi.nlm.nih.gov/pmc/articles/PMC4855330/) stimulates the immune system in increase NKC activity, but sufficient body concentration can only be achieved through supplementation. 
    - [Myricetin](https://www.ncbi.nlm.nih.gov/pubmed/25075019), a flavonoid found in food and red wine, can increase NKC activity. 
    - [Quercetin](https://www.ncbi.nlm.nih.gov/pubmed/19449452), a flavonoid in onions and fruits may improve NKC and T cell function. 
    [Histone deacetylase inhibitors (HDACi) including suberoylanilide hydroxamic acid and valproric acid](https://www.ncbi.nlm.nih.gov/pubmed/17349632/) impair NKC function, and should be avoided.</t>
  </si>
  <si>
    <t xml:space="preserve">    The CHRNA3 protein plays a role in developing nicotine dependence and regulating nicotine receptor proliferation and destruction. Incorrect formation of the nicotine neurotransmitter receptor protein has a variety of effects. This heterozygous variant causes increased risk of [lung cancer](https://www.ncbi.nlm.nih.gov/pubmed/23094028), with an [odds ratio of 1.2](https://www.ncbi.nlm.nih.gov/pubmed/28827732), and [COPD](https://www.ncbi.nlm.nih.gov/pubmed/24621683), with an [odds ratio of 1.39](https://www.ncbi.nlm.nih.gov/pubmed/24621683). It causes an [increase](https://www.ncbi.nlm.nih.gov/pubmed/29030599) of [one](https://www.ncbi.nlm.nih.gov/pubmed/21559498)[cigarette](https://www.ncbi.nlm.nih.gov/pubmed/23870182)[per day](https://www.ncbi.nlm.nih.gov/pubmed/20418890) and may also cause [smoking persistence](https://www.ncbi.nlm.nih.gov/pubmed/22290489). However, the C allele is protective, with a [decrease of 3.25 packs per year per C allele](https://www.ncbi.nlm.nih.gov/pubmed/21436384). Finally, his variant may cause an increase in [cocaine dependence](https://www.ncbi.nlm.nih.gov/pubmed/20485328).
    # What should I do about this?
    People should not smoke or use cocaine. If you do smoke, be aware of your risk for dependency and increased difficulty of quitting smoking.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t>
  </si>
  <si>
    <t xml:space="preserve">    This heterozygous variant causes increased risk of [adenocarcinoma](https://www.ncbi.nlm.nih.gov/pubmed/27072204) and [squamous cell lung cancer among Caucasians and African Americans](https://www.ncbi.nlm.nih.gov/pubmed/24254305), with an [odds ratio of 2.25](https://www.ncbi.nlm.nih.gov/pubmed/24337855), but not in East Asians or people who have never smoked. It causes an increase in [cigarettes smoked per day](https://www.ncbi.nlm.nih.gov/pubmed/27663783)[(odds ratio 2.66)](https://www.ncbi.nlm.nih.gov/pubmed/25632390) and [severity of nicotine addiction (odds ratio 2.6)](https://www.ncbi.nlm.nih.gov/pubmed/25632390). There is a [2.9% decrease](https://www.ncbi.nlm.nih.gov/pubmed/25891233) in adherence to prescribed Nicotine replacement therapy (NRT) dose, and a [1.0mg decrease](https://www.ncbi.nlm.nih.gov/pubmed/25891233) in daily NRT consumption up to 28 days after beginning treatment. Physical changes associated with one T allele include [0.59 kg lower body weight, 0.23 kg/m(2) lower body mass index, 0.32 cm lower waist circumference, and 0.45 cm lower hip circumference](https://www.ncbi.nlm.nih.gov/pubmed/25777141). It also is associated with [higher resting heart rate, lower systolic blood pressure, and higher HDL cholesterol](https://www.ncbi.nlm.nih.gov/pubmed/24867305).
    # What should I do about this?
    People should not smoke. If you do smoke, be aware of your risk for dependency and increased difficulty of quitting smoking.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t>
  </si>
  <si>
    <t xml:space="preserve">    This homozygous variant causes increased risk of [adenocarcinoma and squamous cell lung cancer among Caucasians and African Americans](https://www.ncbi.nlm.nih.gov/pubmed/24254305), with an [odds ratio of 1.9](https://www.ncbi.nlm.nih.gov/pubmed/25233467), but not East Asians or people who have never smoked. It causes an increase in [cigarettes smoked per day](https://www.ncbi.nlm.nih.gov/pubmed/27663783)[(odds ratio 2.66)](https://www.ncbi.nlm.nih.gov/pubmed/25632390) and [severity of nicotine addiction (odds ratio 2.6)](https://www.ncbi.nlm.nih.gov/pubmed/25632390). There is a [5.8% decrease](https://www.ncbi.nlm.nih.gov/pubmed/25891233) in adherence to prescribed Nicotine replacement therapy (NRT) dose, and a [2.0mg decrease](https://www.ncbi.nlm.nih.gov/pubmed/25891233) in daily NRT consumption up to 28 days after beginning treatment. T alleles were associated with [1.18 kg lower body weight, 0.46 kg/m(2) lower body mass index, 0.64 cm lower waist circumference, and 0.90 cm lower hip circumference](https://www.ncbi.nlm.nih.gov/pubmed/25777141). It also causes [higher resting heart rate, lower systolic blood pressure, and higher HDL cholesterol](https://www.ncbi.nlm.nih.gov/pubmed/24867305). Among people who smoke more than 30 cigarettes per day, [fatigue and hopelessness](https://www.ncbi.nlm.nih.gov/pubmed/27613883) are also greatly increased. Homozygotes had increased risk of [antipsychotic medication and schizophrenia](https://www.ncbi.nlm.nih.gov/pubmed/26054357).
    # What should I do about this?
    People should not smoke. If you do smoke, be aware of your greatly increased risk for dependency and difficulty of quitting smoking, and consider regular checks for lung cancer. Monitor signs of schizophrenia and antipsychotic medication side effects.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t>
  </si>
  <si>
    <t xml:space="preserve">    # What is the effect of C78606381T (C;T)?
    The CHRNA3 protein plays a role in developing nicotine dependence and regulating nicotine receptor proliferation and destruction. Incorrect formation of the nicotine neurotransmitter receptor protein has a variety of effects. This heterozygous variant causes increased risk of [lung cancer](https://www.ncbi.nlm.nih.gov/pubmed/23094028), with an [odds ratio of 1.2](https://www.ncbi.nlm.nih.gov/pubmed/28827732), and [COPD](https://www.ncbi.nlm.nih.gov/pubmed/24621683), with an [odds ratio of 1.39](https://www.ncbi.nlm.nih.gov/pubmed/24621683). It causes an [increase](https://www.ncbi.nlm.nih.gov/pubmed/29030599) of [one](https://www.ncbi.nlm.nih.gov/pubmed/21559498)[cigarette](https://www.ncbi.nlm.nih.gov/pubmed/23870182)[per day](https://www.ncbi.nlm.nih.gov/pubmed/20418890) and may also cause [smoking persistence](https://www.ncbi.nlm.nih.gov/pubmed/22290489). However, the C allele is protective, with a [decrease of 3.25 packs per year per C allele](https://www.ncbi.nlm.nih.gov/pubmed/21436384). Finally, his variant may cause an increase in [cocaine dependence](https://www.ncbi.nlm.nih.gov/pubmed/20485328).
    # What is the effect of C645T?
    This heterozygous variant causes increased risk of [adenocarcinoma](https://www.ncbi.nlm.nih.gov/pubmed/27072204) and [squamous cell lung cancer among Caucasians and African Americans](https://www.ncbi.nlm.nih.gov/pubmed/24254305), with an [odds ratio of 2.25](https://www.ncbi.nlm.nih.gov/pubmed/24337855), but not in East Asians or people who have never smoked. It causes an increase in [cigarettes smoked per day](https://www.ncbi.nlm.nih.gov/pubmed/27663783)[(odds ratio 2.66)](https://www.ncbi.nlm.nih.gov/pubmed/25632390) and [severity of nicotine addiction (odds ratio 2.6)](https://www.ncbi.nlm.nih.gov/pubmed/25632390). There is a [2.9% decrease](https://www.ncbi.nlm.nih.gov/pubmed/25891233) in adherence to prescribed Nicotine replacement therapy (NRT) dose, and a [1.0mg decrease](https://www.ncbi.nlm.nih.gov/pubmed/25891233) in daily NRT consumption up to 28 days after beginning treatment. Physical changes associated with one T allele include [0.59 kg lower body weight, 0.23 kg/m(2) lower body mass index, 0.32 cm lower waist circumference, and 0.45 cm lower hip circumference](https://www.ncbi.nlm.nih.gov/pubmed/25777141). It also is associated with [higher resting heart rate, lower systolic blood pressure, and higher HDL cholesterol](https://www.ncbi.nlm.nih.gov/pubmed/24867305).
    # What should I do about this?
    People should not smoke or use cocaine. If you do smoke, be aware of your greatly increased risk for dependency and difficulty of quitting smoking, and consider regular checks for lung cancer. Monitor signs of schizophrenia and antipsychotic medication side effects.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t>
  </si>
  <si>
    <t xml:space="preserve">    There is currently no data on the interaction between these variants.  However, some information exists on the individual variants. 
    # What is the effect of C78606381T (C;T)?
    The CHRNA3 protein plays a role in developing nicotine dependence and regulating nicotine receptor proliferation and destruction. Incorrect formation of the nicotine neurotransmitter receptor protein has a variety of effects. This heterozygous variant causes increased risk of [lung cancer](https://www.ncbi.nlm.nih.gov/pubmed/23094028), with an [odds ratio of 1.2](https://www.ncbi.nlm.nih.gov/pubmed/28827732), and [COPD](https://www.ncbi.nlm.nih.gov/pubmed/24621683), with an [odds ratio of 1.39](https://www.ncbi.nlm.nih.gov/pubmed/24621683). It causes an [increase](https://www.ncbi.nlm.nih.gov/pubmed/29030599) of [one](https://www.ncbi.nlm.nih.gov/pubmed/21559498)[cigarette](https://www.ncbi.nlm.nih.gov/pubmed/23870182)[per day](https://www.ncbi.nlm.nih.gov/pubmed/20418890) and may also cause [smoking persistence](https://www.ncbi.nlm.nih.gov/pubmed/22290489). However, the C allele is protective, with a [decrease of 3.25 packs per year per C allele](https://www.ncbi.nlm.nih.gov/pubmed/21436384). Finally, his variant may cause an increase in [cocaine dependence](https://www.ncbi.nlm.nih.gov/pubmed/20485328).
    # What is the effect of C645T?
    This heterozygous variant causes increased risk of [adenocarcinoma](https://www.ncbi.nlm.nih.gov/pubmed/27072204) and [squamous cell lung cancer among Caucasians and African Americans](https://www.ncbi.nlm.nih.gov/pubmed/24254305), with an [odds ratio of 2.25](https://www.ncbi.nlm.nih.gov/pubmed/24337855), but not in East Asians or people who have never smoked. It causes an increase in [cigarettes smoked per day](https://www.ncbi.nlm.nih.gov/pubmed/27663783)[(odds ratio 2.66)](https://www.ncbi.nlm.nih.gov/pubmed/25632390) and [severity of nicotine addiction (odds ratio 2.6)](https://www.ncbi.nlm.nih.gov/pubmed/25632390). There is a [2.9% decrease](https://www.ncbi.nlm.nih.gov/pubmed/25891233) in adherence to prescribed Nicotine replacement therapy (NRT) dose, and a [1.0mg decrease](https://www.ncbi.nlm.nih.gov/pubmed/25891233) in daily NRT consumption up to 28 days after beginning treatment. Physical changes associated with one T allele include [0.59 kg lower body weight, 0.23 kg/m(2) lower body mass index, 0.32 cm lower waist circumference, and 0.45 cm lower hip circumference](https://www.ncbi.nlm.nih.gov/pubmed/25777141). It also is associated with [higher resting heart rate, lower systolic blood pressure, and higher HDL cholesterol](https://www.ncbi.nlm.nih.gov/pubmed/24867305).
    # What should I do about this?
    People should not smoke or use cocaine. If you do smoke, be aware of your risk for dependency and increased difficulty of quitting smoking.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t>
  </si>
  <si>
    <t xml:space="preserve">    There is currently no data on the interaction between these variants.  However, some information exists on the individual variants. 
    # What is the effect of C78606381T (T;T)?
    The CHRNA3 protein plays a role in developing nicotine dependence and regulating nicotine receptor proliferation and destruction. Incorrect formation of the nicotine neurotransmitter receptor protein has a variety of effects. This homozygous variant causes greatly increased risk of [lung cancer](https://www.ncbi.nlm.nih.gov/pubmed/23094028), with an [odds ratio of 1.44](https://www.ncbi.nlm.nih.gov/pubmed/21559498), and [COPD](https://www.ncbi.nlm.nih.gov/pubmed/24621683), with an [odds ratio of 1.39](https://www.ncbi.nlm.nih.gov/pubmed/24621683). It causes an [increase](https://www.ncbi.nlm.nih.gov/pubmed/29030599) of [two](https://www.ncbi.nlm.nih.gov/pubmed/21559498)[cigarettes](https://www.ncbi.nlm.nih.gov/pubmed/23870182)[per day](https://www.ncbi.nlm.nih.gov/pubmed/20418890) and may also cause greatly increased [smoking persistence](https://www.ncbi.nlm.nih.gov/pubmed/22290489). This variant may cause an increase in [cocaine dependence](https://www.ncbi.nlm.nih.gov/pubmed/20485328).
    Natural killer cells (NKC) are a type of white blood cells found in the blood, bone marrow, spleen, and lymph nodes. They kill viral infected cells and tumorous cells. CFS patients have half the cellular efficiency of the normal population with a [17% cellular death rate](https://www.ncbi.nlm.nih.gov/pubmed/27099524). The C78606381T (T;T) variant decreases gene expression in both the DNA and RNA, causing significant reduction in NKC activity. This variant was five as common in [CFS patients at 85.7% with an odds ratio of 6.22.](https://www.ncbi.nlm.nih.gov/pubmed/27099524).
    # What is the effect of C645T?
    This heterozygous variant causes increased risk of [adenocarcinoma](https://www.ncbi.nlm.nih.gov/pubmed/27072204) and [squamous cell lung cancer among Caucasians and African Americans](https://www.ncbi.nlm.nih.gov/pubmed/24254305), with an [odds ratio of 2.25](https://www.ncbi.nlm.nih.gov/pubmed/24337855), but not in East Asians or people who have never smoked. It causes an increase in [cigarettes smoked per day](https://www.ncbi.nlm.nih.gov/pubmed/27663783)[(odds ratio 2.66)](https://www.ncbi.nlm.nih.gov/pubmed/25632390) and [severity of nicotine addiction (odds ratio 2.6)](https://www.ncbi.nlm.nih.gov/pubmed/25632390). There is a [2.9% decrease](https://www.ncbi.nlm.nih.gov/pubmed/25891233) in adherence to prescribed Nicotine replacement therapy (NRT) dose, and a [1.0mg decrease](https://www.ncbi.nlm.nih.gov/pubmed/25891233) in daily NRT consumption up to 28 days after beginning treatment. Physical changes associated with one T allele include [0.59 kg lower body weight, 0.23 kg/m(2) lower body mass index, 0.32 cm lower waist circumference, and 0.45 cm lower hip circumference](https://www.ncbi.nlm.nih.gov/pubmed/25777141). It also is associated with [higher resting heart rate, lower systolic blood pressure, and higher HDL cholesterol](https://www.ncbi.nlm.nih.gov/pubmed/24867305).
     #What should I do about this?
    People should not smoke or use cocaine. If you do smoke, be aware of your greatly increased risk for dependency and difficulty of quitting smoking, and consider regular checks for lung cancer.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
    Many dietary supplements have been found to increase or decrease natural killer cell (NKC) function.
    - [Resveratrol](https://www.ncbi.nlm.nih.gov/pmc/articles/PMC4855330/) stimulates the immune system in increase NKC activity, but sufficient body concentration can only be achieved through supplementation. 
    - [Myricetin](https://www.ncbi.nlm.nih.gov/pubmed/25075019), a flavonoid found in food and red wine, can increase NKC activity. 
    - [Quercetin](https://www.ncbi.nlm.nih.gov/pubmed/19449452), a flavonoid in onions and fruits may improve NKC and T cell function. 
    [Histone deacetylase inhibitors (HDACi) including suberoylanilide hydroxamic acid and valproric acid](https://www.ncbi.nlm.nih.gov/pubmed/17349632/) impair NKC function, and should be avoided.</t>
  </si>
  <si>
    <t xml:space="preserve">    There is currently no data on the interaction between these variants.  However, some information exists on the individual variants. 
    # What is the effect of C78606381T (T;T)?
    The CHRNA3 protein plays a role in developing nicotine dependence and regulating nicotine receptor proliferation and destruction. Incorrect formation of the nicotine neurotransmitter receptor protein has a variety of effects. This homozygous variant causes greatly increased risk of [lung cancer](https://www.ncbi.nlm.nih.gov/pubmed/23094028), with an [odds ratio of 1.44](https://www.ncbi.nlm.nih.gov/pubmed/21559498), and [COPD](https://www.ncbi.nlm.nih.gov/pubmed/24621683), with an [odds ratio of 1.39](https://www.ncbi.nlm.nih.gov/pubmed/24621683). It causes an [increase](https://www.ncbi.nlm.nih.gov/pubmed/29030599) of [two](https://www.ncbi.nlm.nih.gov/pubmed/21559498)[cigarettes](https://www.ncbi.nlm.nih.gov/pubmed/23870182)[per day](https://www.ncbi.nlm.nih.gov/pubmed/20418890) and may also cause greatly increased [smoking persistence](https://www.ncbi.nlm.nih.gov/pubmed/22290489). This variant may cause an increase in [cocaine dependence](https://www.ncbi.nlm.nih.gov/pubmed/20485328).
    Natural killer cells (NKC) are a type of white blood cells found in the blood, bone marrow, spleen, and lymph nodes. They kill viral infected cells and tumorous cells. CFS patients have half the cellular efficiency of the normal population with a [17% cellular death rate](https://www.ncbi.nlm.nih.gov/pubmed/27099524). The C78606381T (T;T) variant decreases gene expression in both the DNA and RNA, causing significant reduction in NKC activity. This variant was five as common in [CFS patients at 85.7% with an odds ratio of 6.22.](https://www.ncbi.nlm.nih.gov/pubmed/27099524)
    # What is the effect of C645T?
    This homozygous variant causes increased risk of [adenocarcinoma and squamous cell lung cancer among Caucasians and African Americans](https://www.ncbi.nlm.nih.gov/pubmed/24254305), with an [odds ratio of 1.9](https://www.ncbi.nlm.nih.gov/pubmed/25233467), but not East Asians or people who have never smoked. It causes an increase in [cigarettes smoked per day](https://www.ncbi.nlm.nih.gov/pubmed/27663783)[(odds ratio 2.66)](https://www.ncbi.nlm.nih.gov/pubmed/25632390) and [severity of nicotine addiction (odds ratio 2.6)](https://www.ncbi.nlm.nih.gov/pubmed/25632390). There is a [5.8% decrease](https://www.ncbi.nlm.nih.gov/pubmed/25891233) in adherence to prescribed Nicotine replacement therapy (NRT) dose, and a [2.0mg decrease](https://www.ncbi.nlm.nih.gov/pubmed/25891233) in daily NRT consumption up to 28 days after beginning treatment. T alleles were associated with [1.18 kg lower body weight, 0.46 kg/m(2) lower body mass index, 0.64 cm lower waist circumference, and 0.90 cm lower hip circumference](https://www.ncbi.nlm.nih.gov/pubmed/25777141). It also causes [higher resting heart rate, lower systolic blood pressure, and higher HDL cholesterol](https://www.ncbi.nlm.nih.gov/pubmed/24867305). Among people who smoke more than 30 cigarettes per day, [fatigue and hopelessness](https://www.ncbi.nlm.nih.gov/pubmed/27613883) are also greatly increased. Homozygotes had increased risk of [antipsychotic medication and schizophrenia](https://www.ncbi.nlm.nih.gov/pubmed/26054357).
    # What should I do about this?
    People should not smoke or use cocaine. If you do smoke, be aware of your greatly increased risk for dependency and difficulty of quitting smoking, and consider regular checks for lung cancer. Monitor signs of schizophrenia and antipsychotic medication side effects.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
    Many dietary supplements have been found to increase or decrease natural killer cell (NKC) function.
    - [Resveratrol](https://www.ncbi.nlm.nih.gov/pmc/articles/PMC4855330/) stimulates the immune system in increase NKC activity, but sufficient body concentration can only be achieved through supplementation. 
    - [Myricetin](https://www.ncbi.nlm.nih.gov/pubmed/25075019), a flavonoid found in food and red wine, can increase NKC activity. 
    - [Quercetin](https://www.ncbi.nlm.nih.gov/pubmed/19449452), a flavonoid in onions and fruits may improve NKC and T cell function. 
    [Histone deacetylase inhibitors (HDACi) including suberoylanilide hydroxamic acid and valproric acid](https://www.ncbi.nlm.nih.gov/pubmed/17349632/) impair NKC function, and should be avoided.</t>
  </si>
  <si>
    <t xml:space="preserve">mesh_D001921 mesh_D007107 </t>
  </si>
  <si>
    <t>mesh_D005221 mesh_D007249 mesh_D001007 mesh_D003863</t>
  </si>
  <si>
    <t xml:space="preserve">mesh_D009369 mesh_D029424 mesh_D001008 mesh_D015673 mesh_D014029 mesh_D001327 mesh_D004198 mesh_D019970 mesh_D012559 mesh_D003866 mesh_D003327 </t>
  </si>
  <si>
    <t>CHRNA5</t>
  </si>
  <si>
    <t>neuronal acetylcholine receptor subunit alpha-5</t>
  </si>
  <si>
    <t>anxiety; pain; inflammation;</t>
  </si>
  <si>
    <t>brain D001921  respiratory system and lung D012137  bone marrow and immune system D007107</t>
  </si>
  <si>
    <t>cancer; COPD; anxiety; ME/CFS; nicotine dependency; autoimmune disorder; Disease susceptibility - increased susceptibility to viral, bacterial, and parasitic infections; mood disorder</t>
  </si>
  <si>
    <t>mesh_D001921 mesh_D012137 mesh_D007107</t>
  </si>
  <si>
    <t>mesh_D001007 mesh_D010146  mesh_D007249</t>
  </si>
  <si>
    <t>mesh_D009369 mesh_D029424 mesh_D001008 mesh_D015673 mesh_D014029 mesh_D001327 mesh_D004198 mesh_D019964</t>
  </si>
  <si>
    <t>NC_000015.9:g.78857862_78887611</t>
  </si>
  <si>
    <t>G1192A</t>
  </si>
  <si>
    <t>[G1192A (Asp398Asn)](https://www.ncbi.nlm.nih.gov/clinvar/variation/17497/)</t>
  </si>
  <si>
    <t>A78573551G</t>
  </si>
  <si>
    <t>[A78573551G](https://www.ncbi.nlm.nih.gov/projects/SNP/snp_ref.cgi?rs=6495306)</t>
  </si>
  <si>
    <t>A78581651T</t>
  </si>
  <si>
    <t>[A78581651T](https://www.ncbi.nlm.nih.gov/projects/SNP/snp_ref.cgi?rs=7180002)</t>
  </si>
  <si>
    <t>NC_000015.9:g.78882925G&gt;A</t>
  </si>
  <si>
    <t>rs16969968</t>
  </si>
  <si>
    <t>[78882925G&gt;A]</t>
  </si>
  <si>
    <t>[78882925=]</t>
  </si>
  <si>
    <t>NC_000015.9:g.78865893G&gt;A</t>
  </si>
  <si>
    <t>[78865893G&gt;A]</t>
  </si>
  <si>
    <t>[78865893=]</t>
  </si>
  <si>
    <t>NC_000015.9:g.78873993A&gt;T</t>
  </si>
  <si>
    <t>[78873993A&gt;T]</t>
  </si>
  <si>
    <t>[78873993=]</t>
  </si>
  <si>
    <t>[CHRNA5](https://www.genecards.org/cgi-bin/carddisp.pl?gene=CHRNA5) creates a protein that controls signals between between [motor neurons and muscle fiber](https://www.ebi.ac.uk/QuickGO/term/GO:0007274)s as well as the body’s response to [nicotine](http://www.uniprot.org/citations/18227835). Variants in CHRNA5 are associated with [anxiety](https://www.ncbi.nlm.nih.gov/pubmed/25826680) and decreased function of [natural killer cells (NKC)](https://www.ncbi.nlm.nih.gov/pubmed/27099524), a type of white blood cell that helps the body respond to viral infections.</t>
  </si>
  <si>
    <t xml:space="preserve">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</si>
  <si>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This variant controls [cognitive function, working memory, and gray matter volume in the brain](https://www.ncbi.nlm.nih.gov/pubmed/24819610). Males with this variant have much faster [information processing](https://www.ncbi.nlm.nih.gov/pubmed/25674902), including [much better behavioral performance, more efficient brain activity, and a larger brain volume.](https://www.ncbi.nlm.nih.gov/pubmed/24819610) Females with this variant exhibit much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an elevated risk and earlier onset of [lung cancer](https://www.ncbi.nlm.nih.gov/pubmed/27543155), [COPD](https://www.ncbi.nlm.nih.gov/pubmed/26771213) and [newborn lung and breathing problems](https://www.ncbi.nlm.nih.gov/pubmed/24838476) in the children of smoking mothers.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Pregnant women should consider [supplemental vitamin C](https://www.ncbi.nlm.nih.gov/pubmed/24838476).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</si>
  <si>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This variant controls [cognitive function, working memory, and gray matter volume in the brain](https://www.ncbi.nlm.nih.gov/pubmed/24819610). Males with this variant have faster [information processing](https://www.ncbi.nlm.nih.gov/pubmed/25674902), including [much better behavioral performance, more efficient brain activity, and a larger brain volume.](https://www.ncbi.nlm.nih.gov/pubmed/24819610) Females with this variant exhibit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 greater risk for [lung cancer and COPD](https://www.ncbi.nlm.nih.gov/pubmed/27344179).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</si>
  <si>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avoid smoking, and proactively check for lung cancer if they smoke.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t>
  </si>
  <si>
    <t xml:space="preserve">    There is currently no data on the interaction between these variants.  However, some information exists on the individual variants.
    # What is the effect of G1192A (G;A)?
    This variant controls [cognitive function, working memory, and gray matter volume in the brain](https://www.ncbi.nlm.nih.gov/pubmed/24819610). Males with this variant have faster [information processing](https://www.ncbi.nlm.nih.gov/pubmed/25674902), including [much better behavioral performance, more efficient brain activity, and a larger brain volume.](https://www.ncbi.nlm.nih.gov/pubmed/24819610) Females with this variant exhibit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 greater risk for [lung cancer and COPD](https://www.ncbi.nlm.nih.gov/pubmed/27344179).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</si>
  <si>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There is currently no data on the interaction between these variants.  However, some information exists on the individual variants.
    # What is the effect of G1192A (A;A)?
    This variant controls [cognitive function, working memory, and gray matter volume in the brain](https://www.ncbi.nlm.nih.gov/pubmed/24819610). Males with this variant have much faster [information processing](https://www.ncbi.nlm.nih.gov/pubmed/25674902), including [much better behavioral performance, more efficient brain activity, and a larger brain volume.](https://www.ncbi.nlm.nih.gov/pubmed/24819610) Females with this variant exhibit much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an elevated risk and earlier onset of [lung cancer](https://www.ncbi.nlm.nih.gov/pubmed/27543155), [COPD](https://www.ncbi.nlm.nih.gov/pubmed/26771213) and [newborn lung and breathing problems](https://www.ncbi.nlm.nih.gov/pubmed/24838476) in the children of smoking mothers.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</si>
  <si>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There is currently no data on the interaction between these variants.  However, some information exists on the individual variants.
    # What is the effect of G1192A (A;A)?
    This variant controls [cognitive function, working memory, and gray matter volume in the brain](https://www.ncbi.nlm.nih.gov/pubmed/24819610). Males with this variant have much faster [information processing](https://www.ncbi.nlm.nih.gov/pubmed/25674902), including [much better behavioral performance, more efficient brain activity, and a larger brain volume.](https://www.ncbi.nlm.nih.gov/pubmed/24819610) Females with this variant exhibit much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an elevated risk and earlier onset of [lung cancer](https://www.ncbi.nlm.nih.gov/pubmed/27543155), [COPD](https://www.ncbi.nlm.nih.gov/pubmed/26771213) and [newborn lung and breathing problems](https://www.ncbi.nlm.nih.gov/pubmed/24838476) in the children of smoking mothers.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</si>
  <si>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There is currently no data on the interaction between these variants.  However, some information exists on the individual variants.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</si>
  <si>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There is currently no data on the interaction between these variants.  However, some information exists on the individual variants.
    # What is the effect of G1192A (A;A)?
    This variant controls [cognitive function, working memory, and gray matter volume in the brain](https://www.ncbi.nlm.nih.gov/pubmed/24819610). Males with this variant have much faster [information processing](https://www.ncbi.nlm.nih.gov/pubmed/25674902), including [much better behavioral performance, more efficient brain activity, and a larger brain volume.](https://www.ncbi.nlm.nih.gov/pubmed/24819610) Females with this variant exhibit much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an elevated risk and earlier onset of [lung cancer](https://www.ncbi.nlm.nih.gov/pubmed/27543155), [COPD](https://www.ncbi.nlm.nih.gov/pubmed/26771213) and [newborn lung and breathing problems](https://www.ncbi.nlm.nih.gov/pubmed/24838476) in the children of smoking mothers.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</si>
  <si>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There is currently no data on the interaction between these variants.  However, some information exists on the individual variants.
    # What is the effect of G1192A (G;A)?
    This variant controls [cognitive function, working memory, and gray matter volume in the brain](https://www.ncbi.nlm.nih.gov/pubmed/24819610). Males with this variant have faster [information processing](https://www.ncbi.nlm.nih.gov/pubmed/25674902), including [much better behavioral performance, more efficient brain activity, and a larger brain volume.](https://www.ncbi.nlm.nih.gov/pubmed/24819610) Females with this variant exhibit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 greater risk for [lung cancer and COPD](https://www.ncbi.nlm.nih.gov/pubmed/27344179).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t>
  </si>
  <si>
    <t xml:space="preserve">    There is currently no data on the interaction between these variants.  However, some information exists on the individual variants.
    # What is the effect of G1192A (G;A)?
    This variant controls [cognitive function, working memory, and gray matter volume in the brain](https://www.ncbi.nlm.nih.gov/pubmed/24819610). Males with this variant have faster [information processing](https://www.ncbi.nlm.nih.gov/pubmed/25674902), including [much better behavioral performance, more efficient brain activity, and a larger brain volume.](https://www.ncbi.nlm.nih.gov/pubmed/24819610) Females with this variant exhibit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 greater risk for [lung cancer and COPD](https://www.ncbi.nlm.nih.gov/pubmed/27344179).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</si>
</sst>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rgb="FF24292E"/>
      <name val="Consolas"/>
      <family val="3"/>
    </font>
    <font>
      <sz val="12"/>
      <color theme="1"/>
      <name val="Calibri"/>
      <family val="2"/>
    </font>
    <font>
      <sz val="12"/>
      <color rgb="FF24292E"/>
      <name val="Segoe UI"/>
      <family val="2"/>
    </font>
    <font>
      <sz val="10"/>
      <color rgb="FF000000"/>
      <name val="Arial"/>
      <family val="2"/>
    </font>
    <font>
      <sz val="10"/>
      <color theme="1"/>
      <name val="Arial"/>
      <family val="2"/>
    </font>
    <font>
      <b/>
      <sz val="12"/>
      <color theme="1"/>
      <name val="Calibri"/>
      <family val="2"/>
    </font>
    <font>
      <sz val="10"/>
      <color theme="1"/>
      <name val="Times New Roman"/>
      <family val="1"/>
    </font>
    <font>
      <sz val="12"/>
      <color theme="1"/>
      <name val="Times New Roman"/>
      <family val="1"/>
    </font>
    <font>
      <sz val="12"/>
      <color rgb="FF24292E"/>
      <name val="Calibri"/>
      <family val="2"/>
    </font>
    <font>
      <sz val="11"/>
      <color rgb="FF000000"/>
      <name val="Calibri"/>
      <family val="2"/>
      <scheme val="minor"/>
    </font>
    <font>
      <sz val="11"/>
      <color rgb="FF000000"/>
      <name val="Calibri"/>
      <family val="2"/>
    </font>
    <font>
      <sz val="12"/>
      <color rgb="FF000000"/>
      <name val="Calibri"/>
      <family val="2"/>
    </font>
    <font>
      <sz val="10"/>
      <color rgb="FF000000"/>
      <name val="Courier New"/>
      <family val="3"/>
    </font>
    <font>
      <b/>
      <sz val="10"/>
      <color rgb="FF000000"/>
      <name val="Arial"/>
      <family val="2"/>
    </font>
    <font>
      <sz val="11"/>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3">
    <xf numFmtId="0" fontId="0" fillId="0" borderId="0" xfId="0"/>
    <xf numFmtId="0" fontId="1" fillId="0" borderId="0" xfId="0" applyFont="1" applyAlignment="1">
      <alignment horizontal="left" vertical="center" indent="1"/>
    </xf>
    <xf numFmtId="0" fontId="0" fillId="0" borderId="0" xfId="0" applyAlignment="1">
      <alignment horizontal="left"/>
    </xf>
    <xf numFmtId="0" fontId="2" fillId="0" borderId="0" xfId="0" applyFont="1" applyAlignment="1"/>
    <xf numFmtId="0" fontId="3" fillId="0" borderId="0" xfId="0" applyFont="1" applyAlignment="1">
      <alignment horizontal="left"/>
    </xf>
    <xf numFmtId="0" fontId="0" fillId="0" borderId="0" xfId="0" applyAlignment="1">
      <alignment horizontal="left" vertical="center" indent="1"/>
    </xf>
    <xf numFmtId="0" fontId="4" fillId="0" borderId="0" xfId="0" applyFont="1"/>
    <xf numFmtId="0" fontId="5" fillId="0" borderId="0" xfId="0" applyFont="1"/>
    <xf numFmtId="0" fontId="6" fillId="0" borderId="0" xfId="0" applyFont="1" applyAlignment="1"/>
    <xf numFmtId="0" fontId="6" fillId="0" borderId="0" xfId="0" applyFont="1" applyAlignment="1">
      <alignment horizontal="left"/>
    </xf>
    <xf numFmtId="0" fontId="2" fillId="0" borderId="0" xfId="0" applyFont="1" applyFill="1" applyAlignment="1"/>
    <xf numFmtId="0" fontId="0" fillId="0" borderId="0" xfId="0" applyFont="1" applyFill="1"/>
    <xf numFmtId="0" fontId="7" fillId="0" borderId="0" xfId="0" applyFont="1"/>
    <xf numFmtId="0" fontId="8" fillId="0" borderId="0" xfId="0" applyFont="1"/>
    <xf numFmtId="0" fontId="9" fillId="0" borderId="0" xfId="0" applyFont="1" applyAlignment="1">
      <alignment horizontal="left" vertical="center"/>
    </xf>
    <xf numFmtId="0" fontId="2" fillId="0" borderId="0" xfId="0" applyFont="1" applyAlignment="1">
      <alignment horizontal="left"/>
    </xf>
    <xf numFmtId="0" fontId="7" fillId="0" borderId="0" xfId="0" applyFont="1" applyAlignment="1">
      <alignment vertical="center" wrapText="1"/>
    </xf>
    <xf numFmtId="0" fontId="0" fillId="0" borderId="0" xfId="0" applyFont="1"/>
    <xf numFmtId="0" fontId="2" fillId="0" borderId="0" xfId="0" applyFont="1" applyAlignment="1">
      <alignment wrapText="1"/>
    </xf>
    <xf numFmtId="0" fontId="9" fillId="2" borderId="0" xfId="0" applyFont="1" applyFill="1" applyAlignment="1">
      <alignment horizontal="left" vertical="center"/>
    </xf>
    <xf numFmtId="0" fontId="2" fillId="2" borderId="0" xfId="0" applyFont="1" applyFill="1" applyAlignment="1">
      <alignment horizontal="left"/>
    </xf>
    <xf numFmtId="0" fontId="2" fillId="2" borderId="0" xfId="0" applyFont="1" applyFill="1" applyAlignment="1"/>
    <xf numFmtId="0" fontId="4" fillId="0" borderId="0" xfId="0" applyFont="1" applyAlignment="1"/>
    <xf numFmtId="0" fontId="10" fillId="0" borderId="0" xfId="0" applyFont="1"/>
    <xf numFmtId="0" fontId="11" fillId="0" borderId="1" xfId="0" applyFont="1" applyBorder="1" applyAlignment="1"/>
    <xf numFmtId="0" fontId="12" fillId="2" borderId="0" xfId="0" applyFont="1" applyFill="1" applyAlignment="1"/>
    <xf numFmtId="0" fontId="2" fillId="0" borderId="0" xfId="0" applyFont="1" applyAlignment="1">
      <alignment horizontal="left" vertical="center"/>
    </xf>
    <xf numFmtId="0" fontId="5" fillId="0" borderId="0" xfId="0" applyFont="1" applyAlignment="1"/>
    <xf numFmtId="0" fontId="2" fillId="2" borderId="0" xfId="0" applyFont="1" applyFill="1" applyAlignment="1">
      <alignment horizontal="left" vertical="center"/>
    </xf>
    <xf numFmtId="0" fontId="12" fillId="0" borderId="0" xfId="0" applyFont="1" applyAlignment="1">
      <alignment horizontal="left"/>
    </xf>
    <xf numFmtId="0" fontId="2" fillId="0" borderId="0" xfId="0" applyFont="1" applyAlignment="1">
      <alignment vertical="center"/>
    </xf>
    <xf numFmtId="0" fontId="13" fillId="0" borderId="0" xfId="0" applyFont="1" applyAlignment="1">
      <alignment vertical="center"/>
    </xf>
    <xf numFmtId="0" fontId="2" fillId="0" borderId="0" xfId="0" applyFont="1" applyFill="1" applyAlignment="1">
      <alignment horizontal="left" vertical="center"/>
    </xf>
    <xf numFmtId="0" fontId="2" fillId="0" borderId="0" xfId="0" applyFont="1" applyFill="1" applyAlignment="1">
      <alignment horizontal="left"/>
    </xf>
    <xf numFmtId="0" fontId="13" fillId="0" borderId="0" xfId="0" applyFont="1" applyFill="1" applyAlignment="1">
      <alignment vertical="center"/>
    </xf>
    <xf numFmtId="0" fontId="13" fillId="2" borderId="0" xfId="0" applyFont="1" applyFill="1" applyAlignment="1">
      <alignment vertical="center"/>
    </xf>
    <xf numFmtId="0" fontId="2" fillId="0" borderId="0" xfId="0" applyFont="1" applyAlignment="1">
      <alignment horizontal="left" wrapText="1"/>
    </xf>
    <xf numFmtId="0" fontId="0" fillId="0" borderId="0" xfId="0" applyFill="1"/>
    <xf numFmtId="0" fontId="2" fillId="0" borderId="0" xfId="0" applyFont="1" applyFill="1" applyAlignment="1">
      <alignment wrapText="1"/>
    </xf>
    <xf numFmtId="0" fontId="14" fillId="0" borderId="0" xfId="0" applyFont="1"/>
    <xf numFmtId="0" fontId="15" fillId="0" borderId="0" xfId="0" applyFont="1"/>
    <xf numFmtId="0" fontId="4" fillId="0" borderId="0" xfId="0" applyFont="1" applyAlignment="1">
      <alignmen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41F1-CA0D-4BC2-89E6-247F284FC918}">
  <dimension ref="A1:AJ2519"/>
  <sheetViews>
    <sheetView topLeftCell="A43" zoomScaleNormal="100" workbookViewId="0">
      <selection activeCell="C53" sqref="C53:C55"/>
    </sheetView>
  </sheetViews>
  <sheetFormatPr defaultRowHeight="15.75" x14ac:dyDescent="0.25"/>
  <cols>
    <col min="1" max="1" width="16.28515625" style="3" customWidth="1"/>
    <col min="2" max="2" width="58.28515625" style="15" customWidth="1"/>
    <col min="3" max="6" width="9.140625" style="3"/>
    <col min="7" max="7" width="10.28515625" style="3" bestFit="1" customWidth="1"/>
    <col min="8" max="8" width="13" style="3" customWidth="1"/>
    <col min="9" max="9" width="13.42578125" style="3" customWidth="1"/>
    <col min="10" max="10" width="11.85546875" style="3" customWidth="1"/>
    <col min="11" max="11" width="12.85546875" style="3" customWidth="1"/>
    <col min="12" max="12" width="13.5703125" style="3" customWidth="1"/>
    <col min="13" max="13" width="12" style="3" customWidth="1"/>
    <col min="14" max="14" width="12.85546875" style="3" customWidth="1"/>
    <col min="15" max="16" width="9.140625" style="3"/>
    <col min="17" max="17" width="17.42578125" style="3" customWidth="1"/>
    <col min="18" max="18" width="15.5703125" style="3" customWidth="1"/>
    <col min="19" max="23" width="15.42578125" style="3" bestFit="1" customWidth="1"/>
    <col min="24" max="24" width="14.85546875" style="3" customWidth="1"/>
    <col min="25" max="25" width="16.7109375" style="3" customWidth="1"/>
    <col min="26" max="26" width="19.42578125" style="3" customWidth="1"/>
    <col min="27" max="27" width="18" style="3" customWidth="1"/>
    <col min="28" max="28" width="17.85546875" style="3" customWidth="1"/>
    <col min="29" max="29" width="16" style="3" customWidth="1"/>
    <col min="30" max="30" width="9.140625" style="3"/>
    <col min="31" max="31" width="12.85546875" style="3" bestFit="1" customWidth="1"/>
    <col min="32" max="32" width="11.7109375" style="3" bestFit="1" customWidth="1"/>
    <col min="33" max="16384" width="9.140625" style="3"/>
  </cols>
  <sheetData>
    <row r="1" spans="1:36" x14ac:dyDescent="0.25">
      <c r="A1" s="8" t="s">
        <v>0</v>
      </c>
      <c r="B1" s="9" t="s">
        <v>1</v>
      </c>
      <c r="C1" s="8" t="s">
        <v>2</v>
      </c>
      <c r="H1" s="10"/>
      <c r="I1" s="11"/>
      <c r="J1" s="10"/>
      <c r="K1" s="10"/>
      <c r="L1" s="10"/>
      <c r="Y1" s="12"/>
      <c r="AC1" s="12"/>
      <c r="AF1" s="13"/>
      <c r="AG1" s="13"/>
      <c r="AJ1" s="13"/>
    </row>
    <row r="2" spans="1:36" x14ac:dyDescent="0.25">
      <c r="A2" s="14" t="s">
        <v>35</v>
      </c>
      <c r="B2" t="s">
        <v>87</v>
      </c>
      <c r="C2" s="3" t="str">
        <f>CONCATENATE("&lt;",A2," ",B2," /&gt;")</f>
        <v>&lt;Gene_Name GRIK3 /&gt;</v>
      </c>
      <c r="D2" s="15"/>
      <c r="H2" s="10"/>
      <c r="I2" s="11"/>
      <c r="J2" s="10"/>
      <c r="K2" s="10"/>
      <c r="L2" s="10"/>
      <c r="Y2" s="12"/>
      <c r="AC2" s="12"/>
      <c r="AF2" s="13"/>
      <c r="AG2" s="13"/>
      <c r="AJ2" s="13"/>
    </row>
    <row r="3" spans="1:36" x14ac:dyDescent="0.25">
      <c r="A3" s="8"/>
      <c r="B3" s="9"/>
      <c r="C3" s="8"/>
      <c r="D3" s="15"/>
      <c r="H3" s="10"/>
      <c r="I3" s="11"/>
      <c r="J3" s="10"/>
      <c r="K3" s="10"/>
      <c r="L3" s="10"/>
      <c r="Y3" s="12"/>
      <c r="AC3" s="12"/>
      <c r="AF3" s="13"/>
      <c r="AG3" s="13"/>
      <c r="AJ3" s="13"/>
    </row>
    <row r="4" spans="1:36" x14ac:dyDescent="0.25">
      <c r="A4" s="14" t="s">
        <v>37</v>
      </c>
      <c r="B4" s="15" t="s">
        <v>88</v>
      </c>
      <c r="C4" s="3" t="str">
        <f>CONCATENATE("&lt;",A4," ",B4," /&gt;")</f>
        <v>&lt;GeneName_full Glutamate receptor ionotropic, kainate 3 /&gt;</v>
      </c>
      <c r="D4" s="15"/>
      <c r="H4" s="10"/>
      <c r="I4" s="11"/>
      <c r="J4" s="10"/>
      <c r="K4" s="10"/>
      <c r="L4" s="10"/>
      <c r="Y4" s="12"/>
      <c r="AC4" s="12"/>
      <c r="AF4" s="13"/>
      <c r="AG4" s="13"/>
      <c r="AJ4" s="13"/>
    </row>
    <row r="5" spans="1:36" x14ac:dyDescent="0.25">
      <c r="A5" s="14"/>
      <c r="B5" s="9"/>
      <c r="C5" s="8"/>
      <c r="D5" s="15"/>
      <c r="H5" s="10"/>
      <c r="I5" s="11"/>
      <c r="J5" s="10"/>
      <c r="K5" s="10"/>
      <c r="L5" s="10"/>
      <c r="Y5" s="12"/>
      <c r="AC5" s="12"/>
      <c r="AF5" s="13"/>
      <c r="AG5" s="13"/>
      <c r="AJ5" s="13"/>
    </row>
    <row r="6" spans="1:36" x14ac:dyDescent="0.25">
      <c r="A6" s="14"/>
      <c r="B6" s="3"/>
      <c r="C6" s="3" t="str">
        <f>CONCATENATE("# What does the ",B2," gene do?")</f>
        <v># What does the GRIK3 gene do?</v>
      </c>
      <c r="H6" s="10"/>
      <c r="I6" s="11"/>
      <c r="J6" s="10"/>
      <c r="K6" s="10"/>
      <c r="L6" s="10"/>
      <c r="Y6" s="16"/>
      <c r="Z6" s="16"/>
      <c r="AA6" s="16"/>
      <c r="AC6" s="16"/>
      <c r="AF6" s="13"/>
      <c r="AJ6" s="13"/>
    </row>
    <row r="7" spans="1:36" x14ac:dyDescent="0.25">
      <c r="A7" s="14"/>
      <c r="I7" s="17"/>
      <c r="Y7" s="16"/>
      <c r="Z7" s="16"/>
      <c r="AA7" s="16"/>
      <c r="AC7" s="16"/>
      <c r="AF7" s="13"/>
      <c r="AJ7" s="13"/>
    </row>
    <row r="8" spans="1:36" x14ac:dyDescent="0.25">
      <c r="A8" s="14" t="s">
        <v>5</v>
      </c>
      <c r="B8" s="37" t="s">
        <v>89</v>
      </c>
      <c r="C8" s="3" t="str">
        <f>CONCATENATE(B8," This gene is located on chromosome ",B9,".")</f>
        <v>The GRIK3 gene creates a protein that helps form receptors for the neurotransmitter [glutamate](https://www.nimh.nih.gov/health/educational-resources/brain-basics/brain-basics.shtml). It increases the chance neurons will fire and enhances the electrical flow among brain cells, but elevated levels of glutamate are toxic to neurons. Problems creating or absorbing glutamate are linked to ME/CFS, [major](https://www.ncbi.nlm.nih.gov/pubmed/16958029) [depressive disorder](https://www.ncbi.nlm.nih.gov/pubmed/19221446/), [schizophrenia](https://www.ncbi.nlm.nih.gov/pubmed/19921975/), [and memory problems](https://www.nimh.nih.gov/health/educational-resources/brain-basics/brain-basics.shtml). This gene is located on chromosome 1.</v>
      </c>
      <c r="I8" s="17"/>
      <c r="X8" s="18"/>
      <c r="Y8" s="16"/>
      <c r="Z8" s="16"/>
      <c r="AA8" s="16"/>
      <c r="AC8" s="16"/>
    </row>
    <row r="9" spans="1:36" x14ac:dyDescent="0.25">
      <c r="A9" s="14" t="s">
        <v>6</v>
      </c>
      <c r="B9" s="2">
        <v>1</v>
      </c>
      <c r="I9" s="17"/>
      <c r="Y9" s="16"/>
      <c r="Z9" s="16"/>
      <c r="AA9" s="16"/>
      <c r="AC9" s="16"/>
    </row>
    <row r="10" spans="1:36" x14ac:dyDescent="0.25">
      <c r="A10" s="14" t="s">
        <v>7</v>
      </c>
      <c r="B10" s="2" t="s">
        <v>40</v>
      </c>
      <c r="Y10" s="12"/>
      <c r="AC10" s="16"/>
    </row>
    <row r="11" spans="1:36" s="21" customFormat="1" ht="16.5" thickBot="1" x14ac:dyDescent="0.3">
      <c r="A11" s="19"/>
      <c r="B11" s="20"/>
    </row>
    <row r="12" spans="1:36" ht="16.5" thickBot="1" x14ac:dyDescent="0.3">
      <c r="A12" s="14" t="s">
        <v>3</v>
      </c>
      <c r="B12" t="s">
        <v>87</v>
      </c>
      <c r="C12" s="3" t="str">
        <f>CONCATENATE("&lt;GeneMap name= ",CHAR(34),B12,CHAR(34)," interval=",CHAR(34),B13,"=",CHAR(34),"&gt;")</f>
        <v>&lt;GeneMap name= "GRIK3" interval="NC000001_1.11:g.1111_9999="&gt;</v>
      </c>
      <c r="J12" s="23"/>
      <c r="K12" s="23"/>
      <c r="L12" s="23"/>
      <c r="M12" s="23"/>
      <c r="N12" s="23"/>
      <c r="O12" s="24"/>
      <c r="P12" s="25"/>
      <c r="Q12" s="24"/>
      <c r="R12" s="24"/>
      <c r="S12" s="25"/>
      <c r="T12" s="25"/>
      <c r="U12" s="24"/>
      <c r="V12" s="24"/>
      <c r="W12" s="25"/>
      <c r="X12" s="25"/>
      <c r="Y12" s="25"/>
      <c r="Z12" s="25"/>
    </row>
    <row r="13" spans="1:36" x14ac:dyDescent="0.25">
      <c r="A13" s="14" t="s">
        <v>9</v>
      </c>
      <c r="B13" t="s">
        <v>90</v>
      </c>
      <c r="J13" s="15"/>
      <c r="K13" s="15"/>
      <c r="L13" s="15"/>
      <c r="M13" s="15"/>
      <c r="N13" s="15"/>
      <c r="O13" s="15"/>
      <c r="P13" s="15"/>
      <c r="Q13" s="15"/>
      <c r="R13" s="15"/>
      <c r="S13" s="15"/>
      <c r="T13" s="15"/>
      <c r="U13" s="15"/>
      <c r="V13" s="15"/>
      <c r="W13" s="15"/>
      <c r="X13" s="15"/>
      <c r="Y13" s="15"/>
      <c r="Z13" s="15"/>
    </row>
    <row r="14" spans="1:36" x14ac:dyDescent="0.25">
      <c r="A14" s="14" t="s">
        <v>11</v>
      </c>
      <c r="B14" t="s">
        <v>91</v>
      </c>
      <c r="C14" s="3" t="str">
        <f>CONCATENATE("# What are some common variants of ",B12,"?")</f>
        <v># What are some common variants of GRIK3?</v>
      </c>
      <c r="J14" s="15"/>
      <c r="K14" s="15"/>
      <c r="L14" s="15"/>
      <c r="M14" s="15"/>
      <c r="N14" s="15"/>
      <c r="O14" s="15"/>
      <c r="P14" s="15"/>
      <c r="Q14" s="15"/>
      <c r="R14" s="15"/>
      <c r="S14" s="15"/>
      <c r="T14" s="15"/>
      <c r="U14" s="15"/>
      <c r="V14" s="15"/>
      <c r="W14" s="15"/>
      <c r="X14" s="15"/>
      <c r="Y14" s="15"/>
      <c r="Z14" s="15"/>
    </row>
    <row r="15" spans="1:36" x14ac:dyDescent="0.25">
      <c r="A15" s="14"/>
      <c r="B15" s="2"/>
      <c r="C15" s="3" t="s">
        <v>13</v>
      </c>
      <c r="J15" s="15"/>
      <c r="K15" s="15"/>
      <c r="L15" s="15"/>
      <c r="M15" s="15"/>
      <c r="N15" s="15"/>
      <c r="O15" s="15"/>
      <c r="P15" s="15"/>
      <c r="Q15" s="15"/>
      <c r="R15" s="15"/>
      <c r="S15" s="15"/>
      <c r="T15" s="15"/>
      <c r="U15" s="15"/>
      <c r="V15" s="15"/>
      <c r="W15" s="15"/>
      <c r="X15" s="15"/>
      <c r="Y15" s="15"/>
      <c r="Z15" s="15"/>
    </row>
    <row r="16" spans="1:36" x14ac:dyDescent="0.25">
      <c r="B16" s="2"/>
      <c r="C16" s="3" t="str">
        <f>CONCATENATE("A variant is a change at a specific point in the gene from the expected nucleotide sequence to another, resulting in incorrect ", B10," function. There are ",B14," common variants in ",B12,": ",B22,", ",B31,", and ",B40,".")</f>
        <v>A variant is a change at a specific point in the gene from the expected nucleotide sequence to another, resulting in incorrect protein function. There are three common variants in GRIK3: [T928G](https://www.ncbi.nlm.nih.gov/projects/SNP/snp_ref.cgi?rs=6691840)[(Ser310Ala)](https://www.ncbi.nlm.nih.gov/pubmed/11986986), [C36983994T](https://www.ncbi.nlm.nih.gov/projects/SNP/snp_ref.cgi?rs=3913434), and [A7783504C](https://www.ncbi.nlm.nih.gov/projects/SNP/snp_ref.cgi?rs=270838).</v>
      </c>
      <c r="J16" s="15"/>
      <c r="K16" s="15"/>
      <c r="L16" s="15"/>
      <c r="M16" s="15"/>
      <c r="N16" s="15"/>
      <c r="O16" s="15"/>
      <c r="P16" s="15"/>
      <c r="Q16" s="15"/>
      <c r="R16" s="15"/>
      <c r="S16" s="15"/>
      <c r="T16" s="15"/>
      <c r="U16" s="15"/>
      <c r="V16" s="15"/>
      <c r="W16" s="15"/>
      <c r="X16" s="15"/>
      <c r="Y16" s="15"/>
      <c r="Z16" s="15"/>
    </row>
    <row r="17" spans="1:26" x14ac:dyDescent="0.25">
      <c r="B17" s="2"/>
      <c r="J17" s="15"/>
      <c r="K17" s="15"/>
      <c r="L17" s="15"/>
      <c r="M17" s="15"/>
      <c r="N17" s="15"/>
      <c r="O17" s="15"/>
      <c r="P17" s="15"/>
      <c r="Q17" s="15"/>
      <c r="R17" s="15"/>
      <c r="S17" s="15"/>
      <c r="T17" s="15"/>
      <c r="U17" s="15"/>
      <c r="V17" s="15"/>
      <c r="W17" s="15"/>
      <c r="X17" s="15"/>
      <c r="Y17" s="15"/>
      <c r="Z17" s="15"/>
    </row>
    <row r="18" spans="1:26" x14ac:dyDescent="0.25">
      <c r="A18" s="14" t="s">
        <v>14</v>
      </c>
      <c r="B18" s="6" t="s">
        <v>98</v>
      </c>
      <c r="C18" s="3" t="str">
        <f>CONCATENATE("&lt;# ",B19," #&gt;")</f>
        <v>&lt;# T928G #&gt;</v>
      </c>
      <c r="J18" s="15"/>
      <c r="K18" s="15"/>
      <c r="L18" s="15"/>
      <c r="M18" s="15"/>
      <c r="N18" s="15"/>
      <c r="O18" s="15"/>
      <c r="P18" s="15"/>
      <c r="Q18" s="15"/>
      <c r="R18" s="15"/>
      <c r="S18" s="15"/>
      <c r="T18" s="15"/>
      <c r="U18" s="15"/>
      <c r="V18" s="15"/>
      <c r="W18" s="15"/>
      <c r="X18" s="15"/>
      <c r="Y18" s="15"/>
      <c r="Z18" s="15"/>
    </row>
    <row r="19" spans="1:26" x14ac:dyDescent="0.25">
      <c r="A19" s="26" t="s">
        <v>15</v>
      </c>
      <c r="B19" t="s">
        <v>92</v>
      </c>
      <c r="J19" s="6"/>
      <c r="K19" s="15"/>
      <c r="L19" s="15"/>
      <c r="M19" s="15"/>
      <c r="N19" s="15"/>
      <c r="O19" s="15"/>
      <c r="P19" s="15"/>
      <c r="Q19" s="15"/>
      <c r="R19" s="15"/>
      <c r="S19" s="15"/>
      <c r="T19" s="15"/>
      <c r="U19" s="15"/>
      <c r="V19" s="15"/>
      <c r="W19" s="15"/>
      <c r="X19" s="15"/>
      <c r="Y19" s="15"/>
      <c r="Z19" s="15"/>
    </row>
    <row r="20" spans="1:26" x14ac:dyDescent="0.25">
      <c r="A20" s="26" t="s">
        <v>17</v>
      </c>
      <c r="B20" t="s">
        <v>20</v>
      </c>
      <c r="C20" s="3" t="str">
        <f>CONCATENATE("  &lt;Variant hgvs=",CHAR(34),B18,CHAR(34)," name=",CHAR(34),B19,CHAR(34),"&gt; ")</f>
        <v xml:space="preserve">  &lt;Variant hgvs="NC_000001.10:g.37325477A&gt;G" name="T928G"&gt; </v>
      </c>
      <c r="J20" s="2"/>
      <c r="K20" s="15"/>
      <c r="L20" s="15"/>
      <c r="M20" s="15"/>
      <c r="N20" s="15"/>
      <c r="O20" s="15"/>
      <c r="P20" s="15"/>
      <c r="Q20" s="15"/>
      <c r="R20" s="15"/>
      <c r="S20" s="15"/>
      <c r="T20" s="15"/>
      <c r="U20" s="15"/>
      <c r="V20" s="15"/>
      <c r="W20" s="15"/>
      <c r="X20" s="15"/>
      <c r="Y20" s="15"/>
      <c r="Z20" s="15"/>
    </row>
    <row r="21" spans="1:26" x14ac:dyDescent="0.25">
      <c r="A21" s="26" t="s">
        <v>19</v>
      </c>
      <c r="B21" t="s">
        <v>44</v>
      </c>
      <c r="H21" s="15"/>
      <c r="I21" s="15"/>
      <c r="J21" s="2"/>
      <c r="K21" s="15"/>
      <c r="L21" s="15"/>
      <c r="M21" s="15"/>
      <c r="N21" s="15"/>
      <c r="O21" s="15"/>
      <c r="P21" s="15"/>
      <c r="Q21" s="15"/>
      <c r="R21" s="15"/>
      <c r="S21" s="15"/>
      <c r="T21" s="15"/>
      <c r="U21" s="15"/>
      <c r="V21" s="15"/>
      <c r="W21" s="15"/>
      <c r="X21" s="15"/>
      <c r="Y21" s="15"/>
      <c r="Z21" s="15"/>
    </row>
    <row r="22" spans="1:26" x14ac:dyDescent="0.25">
      <c r="A22" s="26" t="s">
        <v>21</v>
      </c>
      <c r="B22" t="s">
        <v>93</v>
      </c>
      <c r="C22" s="3" t="str">
        <f>CONCATENATE("    Instead of ",B20,", there is a ",B21," nucleotide.")</f>
        <v xml:space="preserve">    Instead of thymine (T), there is a guanine (G) nucleotide.</v>
      </c>
      <c r="H22" s="15"/>
      <c r="I22" s="15"/>
      <c r="J22" s="7"/>
      <c r="K22" s="15"/>
      <c r="L22" s="15"/>
      <c r="M22" s="15"/>
      <c r="N22" s="15"/>
      <c r="O22" s="15"/>
      <c r="P22" s="15"/>
      <c r="Q22" s="15"/>
      <c r="R22" s="15"/>
      <c r="S22" s="15"/>
      <c r="T22" s="15"/>
      <c r="U22" s="15"/>
      <c r="V22" s="15"/>
      <c r="W22" s="15"/>
      <c r="X22" s="15"/>
      <c r="Y22" s="15"/>
      <c r="Z22" s="15"/>
    </row>
    <row r="23" spans="1:26" x14ac:dyDescent="0.25">
      <c r="A23" s="3" t="s">
        <v>65</v>
      </c>
      <c r="B23" s="3" t="s">
        <v>66</v>
      </c>
      <c r="H23" s="2"/>
      <c r="I23" s="2"/>
      <c r="J23" s="15"/>
      <c r="K23" s="15"/>
      <c r="L23" s="15"/>
      <c r="M23" s="15"/>
      <c r="N23" s="15"/>
      <c r="O23" s="15"/>
      <c r="P23" s="15"/>
      <c r="Q23" s="15"/>
      <c r="R23" s="15"/>
      <c r="S23" s="15"/>
      <c r="T23" s="15"/>
      <c r="U23" s="15"/>
      <c r="V23" s="15"/>
      <c r="W23" s="15"/>
      <c r="X23" s="15"/>
      <c r="Y23" s="15"/>
      <c r="Z23" s="15"/>
    </row>
    <row r="24" spans="1:26" x14ac:dyDescent="0.25">
      <c r="A24" s="3" t="s">
        <v>51</v>
      </c>
      <c r="B24" s="7" t="s">
        <v>99</v>
      </c>
      <c r="C24" s="3" t="str">
        <f>"  &lt;/Variant&gt;"</f>
        <v xml:space="preserve">  &lt;/Variant&gt;</v>
      </c>
      <c r="H24" s="2"/>
      <c r="I24" s="2"/>
      <c r="J24" s="15"/>
      <c r="K24" s="15"/>
      <c r="L24" s="15"/>
      <c r="M24" s="15"/>
      <c r="N24" s="15"/>
      <c r="O24" s="15"/>
      <c r="P24" s="15"/>
      <c r="Q24" s="15"/>
      <c r="R24" s="15"/>
      <c r="S24" s="15"/>
      <c r="T24" s="15"/>
      <c r="U24" s="15"/>
      <c r="V24" s="15"/>
      <c r="W24" s="15"/>
      <c r="X24" s="15"/>
      <c r="Y24" s="15"/>
      <c r="Z24" s="15"/>
    </row>
    <row r="25" spans="1:26" x14ac:dyDescent="0.25">
      <c r="A25" s="26" t="s">
        <v>52</v>
      </c>
      <c r="B25" s="7" t="s">
        <v>100</v>
      </c>
      <c r="J25" s="6"/>
    </row>
    <row r="26" spans="1:26" x14ac:dyDescent="0.25">
      <c r="A26" s="26"/>
      <c r="B26" s="7"/>
      <c r="J26" s="6"/>
    </row>
    <row r="27" spans="1:26" x14ac:dyDescent="0.25">
      <c r="A27" s="14" t="s">
        <v>14</v>
      </c>
      <c r="B27" s="6" t="s">
        <v>102</v>
      </c>
      <c r="C27" s="3" t="str">
        <f>CONCATENATE("&lt;# ",B28," #&gt;")</f>
        <v>&lt;# C36983994T #&gt;</v>
      </c>
      <c r="J27" s="6"/>
    </row>
    <row r="28" spans="1:26" x14ac:dyDescent="0.25">
      <c r="A28" s="26" t="s">
        <v>15</v>
      </c>
      <c r="B28" t="s">
        <v>94</v>
      </c>
      <c r="J28" s="2"/>
    </row>
    <row r="29" spans="1:26" x14ac:dyDescent="0.25">
      <c r="A29" s="26" t="s">
        <v>17</v>
      </c>
      <c r="B29" t="str">
        <f>"cytosine (C)"</f>
        <v>cytosine (C)</v>
      </c>
      <c r="C29" s="3" t="str">
        <f>CONCATENATE("  &lt;Variant hgvs=",CHAR(34),B27,CHAR(34)," name=",CHAR(34),B28,CHAR(34),"&gt; ")</f>
        <v xml:space="preserve">  &lt;Variant hgvs="NC_000001.10:g.37449595C&gt;T" name="C36983994T"&gt; </v>
      </c>
      <c r="J29" s="2"/>
    </row>
    <row r="30" spans="1:26" x14ac:dyDescent="0.25">
      <c r="A30" s="26" t="s">
        <v>19</v>
      </c>
      <c r="B30" t="s">
        <v>20</v>
      </c>
      <c r="J30" s="7"/>
    </row>
    <row r="31" spans="1:26" x14ac:dyDescent="0.25">
      <c r="A31" s="26" t="s">
        <v>21</v>
      </c>
      <c r="B31" t="s">
        <v>95</v>
      </c>
      <c r="C31" s="3" t="str">
        <f>CONCATENATE("    Instead of ",B29,", there is a ",B30," nucleotide.")</f>
        <v xml:space="preserve">    Instead of cytosine (C), there is a thymine (T) nucleotide.</v>
      </c>
    </row>
    <row r="32" spans="1:26" x14ac:dyDescent="0.25">
      <c r="A32" s="3" t="s">
        <v>65</v>
      </c>
      <c r="B32" s="3" t="s">
        <v>66</v>
      </c>
      <c r="J32" s="7"/>
    </row>
    <row r="33" spans="1:13" x14ac:dyDescent="0.25">
      <c r="A33" s="3" t="s">
        <v>51</v>
      </c>
      <c r="B33" s="3" t="s">
        <v>103</v>
      </c>
      <c r="C33" s="3" t="str">
        <f>"  &lt;/Variant&gt;"</f>
        <v xml:space="preserve">  &lt;/Variant&gt;</v>
      </c>
      <c r="J33" s="7"/>
    </row>
    <row r="34" spans="1:13" x14ac:dyDescent="0.25">
      <c r="A34" s="26" t="s">
        <v>52</v>
      </c>
      <c r="B34" s="7" t="s">
        <v>104</v>
      </c>
    </row>
    <row r="35" spans="1:13" x14ac:dyDescent="0.25">
      <c r="B35" s="3"/>
    </row>
    <row r="36" spans="1:13" x14ac:dyDescent="0.25">
      <c r="A36" s="14" t="s">
        <v>14</v>
      </c>
      <c r="B36" s="6" t="s">
        <v>101</v>
      </c>
      <c r="C36" s="3" t="str">
        <f>CONCATENATE("&lt;# ",B37," #&gt;")</f>
        <v>&lt;# A7783504C #&gt;</v>
      </c>
      <c r="J36" s="6"/>
    </row>
    <row r="37" spans="1:13" x14ac:dyDescent="0.25">
      <c r="A37" s="26" t="s">
        <v>15</v>
      </c>
      <c r="B37" t="s">
        <v>96</v>
      </c>
      <c r="J37" s="2"/>
    </row>
    <row r="38" spans="1:13" x14ac:dyDescent="0.25">
      <c r="A38" s="26" t="s">
        <v>17</v>
      </c>
      <c r="B38" t="s">
        <v>24</v>
      </c>
      <c r="C38" s="3" t="str">
        <f>CONCATENATE("  &lt;Variant hgvs=",CHAR(34),B36,CHAR(34)," name=",CHAR(34),B37,CHAR(34),"&gt; ")</f>
        <v xml:space="preserve">  &lt;Variant hgvs="NC_000002.11:g.7783504A&gt;C" name="A7783504C"&gt; </v>
      </c>
      <c r="J38" s="2"/>
    </row>
    <row r="39" spans="1:13" x14ac:dyDescent="0.25">
      <c r="A39" s="26" t="s">
        <v>19</v>
      </c>
      <c r="B39" t="str">
        <f>"cytosine (C)"</f>
        <v>cytosine (C)</v>
      </c>
      <c r="J39" s="7"/>
    </row>
    <row r="40" spans="1:13" x14ac:dyDescent="0.25">
      <c r="A40" s="26" t="s">
        <v>21</v>
      </c>
      <c r="B40" t="s">
        <v>97</v>
      </c>
      <c r="C40" s="3" t="str">
        <f>CONCATENATE("    Instead of ",B38,", there is a ",B39," nucleotide.")</f>
        <v xml:space="preserve">    Instead of adenine (A), there is a cytosine (C) nucleotide.</v>
      </c>
    </row>
    <row r="41" spans="1:13" x14ac:dyDescent="0.25">
      <c r="A41" s="3" t="s">
        <v>65</v>
      </c>
      <c r="B41" s="3" t="s">
        <v>105</v>
      </c>
      <c r="J41" s="7"/>
    </row>
    <row r="42" spans="1:13" x14ac:dyDescent="0.25">
      <c r="A42" s="3" t="s">
        <v>51</v>
      </c>
      <c r="B42" s="3" t="s">
        <v>106</v>
      </c>
      <c r="C42" s="3" t="str">
        <f>"  &lt;/Variant&gt;"</f>
        <v xml:space="preserve">  &lt;/Variant&gt;</v>
      </c>
      <c r="J42" s="7"/>
    </row>
    <row r="43" spans="1:13" x14ac:dyDescent="0.25">
      <c r="A43" s="26" t="s">
        <v>52</v>
      </c>
      <c r="B43" s="7" t="s">
        <v>107</v>
      </c>
    </row>
    <row r="44" spans="1:13" x14ac:dyDescent="0.25">
      <c r="B44" s="3"/>
    </row>
    <row r="45" spans="1:13" s="21" customFormat="1" x14ac:dyDescent="0.25">
      <c r="A45" s="28"/>
      <c r="B45" s="20"/>
    </row>
    <row r="46" spans="1:13" s="10" customFormat="1" x14ac:dyDescent="0.25">
      <c r="A46" s="32"/>
      <c r="B46" s="33"/>
      <c r="C46" s="34" t="s">
        <v>62</v>
      </c>
      <c r="L46" s="38"/>
    </row>
    <row r="47" spans="1:13" s="10" customFormat="1" x14ac:dyDescent="0.25">
      <c r="A47" s="32"/>
      <c r="B47" s="33"/>
      <c r="K47" s="10" t="s">
        <v>108</v>
      </c>
      <c r="L47" s="38" t="s">
        <v>110</v>
      </c>
      <c r="M47" s="11" t="s">
        <v>109</v>
      </c>
    </row>
    <row r="48" spans="1:13" s="21" customFormat="1" x14ac:dyDescent="0.25">
      <c r="A48" s="28" t="s">
        <v>70</v>
      </c>
      <c r="B48" s="20" t="str">
        <f>CONCATENATE(B19," (T;G)")</f>
        <v>T928G (T;G)</v>
      </c>
      <c r="C48" s="21" t="str">
        <f>CONCATENATE("&lt;# ",B48," #&gt;")</f>
        <v>&lt;# T928G (T;G) #&gt;</v>
      </c>
      <c r="K48" s="21" t="str">
        <f>B19</f>
        <v>T928G</v>
      </c>
      <c r="L48" s="21" t="str">
        <f>B28</f>
        <v>C36983994T</v>
      </c>
      <c r="M48" s="21" t="str">
        <f>B37</f>
        <v>A7783504C</v>
      </c>
    </row>
    <row r="49" spans="1:13" s="10" customFormat="1" x14ac:dyDescent="0.25">
      <c r="A49" s="3" t="s">
        <v>21</v>
      </c>
      <c r="B49" s="29" t="str">
        <f>K52</f>
        <v>NC_000001.10:g.[37325477A&gt;G];[37325477=]</v>
      </c>
      <c r="J49" s="3"/>
      <c r="K49" s="22" t="str">
        <f>B23</f>
        <v>NC_000001.10:g.</v>
      </c>
      <c r="L49" s="22" t="str">
        <f>B32</f>
        <v>NC_000001.10:g.</v>
      </c>
      <c r="M49" s="10" t="str">
        <f>B41</f>
        <v>NC_000002.11:g.</v>
      </c>
    </row>
    <row r="50" spans="1:13" x14ac:dyDescent="0.25">
      <c r="B50" s="29"/>
      <c r="C50" s="3" t="str">
        <f>CONCATENATE("  &lt;Analysis name=",CHAR(34),B48,CHAR(34))</f>
        <v xml:space="preserve">  &lt;Analysis name="T928G (T;G)"</v>
      </c>
      <c r="J50" s="3" t="s">
        <v>21</v>
      </c>
      <c r="K50" s="15" t="str">
        <f>B24</f>
        <v>[37325477A&gt;G]</v>
      </c>
      <c r="L50" s="22" t="str">
        <f>B33</f>
        <v>[37449595C&gt;T]</v>
      </c>
      <c r="M50" s="10" t="str">
        <f t="shared" ref="M50:M51" si="0">B42</f>
        <v>[7783504A&gt;C]</v>
      </c>
    </row>
    <row r="51" spans="1:13" x14ac:dyDescent="0.25">
      <c r="A51" s="5" t="s">
        <v>27</v>
      </c>
      <c r="B51" s="2" t="str">
        <f>CONCATENATE("People with this variant have one copy of the ",B22," variant. This substitution of a single nucleotide is known as a missense mutation.")</f>
        <v>People with this variant have one copy of the [T928G](https://www.ncbi.nlm.nih.gov/projects/SNP/snp_ref.cgi?rs=6691840)[(Ser310Ala)](https://www.ncbi.nlm.nih.gov/pubmed/11986986) variant. This substitution of a single nucleotide is known as a missense mutation.</v>
      </c>
      <c r="C51" s="3" t="str">
        <f>CONCATENATE("            case={  variantCall ",CHAR(40),CHAR(34),K52,CHAR(34),CHAR(41))</f>
        <v xml:space="preserve">            case={  variantCall ("NC_000001.10:g.[37325477A&gt;G];[37325477=]")</v>
      </c>
      <c r="J51" s="3" t="s">
        <v>52</v>
      </c>
      <c r="K51" s="15" t="str">
        <f>B25</f>
        <v>[37325477=]</v>
      </c>
      <c r="L51" s="22" t="str">
        <f>B34</f>
        <v>[37449595=]</v>
      </c>
      <c r="M51" s="10" t="str">
        <f t="shared" si="0"/>
        <v>[7783504=]</v>
      </c>
    </row>
    <row r="52" spans="1:13" x14ac:dyDescent="0.25">
      <c r="A52" s="1" t="s">
        <v>28</v>
      </c>
      <c r="B52" s="29" t="s">
        <v>112</v>
      </c>
      <c r="C52" s="3" t="s">
        <v>71</v>
      </c>
      <c r="J52" s="3" t="s">
        <v>63</v>
      </c>
      <c r="K52" s="15" t="str">
        <f>CONCATENATE(K49,K50,";",K51)</f>
        <v>NC_000001.10:g.[37325477A&gt;G];[37325477=]</v>
      </c>
      <c r="L52" s="15" t="str">
        <f>CONCATENATE(L49,L50,";",L51)</f>
        <v>NC_000001.10:g.[37449595C&gt;T];[37449595=]</v>
      </c>
      <c r="M52" s="15" t="str">
        <f>CONCATENATE(M49,M50,";",M51)</f>
        <v>NC_000002.11:g.[7783504A&gt;C];[7783504=]</v>
      </c>
    </row>
    <row r="53" spans="1:13" x14ac:dyDescent="0.25">
      <c r="A53" s="3" t="s">
        <v>73</v>
      </c>
      <c r="B53" s="29">
        <f>K55</f>
        <v>43</v>
      </c>
      <c r="C53" s="3" t="str">
        <f>CONCATENATE("                    ",CHAR(40),"variantCall ",CHAR(40),CHAR(34),L53,CHAR(34),CHAR(41)," or variantCall ",CHAR(40),CHAR(34),L54,CHAR(34),CHAR(41),CHAR(41))</f>
        <v xml:space="preserve">                    (variantCall ("NC_000001.10:g.[37449595C&gt;T];[37449595C&gt;T]") or variantCall ("NC_000001.10:g.[37449595=];[37449595=]"))</v>
      </c>
      <c r="J53" s="3" t="s">
        <v>64</v>
      </c>
      <c r="K53" s="15" t="str">
        <f>CONCATENATE(K49,K50,";",K50)</f>
        <v>NC_000001.10:g.[37325477A&gt;G];[37325477A&gt;G]</v>
      </c>
      <c r="L53" s="15" t="str">
        <f>CONCATENATE(L49,L50,";",L50)</f>
        <v>NC_000001.10:g.[37449595C&gt;T];[37449595C&gt;T]</v>
      </c>
      <c r="M53" s="15" t="str">
        <f>CONCATENATE(M49,M50,";",M50)</f>
        <v>NC_000002.11:g.[7783504A&gt;C];[7783504A&gt;C]</v>
      </c>
    </row>
    <row r="54" spans="1:13" x14ac:dyDescent="0.25">
      <c r="C54" s="3" t="s">
        <v>71</v>
      </c>
      <c r="J54" s="3" t="s">
        <v>52</v>
      </c>
      <c r="K54" s="2" t="str">
        <f>CONCATENATE(K49,K51,";",K51)</f>
        <v>NC_000001.10:g.[37325477=];[37325477=]</v>
      </c>
      <c r="L54" s="2" t="str">
        <f>CONCATENATE(L49,L51,";",L51)</f>
        <v>NC_000001.10:g.[37449595=];[37449595=]</v>
      </c>
      <c r="M54" s="2" t="str">
        <f>CONCATENATE(M49,M51,";",M51)</f>
        <v>NC_000002.11:g.[7783504=];[7783504=]</v>
      </c>
    </row>
    <row r="55" spans="1:13" x14ac:dyDescent="0.25">
      <c r="C55" s="3" t="str">
        <f>CONCATENATE("                    ",CHAR(40),"variantCall ",CHAR(40),CHAR(34),M53,CHAR(34),CHAR(41)," or variantCall ",CHAR(40),CHAR(34),M54,CHAR(34),CHAR(41),CHAR(41))</f>
        <v xml:space="preserve">                    (variantCall ("NC_000002.11:g.[7783504A&gt;C];[7783504A&gt;C]") or variantCall ("NC_000002.11:g.[7783504=];[7783504=]"))</v>
      </c>
      <c r="J55" s="3" t="s">
        <v>67</v>
      </c>
      <c r="K55">
        <v>43</v>
      </c>
      <c r="L55" s="2">
        <v>1.8</v>
      </c>
      <c r="M55" s="2">
        <v>15.8</v>
      </c>
    </row>
    <row r="56" spans="1:13" x14ac:dyDescent="0.25">
      <c r="A56" s="14"/>
      <c r="C56" s="3" t="str">
        <f>CONCATENATE("                  } &gt; ")</f>
        <v xml:space="preserve">                  } &gt; </v>
      </c>
      <c r="J56" s="3" t="s">
        <v>68</v>
      </c>
      <c r="K56">
        <v>19.899999999999999</v>
      </c>
      <c r="L56" s="2">
        <v>0.5</v>
      </c>
      <c r="M56" s="2">
        <v>4.7</v>
      </c>
    </row>
    <row r="57" spans="1:13" x14ac:dyDescent="0.25">
      <c r="A57" s="26"/>
      <c r="J57" s="3" t="s">
        <v>69</v>
      </c>
      <c r="K57" s="2">
        <v>37.1</v>
      </c>
      <c r="L57" s="2">
        <v>97.8</v>
      </c>
      <c r="M57" s="2">
        <v>79.5</v>
      </c>
    </row>
    <row r="58" spans="1:13" x14ac:dyDescent="0.25">
      <c r="A58" s="14"/>
      <c r="C58" s="3" t="s">
        <v>26</v>
      </c>
      <c r="K58"/>
      <c r="L58" s="2"/>
      <c r="M58" s="2"/>
    </row>
    <row r="59" spans="1:13" x14ac:dyDescent="0.25">
      <c r="A59" s="14"/>
      <c r="K59" s="15"/>
      <c r="L59" s="15"/>
      <c r="M59" s="15"/>
    </row>
    <row r="60" spans="1:13" x14ac:dyDescent="0.25">
      <c r="A60" s="26"/>
      <c r="C60" s="3" t="str">
        <f>CONCATENATE("    ",B51)</f>
        <v xml:space="preserve">    People with this variant have one copy of the [T928G](https://www.ncbi.nlm.nih.gov/projects/SNP/snp_ref.cgi?rs=6691840)[(Ser310Ala)](https://www.ncbi.nlm.nih.gov/pubmed/11986986) variant. This substitution of a single nucleotide is known as a missense mutation.</v>
      </c>
      <c r="K60" s="15"/>
      <c r="L60" s="15"/>
      <c r="M60" s="15"/>
    </row>
    <row r="61" spans="1:13" x14ac:dyDescent="0.25">
      <c r="A61" s="14"/>
      <c r="K61" s="2"/>
      <c r="L61" s="2"/>
      <c r="M61" s="2"/>
    </row>
    <row r="62" spans="1:13" x14ac:dyDescent="0.25">
      <c r="A62" s="14"/>
      <c r="C62" s="3" t="s">
        <v>29</v>
      </c>
    </row>
    <row r="63" spans="1:13" x14ac:dyDescent="0.25">
      <c r="A63" s="14"/>
    </row>
    <row r="64" spans="1:13" x14ac:dyDescent="0.25">
      <c r="A64" s="14"/>
      <c r="C64" s="3" t="str">
        <f>CONCATENATE(B52)</f>
        <v>Having one copy of this variant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v>
      </c>
    </row>
    <row r="65" spans="1:13" x14ac:dyDescent="0.25">
      <c r="A65" s="26"/>
    </row>
    <row r="66" spans="1:13" x14ac:dyDescent="0.25">
      <c r="A66" s="26"/>
      <c r="C66" s="3" t="s">
        <v>30</v>
      </c>
    </row>
    <row r="67" spans="1:13" x14ac:dyDescent="0.25">
      <c r="A67" s="26"/>
    </row>
    <row r="68" spans="1:13" x14ac:dyDescent="0.25">
      <c r="A68" s="26"/>
      <c r="C68" s="3" t="str">
        <f>CONCATENATE( "    &lt;piechart percentage=",B53," /&gt;")</f>
        <v xml:space="preserve">    &lt;piechart percentage=43 /&gt;</v>
      </c>
    </row>
    <row r="69" spans="1:13" x14ac:dyDescent="0.25">
      <c r="A69" s="26"/>
      <c r="C69" s="3" t="str">
        <f>"  &lt;/Analysis&gt;"</f>
        <v xml:space="preserve">  &lt;/Analysis&gt;</v>
      </c>
      <c r="K69" s="3" t="str">
        <f t="shared" ref="K69:M69" si="1">K47</f>
        <v>rs6691840</v>
      </c>
      <c r="L69" s="3" t="str">
        <f t="shared" si="1"/>
        <v>rs3913434</v>
      </c>
      <c r="M69" s="3" t="str">
        <f t="shared" si="1"/>
        <v>rs270838</v>
      </c>
    </row>
    <row r="70" spans="1:13" s="21" customFormat="1" x14ac:dyDescent="0.25">
      <c r="A70" s="28" t="s">
        <v>70</v>
      </c>
      <c r="B70" s="20" t="str">
        <f>CONCATENATE(B19," (G;G)")</f>
        <v>T928G (G;G)</v>
      </c>
      <c r="C70" s="21" t="str">
        <f>CONCATENATE("&lt;# ",B70," #&gt;")</f>
        <v>&lt;# T928G (G;G) #&gt;</v>
      </c>
      <c r="K70" s="21" t="str">
        <f>K48</f>
        <v>T928G</v>
      </c>
      <c r="L70" s="21" t="str">
        <f>L48</f>
        <v>C36983994T</v>
      </c>
      <c r="M70" s="21" t="str">
        <f>M48</f>
        <v>A7783504C</v>
      </c>
    </row>
    <row r="71" spans="1:13" x14ac:dyDescent="0.25">
      <c r="A71" s="3" t="s">
        <v>21</v>
      </c>
      <c r="B71" s="29" t="str">
        <f>K53</f>
        <v>NC_000001.10:g.[37325477A&gt;G];[37325477A&gt;G]</v>
      </c>
      <c r="C71" s="10"/>
      <c r="K71" s="3" t="str">
        <f>K49</f>
        <v>NC_000001.10:g.</v>
      </c>
      <c r="L71" s="3" t="str">
        <f>L49</f>
        <v>NC_000001.10:g.</v>
      </c>
      <c r="M71" s="3" t="str">
        <f>M49</f>
        <v>NC_000002.11:g.</v>
      </c>
    </row>
    <row r="72" spans="1:13" x14ac:dyDescent="0.25">
      <c r="B72" s="29"/>
      <c r="C72" s="3" t="str">
        <f>CONCATENATE("  &lt;Analysis name=",CHAR(34),B70,CHAR(34))</f>
        <v xml:space="preserve">  &lt;Analysis name="T928G (G;G)"</v>
      </c>
      <c r="J72" s="3" t="str">
        <f t="shared" ref="J72:M72" si="2">J50</f>
        <v>Variant</v>
      </c>
      <c r="K72" s="3" t="str">
        <f t="shared" si="2"/>
        <v>[37325477A&gt;G]</v>
      </c>
      <c r="L72" s="3" t="str">
        <f t="shared" si="2"/>
        <v>[37449595C&gt;T]</v>
      </c>
      <c r="M72" s="3" t="str">
        <f t="shared" si="2"/>
        <v>[7783504A&gt;C]</v>
      </c>
    </row>
    <row r="73" spans="1:13" x14ac:dyDescent="0.25">
      <c r="A73" s="5" t="s">
        <v>75</v>
      </c>
      <c r="B73" s="2" t="str">
        <f>CONCATENATE("People with this variant have two copies of the ",B22," variant. This substitution of a single nucleotide is known as a missense mutation.")</f>
        <v>People with this variant have two copies of the [T928G](https://www.ncbi.nlm.nih.gov/projects/SNP/snp_ref.cgi?rs=6691840)[(Ser310Ala)](https://www.ncbi.nlm.nih.gov/pubmed/11986986) variant. This substitution of a single nucleotide is known as a missense mutation.</v>
      </c>
      <c r="C73" s="3" t="str">
        <f>CONCATENATE("            case={  variantCall ",CHAR(40),CHAR(34),B71,CHAR(34),CHAR(41))</f>
        <v xml:space="preserve">            case={  variantCall ("NC_000001.10:g.[37325477A&gt;G];[37325477A&gt;G]")</v>
      </c>
      <c r="J73" s="3" t="str">
        <f t="shared" ref="J73:M73" si="3">J51</f>
        <v>Wildtype</v>
      </c>
      <c r="K73" s="3" t="str">
        <f t="shared" si="3"/>
        <v>[37325477=]</v>
      </c>
      <c r="L73" s="3" t="str">
        <f t="shared" si="3"/>
        <v>[37449595=]</v>
      </c>
      <c r="M73" s="3" t="str">
        <f t="shared" si="3"/>
        <v>[7783504=]</v>
      </c>
    </row>
    <row r="74" spans="1:13" x14ac:dyDescent="0.25">
      <c r="A74" s="1" t="s">
        <v>28</v>
      </c>
      <c r="B74" s="29" t="s">
        <v>111</v>
      </c>
      <c r="C74" s="3" t="s">
        <v>71</v>
      </c>
      <c r="J74" s="3" t="str">
        <f t="shared" ref="J74:M74" si="4">J52</f>
        <v>Het</v>
      </c>
      <c r="K74" s="3" t="str">
        <f t="shared" si="4"/>
        <v>NC_000001.10:g.[37325477A&gt;G];[37325477=]</v>
      </c>
      <c r="L74" s="3" t="str">
        <f t="shared" si="4"/>
        <v>NC_000001.10:g.[37449595C&gt;T];[37449595=]</v>
      </c>
      <c r="M74" s="3" t="str">
        <f t="shared" si="4"/>
        <v>NC_000002.11:g.[7783504A&gt;C];[7783504=]</v>
      </c>
    </row>
    <row r="75" spans="1:13" x14ac:dyDescent="0.25">
      <c r="A75" s="3" t="s">
        <v>73</v>
      </c>
      <c r="B75" s="29">
        <f>K56</f>
        <v>19.899999999999999</v>
      </c>
      <c r="C75" s="3" t="str">
        <f>CONCATENATE("                    ",CHAR(40),"variantCall ",CHAR(40),CHAR(34),L75,CHAR(34),CHAR(41)," or variantCall ",CHAR(40),CHAR(34),L76,CHAR(34),CHAR(41),CHAR(41))</f>
        <v xml:space="preserve">                    (variantCall ("NC_000001.10:g.[37449595C&gt;T];[37449595C&gt;T]") or variantCall ("NC_000001.10:g.[37449595=];[37449595=]"))</v>
      </c>
      <c r="J75" s="3" t="str">
        <f t="shared" ref="J75:M75" si="5">J53</f>
        <v>Homo</v>
      </c>
      <c r="K75" s="3" t="str">
        <f t="shared" si="5"/>
        <v>NC_000001.10:g.[37325477A&gt;G];[37325477A&gt;G]</v>
      </c>
      <c r="L75" s="3" t="str">
        <f t="shared" si="5"/>
        <v>NC_000001.10:g.[37449595C&gt;T];[37449595C&gt;T]</v>
      </c>
      <c r="M75" s="3" t="str">
        <f t="shared" si="5"/>
        <v>NC_000002.11:g.[7783504A&gt;C];[7783504A&gt;C]</v>
      </c>
    </row>
    <row r="76" spans="1:13" x14ac:dyDescent="0.25">
      <c r="C76" s="3" t="s">
        <v>71</v>
      </c>
      <c r="J76" s="3" t="str">
        <f t="shared" ref="J76:M76" si="6">J54</f>
        <v>Wildtype</v>
      </c>
      <c r="K76" s="3" t="str">
        <f t="shared" si="6"/>
        <v>NC_000001.10:g.[37325477=];[37325477=]</v>
      </c>
      <c r="L76" s="3" t="str">
        <f t="shared" si="6"/>
        <v>NC_000001.10:g.[37449595=];[37449595=]</v>
      </c>
      <c r="M76" s="3" t="str">
        <f t="shared" si="6"/>
        <v>NC_000002.11:g.[7783504=];[7783504=]</v>
      </c>
    </row>
    <row r="77" spans="1:13" x14ac:dyDescent="0.25">
      <c r="C77" s="3" t="str">
        <f>CONCATENATE("                    ",CHAR(40),"variantCall ",CHAR(40),CHAR(34),M75,CHAR(34),CHAR(41)," or variantCall ",CHAR(40),CHAR(34),M76,CHAR(34),CHAR(41),CHAR(41))</f>
        <v xml:space="preserve">                    (variantCall ("NC_000002.11:g.[7783504A&gt;C];[7783504A&gt;C]") or variantCall ("NC_000002.11:g.[7783504=];[7783504=]"))</v>
      </c>
      <c r="J77" s="3" t="str">
        <f t="shared" ref="J77:M77" si="7">J55</f>
        <v>Het%</v>
      </c>
      <c r="K77" s="3">
        <f t="shared" si="7"/>
        <v>43</v>
      </c>
      <c r="L77" s="3">
        <f t="shared" si="7"/>
        <v>1.8</v>
      </c>
      <c r="M77" s="3">
        <f t="shared" si="7"/>
        <v>15.8</v>
      </c>
    </row>
    <row r="78" spans="1:13" x14ac:dyDescent="0.25">
      <c r="A78" s="14"/>
      <c r="C78" s="3" t="str">
        <f>CONCATENATE("                  } &gt; ")</f>
        <v xml:space="preserve">                  } &gt; </v>
      </c>
      <c r="J78" s="3" t="str">
        <f t="shared" ref="J78:M78" si="8">J56</f>
        <v>Homo%</v>
      </c>
      <c r="K78" s="3">
        <f t="shared" si="8"/>
        <v>19.899999999999999</v>
      </c>
      <c r="L78" s="3">
        <f t="shared" si="8"/>
        <v>0.5</v>
      </c>
      <c r="M78" s="3">
        <f t="shared" si="8"/>
        <v>4.7</v>
      </c>
    </row>
    <row r="79" spans="1:13" x14ac:dyDescent="0.25">
      <c r="A79" s="26"/>
      <c r="J79" s="3" t="str">
        <f t="shared" ref="J79:M79" si="9">J57</f>
        <v>Wildtype%</v>
      </c>
      <c r="K79" s="3">
        <f t="shared" si="9"/>
        <v>37.1</v>
      </c>
      <c r="L79" s="3">
        <f t="shared" si="9"/>
        <v>97.8</v>
      </c>
      <c r="M79" s="3">
        <f t="shared" si="9"/>
        <v>79.5</v>
      </c>
    </row>
    <row r="80" spans="1:13" x14ac:dyDescent="0.25">
      <c r="A80" s="14"/>
      <c r="C80" s="3" t="s">
        <v>26</v>
      </c>
    </row>
    <row r="81" spans="1:13" x14ac:dyDescent="0.25">
      <c r="A81" s="14"/>
    </row>
    <row r="82" spans="1:13" x14ac:dyDescent="0.25">
      <c r="A82" s="26"/>
      <c r="C82" s="3" t="str">
        <f>CONCATENATE("    ",B73)</f>
        <v xml:space="preserve">    People with this variant have two copies of the [T928G](https://www.ncbi.nlm.nih.gov/projects/SNP/snp_ref.cgi?rs=6691840)[(Ser310Ala)](https://www.ncbi.nlm.nih.gov/pubmed/11986986) variant. This substitution of a single nucleotide is known as a missense mutation.</v>
      </c>
    </row>
    <row r="83" spans="1:13" x14ac:dyDescent="0.25">
      <c r="A83" s="14"/>
    </row>
    <row r="84" spans="1:13" x14ac:dyDescent="0.25">
      <c r="A84" s="14"/>
      <c r="C84" s="3" t="s">
        <v>29</v>
      </c>
    </row>
    <row r="85" spans="1:13" x14ac:dyDescent="0.25">
      <c r="A85" s="14"/>
    </row>
    <row r="86" spans="1:13" x14ac:dyDescent="0.25">
      <c r="A86" s="14"/>
      <c r="C86" s="3" t="str">
        <f>CONCATENATE(B74)</f>
        <v>This variant is linked to increasing the risk of [schizophrenia](https://www.ncbi.nlm.nih.gov/pubmed/19921975/) by [30%](https://www.ncbi.nlm.nih.gov/pubmed/25054019?dopt=Abstract) and [recurrent major depressive disorder](https://www.ncbi.nlm.nih.gov/pubmed/16958029). Having two copies of this variant is associated with personality differences.  These include higher scores in [harm avoidance, anxiety, and shyness, and lower scores in novelty seeking, responsibility, resourcefulness, helpfulness, compassion, self motivation, and cooperativeness](https://www.ncbi.nlm.nih.gov/pubmed/19221446/). This pattern of scores is similar to that observed in [depressed patients](https://www.ncbi.nlm.nih.gov/pubmed/19221446/).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v>
      </c>
    </row>
    <row r="87" spans="1:13" x14ac:dyDescent="0.25">
      <c r="A87" s="26"/>
    </row>
    <row r="88" spans="1:13" x14ac:dyDescent="0.25">
      <c r="A88" s="26"/>
      <c r="C88" s="3" t="s">
        <v>30</v>
      </c>
    </row>
    <row r="89" spans="1:13" x14ac:dyDescent="0.25">
      <c r="A89" s="26"/>
    </row>
    <row r="90" spans="1:13" x14ac:dyDescent="0.25">
      <c r="A90" s="26"/>
      <c r="C90" s="3" t="str">
        <f>CONCATENATE( "    &lt;piechart percentage=",B75," /&gt;")</f>
        <v xml:space="preserve">    &lt;piechart percentage=19.9 /&gt;</v>
      </c>
    </row>
    <row r="91" spans="1:13" x14ac:dyDescent="0.25">
      <c r="A91" s="26"/>
      <c r="C91" s="3" t="str">
        <f>"  &lt;/Analysis&gt;"</f>
        <v xml:space="preserve">  &lt;/Analysis&gt;</v>
      </c>
      <c r="K91" s="3" t="str">
        <f t="shared" ref="K91:M91" si="10">K69</f>
        <v>rs6691840</v>
      </c>
      <c r="L91" s="3" t="str">
        <f t="shared" si="10"/>
        <v>rs3913434</v>
      </c>
      <c r="M91" s="3" t="str">
        <f t="shared" si="10"/>
        <v>rs270838</v>
      </c>
    </row>
    <row r="92" spans="1:13" s="21" customFormat="1" x14ac:dyDescent="0.25">
      <c r="A92" s="28" t="s">
        <v>70</v>
      </c>
      <c r="B92" s="20" t="str">
        <f>CONCATENATE(B28," (C;T)")</f>
        <v>C36983994T (C;T)</v>
      </c>
      <c r="C92" s="21" t="str">
        <f>CONCATENATE("&lt;# ",B92," #&gt;")</f>
        <v>&lt;# C36983994T (C;T) #&gt;</v>
      </c>
      <c r="K92" s="21" t="str">
        <f t="shared" ref="K92:M92" si="11">K70</f>
        <v>T928G</v>
      </c>
      <c r="L92" s="21" t="str">
        <f t="shared" si="11"/>
        <v>C36983994T</v>
      </c>
      <c r="M92" s="21" t="str">
        <f t="shared" si="11"/>
        <v>A7783504C</v>
      </c>
    </row>
    <row r="93" spans="1:13" s="10" customFormat="1" x14ac:dyDescent="0.25">
      <c r="A93" s="3" t="s">
        <v>21</v>
      </c>
      <c r="B93" s="29" t="str">
        <f>L96</f>
        <v>NC_000001.10:g.[37449595C&gt;T];[37449595=]</v>
      </c>
      <c r="J93" s="3"/>
      <c r="K93" s="22" t="str">
        <f t="shared" ref="K93:M93" si="12">K71</f>
        <v>NC_000001.10:g.</v>
      </c>
      <c r="L93" s="22" t="str">
        <f t="shared" si="12"/>
        <v>NC_000001.10:g.</v>
      </c>
      <c r="M93" s="10" t="str">
        <f t="shared" si="12"/>
        <v>NC_000002.11:g.</v>
      </c>
    </row>
    <row r="94" spans="1:13" x14ac:dyDescent="0.25">
      <c r="A94" s="3" t="s">
        <v>72</v>
      </c>
      <c r="B94" s="29"/>
      <c r="C94" s="3" t="str">
        <f>CONCATENATE("  &lt;Analysis name=",CHAR(34),B92,CHAR(34))</f>
        <v xml:space="preserve">  &lt;Analysis name="C36983994T (C;T)"</v>
      </c>
      <c r="J94" s="3" t="str">
        <f t="shared" ref="J94:M94" si="13">J72</f>
        <v>Variant</v>
      </c>
      <c r="K94" s="15" t="str">
        <f t="shared" si="13"/>
        <v>[37325477A&gt;G]</v>
      </c>
      <c r="L94" s="22" t="str">
        <f t="shared" si="13"/>
        <v>[37449595C&gt;T]</v>
      </c>
      <c r="M94" s="3" t="str">
        <f t="shared" si="13"/>
        <v>[7783504A&gt;C]</v>
      </c>
    </row>
    <row r="95" spans="1:13" x14ac:dyDescent="0.25">
      <c r="A95" s="5" t="s">
        <v>27</v>
      </c>
      <c r="B95" s="2" t="str">
        <f>CONCATENATE("People with this variant have one copy of the ",B31," variant. This substitution of a single nucleotide is known as a missense mutation.")</f>
        <v>People with this variant have one copy of the [C36983994T](https://www.ncbi.nlm.nih.gov/projects/SNP/snp_ref.cgi?rs=3913434) variant. This substitution of a single nucleotide is known as a missense mutation.</v>
      </c>
      <c r="C95" s="3" t="str">
        <f>CONCATENATE("            case={  variantCall ",CHAR(40),CHAR(34),L96,CHAR(34),CHAR(41))</f>
        <v xml:space="preserve">            case={  variantCall ("NC_000001.10:g.[37449595C&gt;T];[37449595=]")</v>
      </c>
      <c r="J95" s="3" t="str">
        <f t="shared" ref="J95:M95" si="14">J73</f>
        <v>Wildtype</v>
      </c>
      <c r="K95" s="15" t="str">
        <f t="shared" si="14"/>
        <v>[37325477=]</v>
      </c>
      <c r="L95" s="22" t="str">
        <f t="shared" si="14"/>
        <v>[37449595=]</v>
      </c>
      <c r="M95" s="3" t="str">
        <f t="shared" si="14"/>
        <v>[7783504=]</v>
      </c>
    </row>
    <row r="96" spans="1:13" x14ac:dyDescent="0.25">
      <c r="A96" s="1" t="s">
        <v>28</v>
      </c>
      <c r="B96" s="15" t="s">
        <v>113</v>
      </c>
      <c r="C96" s="3" t="s">
        <v>71</v>
      </c>
      <c r="J96" s="3" t="str">
        <f t="shared" ref="J96:M96" si="15">J74</f>
        <v>Het</v>
      </c>
      <c r="K96" s="15" t="str">
        <f t="shared" si="15"/>
        <v>NC_000001.10:g.[37325477A&gt;G];[37325477=]</v>
      </c>
      <c r="L96" s="15" t="str">
        <f t="shared" si="15"/>
        <v>NC_000001.10:g.[37449595C&gt;T];[37449595=]</v>
      </c>
      <c r="M96" s="3" t="str">
        <f t="shared" si="15"/>
        <v>NC_000002.11:g.[7783504A&gt;C];[7783504=]</v>
      </c>
    </row>
    <row r="97" spans="1:13" x14ac:dyDescent="0.25">
      <c r="A97" s="3" t="s">
        <v>73</v>
      </c>
      <c r="B97" s="29">
        <f>L55</f>
        <v>1.8</v>
      </c>
      <c r="C97" s="3" t="str">
        <f>CONCATENATE("                    ",CHAR(40),"variantCall ",CHAR(40),CHAR(34),M97,CHAR(34),CHAR(41)," or variantCall ",CHAR(40),CHAR(34),M98,CHAR(34),CHAR(41),CHAR(41))</f>
        <v xml:space="preserve">                    (variantCall ("NC_000002.11:g.[7783504A&gt;C];[7783504A&gt;C]") or variantCall ("NC_000002.11:g.[7783504=];[7783504=]"))</v>
      </c>
      <c r="J97" s="3" t="str">
        <f t="shared" ref="J97:M97" si="16">J75</f>
        <v>Homo</v>
      </c>
      <c r="K97" s="15" t="str">
        <f t="shared" si="16"/>
        <v>NC_000001.10:g.[37325477A&gt;G];[37325477A&gt;G]</v>
      </c>
      <c r="L97" s="15" t="str">
        <f t="shared" si="16"/>
        <v>NC_000001.10:g.[37449595C&gt;T];[37449595C&gt;T]</v>
      </c>
      <c r="M97" s="3" t="str">
        <f t="shared" si="16"/>
        <v>NC_000002.11:g.[7783504A&gt;C];[7783504A&gt;C]</v>
      </c>
    </row>
    <row r="98" spans="1:13" x14ac:dyDescent="0.25">
      <c r="B98" s="29"/>
      <c r="C98" s="3" t="s">
        <v>71</v>
      </c>
      <c r="J98" s="3" t="str">
        <f>J76</f>
        <v>Wildtype</v>
      </c>
      <c r="K98" s="2" t="str">
        <f>K76</f>
        <v>NC_000001.10:g.[37325477=];[37325477=]</v>
      </c>
      <c r="L98" s="2" t="str">
        <f>L76</f>
        <v>NC_000001.10:g.[37449595=];[37449595=]</v>
      </c>
      <c r="M98" s="3" t="str">
        <f>M76</f>
        <v>NC_000002.11:g.[7783504=];[7783504=]</v>
      </c>
    </row>
    <row r="99" spans="1:13" x14ac:dyDescent="0.25">
      <c r="B99" s="29"/>
      <c r="C99" s="3" t="str">
        <f>CONCATENATE("                    variantCall ",CHAR(40),CHAR(34),K98,CHAR(34),CHAR(41))</f>
        <v xml:space="preserve">                    variantCall ("NC_000001.10:g.[37325477=];[37325477=]")</v>
      </c>
      <c r="J99" s="3" t="str">
        <f>J77</f>
        <v>Het%</v>
      </c>
      <c r="K99" s="15">
        <f>K77</f>
        <v>43</v>
      </c>
      <c r="L99" s="15">
        <f>L77</f>
        <v>1.8</v>
      </c>
      <c r="M99" s="3">
        <f>M77</f>
        <v>15.8</v>
      </c>
    </row>
    <row r="100" spans="1:13" x14ac:dyDescent="0.25">
      <c r="C100" s="3" t="str">
        <f>CONCATENATE("                  } &gt; ")</f>
        <v xml:space="preserve">                  } &gt; </v>
      </c>
      <c r="J100" s="3" t="str">
        <f>J78</f>
        <v>Homo%</v>
      </c>
      <c r="K100" s="2">
        <f>K78</f>
        <v>19.899999999999999</v>
      </c>
      <c r="L100" s="2">
        <f>L78</f>
        <v>0.5</v>
      </c>
      <c r="M100" s="3">
        <f>M78</f>
        <v>4.7</v>
      </c>
    </row>
    <row r="101" spans="1:13" x14ac:dyDescent="0.25">
      <c r="J101" s="3" t="str">
        <f>J79</f>
        <v>Wildtype%</v>
      </c>
      <c r="K101" s="2">
        <f>K79</f>
        <v>37.1</v>
      </c>
      <c r="L101" s="2">
        <f>L79</f>
        <v>97.8</v>
      </c>
      <c r="M101" s="3">
        <f>M79</f>
        <v>79.5</v>
      </c>
    </row>
    <row r="102" spans="1:13" x14ac:dyDescent="0.25">
      <c r="A102" s="14"/>
      <c r="C102" s="3" t="s">
        <v>26</v>
      </c>
    </row>
    <row r="103" spans="1:13" x14ac:dyDescent="0.25">
      <c r="A103" s="26"/>
    </row>
    <row r="104" spans="1:13" x14ac:dyDescent="0.25">
      <c r="A104" s="14"/>
      <c r="C104" s="3" t="str">
        <f>CONCATENATE("    ",B95)</f>
        <v xml:space="preserve">    People with this variant have one copy of the [C36983994T](https://www.ncbi.nlm.nih.gov/projects/SNP/snp_ref.cgi?rs=3913434) variant. This substitution of a single nucleotide is known as a missense mutation.</v>
      </c>
    </row>
    <row r="105" spans="1:13" x14ac:dyDescent="0.25">
      <c r="A105" s="14"/>
    </row>
    <row r="106" spans="1:13" x14ac:dyDescent="0.25">
      <c r="A106" s="26"/>
      <c r="C106" s="3" t="s">
        <v>29</v>
      </c>
    </row>
    <row r="107" spans="1:13" x14ac:dyDescent="0.25">
      <c r="A107" s="14"/>
    </row>
    <row r="108" spans="1:13" x14ac:dyDescent="0.25">
      <c r="A108" s="14"/>
      <c r="C108" s="3" t="str">
        <f>CONCATENATE(B96)</f>
        <v>This variant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109" spans="1:13" x14ac:dyDescent="0.25">
      <c r="A109" s="14"/>
    </row>
    <row r="110" spans="1:13" x14ac:dyDescent="0.25">
      <c r="A110" s="14"/>
      <c r="C110" s="3" t="s">
        <v>30</v>
      </c>
    </row>
    <row r="111" spans="1:13" x14ac:dyDescent="0.25">
      <c r="A111" s="26"/>
    </row>
    <row r="112" spans="1:13" x14ac:dyDescent="0.25">
      <c r="A112" s="26"/>
      <c r="C112" s="3" t="str">
        <f>CONCATENATE( "    &lt;piechart percentage=",B97," /&gt;")</f>
        <v xml:space="preserve">    &lt;piechart percentage=1.8 /&gt;</v>
      </c>
    </row>
    <row r="113" spans="1:13" x14ac:dyDescent="0.25">
      <c r="A113" s="26"/>
      <c r="C113" s="3" t="str">
        <f>"  &lt;/Analysis&gt;"</f>
        <v xml:space="preserve">  &lt;/Analysis&gt;</v>
      </c>
      <c r="K113" s="3" t="str">
        <f>K91</f>
        <v>rs6691840</v>
      </c>
      <c r="L113" s="3" t="str">
        <f>L91</f>
        <v>rs3913434</v>
      </c>
      <c r="M113" s="3" t="str">
        <f>M91</f>
        <v>rs270838</v>
      </c>
    </row>
    <row r="114" spans="1:13" s="21" customFormat="1" x14ac:dyDescent="0.25">
      <c r="A114" s="28" t="s">
        <v>70</v>
      </c>
      <c r="B114" s="20" t="str">
        <f>CONCATENATE(B37," (A;C)")</f>
        <v>A7783504C (A;C)</v>
      </c>
      <c r="C114" s="21" t="str">
        <f>CONCATENATE("&lt;# ",B114," #&gt;")</f>
        <v>&lt;# A7783504C (A;C) #&gt;</v>
      </c>
      <c r="K114" s="21" t="str">
        <f>K92</f>
        <v>T928G</v>
      </c>
      <c r="L114" s="21" t="str">
        <f>L92</f>
        <v>C36983994T</v>
      </c>
      <c r="M114" s="21" t="str">
        <f>M92</f>
        <v>A7783504C</v>
      </c>
    </row>
    <row r="115" spans="1:13" x14ac:dyDescent="0.25">
      <c r="A115" s="3" t="s">
        <v>21</v>
      </c>
      <c r="B115" s="29" t="str">
        <f>M118</f>
        <v>NC_000002.11:g.[7783504A&gt;C];[7783504=]</v>
      </c>
      <c r="C115" s="10"/>
      <c r="K115" s="3" t="str">
        <f>K93</f>
        <v>NC_000001.10:g.</v>
      </c>
      <c r="L115" s="3" t="str">
        <f>L93</f>
        <v>NC_000001.10:g.</v>
      </c>
      <c r="M115" s="3" t="str">
        <f>M93</f>
        <v>NC_000002.11:g.</v>
      </c>
    </row>
    <row r="116" spans="1:13" x14ac:dyDescent="0.25">
      <c r="A116" s="3" t="s">
        <v>72</v>
      </c>
      <c r="B116" s="29" t="str">
        <f>L53</f>
        <v>NC_000001.10:g.[37449595C&gt;T];[37449595C&gt;T]</v>
      </c>
      <c r="C116" s="3" t="str">
        <f>CONCATENATE("  &lt;Analysis name=",CHAR(34),B114,CHAR(34))</f>
        <v xml:space="preserve">  &lt;Analysis name="A7783504C (A;C)"</v>
      </c>
      <c r="J116" s="3" t="str">
        <f>J94</f>
        <v>Variant</v>
      </c>
      <c r="K116" s="3" t="str">
        <f>K94</f>
        <v>[37325477A&gt;G]</v>
      </c>
      <c r="L116" s="3" t="str">
        <f>L94</f>
        <v>[37449595C&gt;T]</v>
      </c>
      <c r="M116" s="3" t="str">
        <f>M94</f>
        <v>[7783504A&gt;C]</v>
      </c>
    </row>
    <row r="117" spans="1:13" x14ac:dyDescent="0.25">
      <c r="A117" s="5" t="s">
        <v>75</v>
      </c>
      <c r="B117" s="2" t="str">
        <f>CONCATENATE("People with this variant have one copy of the ",B40," variant. This substitution of a single nucleotide is known as a missense mutation.")</f>
        <v>People with this variant have one copy of the [A7783504C](https://www.ncbi.nlm.nih.gov/projects/SNP/snp_ref.cgi?rs=270838) variant. This substitution of a single nucleotide is known as a missense mutation.</v>
      </c>
      <c r="C117" s="3" t="str">
        <f>CONCATENATE("            case={  variantCall ",CHAR(40),CHAR(34),B115,CHAR(34),CHAR(41))</f>
        <v xml:space="preserve">            case={  variantCall ("NC_000002.11:g.[7783504A&gt;C];[7783504=]")</v>
      </c>
      <c r="J117" s="3" t="str">
        <f>J95</f>
        <v>Wildtype</v>
      </c>
      <c r="K117" s="3" t="str">
        <f>K95</f>
        <v>[37325477=]</v>
      </c>
      <c r="L117" s="3" t="str">
        <f>L95</f>
        <v>[37449595=]</v>
      </c>
      <c r="M117" s="3" t="str">
        <f>M95</f>
        <v>[7783504=]</v>
      </c>
    </row>
    <row r="118" spans="1:13" x14ac:dyDescent="0.25">
      <c r="A118" s="1" t="s">
        <v>28</v>
      </c>
      <c r="B118" s="15" t="s">
        <v>114</v>
      </c>
      <c r="C118" s="3" t="s">
        <v>71</v>
      </c>
      <c r="J118" s="3" t="str">
        <f>J96</f>
        <v>Het</v>
      </c>
      <c r="K118" s="3" t="str">
        <f>K96</f>
        <v>NC_000001.10:g.[37325477A&gt;G];[37325477=]</v>
      </c>
      <c r="L118" s="3" t="str">
        <f>L96</f>
        <v>NC_000001.10:g.[37449595C&gt;T];[37449595=]</v>
      </c>
      <c r="M118" s="3" t="str">
        <f>M96</f>
        <v>NC_000002.11:g.[7783504A&gt;C];[7783504=]</v>
      </c>
    </row>
    <row r="119" spans="1:13" x14ac:dyDescent="0.25">
      <c r="A119" s="3" t="s">
        <v>73</v>
      </c>
      <c r="B119" s="29">
        <f>M121</f>
        <v>15.8</v>
      </c>
      <c r="C119" s="3" t="str">
        <f>CONCATENATE("                    ",CHAR(40),"variantCall ",CHAR(40),CHAR(34),L119,CHAR(34),CHAR(41)," or variantCall ",CHAR(40),CHAR(34),L120,CHAR(34),CHAR(41),CHAR(41))</f>
        <v xml:space="preserve">                    (variantCall ("NC_000001.10:g.[37449595C&gt;T];[37449595C&gt;T]") or variantCall ("NC_000001.10:g.[37449595=];[37449595=]"))</v>
      </c>
      <c r="J119" s="3" t="str">
        <f>J97</f>
        <v>Homo</v>
      </c>
      <c r="K119" s="3" t="str">
        <f>K97</f>
        <v>NC_000001.10:g.[37325477A&gt;G];[37325477A&gt;G]</v>
      </c>
      <c r="L119" s="3" t="str">
        <f>L97</f>
        <v>NC_000001.10:g.[37449595C&gt;T];[37449595C&gt;T]</v>
      </c>
      <c r="M119" s="3" t="str">
        <f>M97</f>
        <v>NC_000002.11:g.[7783504A&gt;C];[7783504A&gt;C]</v>
      </c>
    </row>
    <row r="120" spans="1:13" x14ac:dyDescent="0.25">
      <c r="C120" s="3" t="s">
        <v>71</v>
      </c>
      <c r="J120" s="3" t="str">
        <f>J98</f>
        <v>Wildtype</v>
      </c>
      <c r="K120" s="3" t="str">
        <f>K98</f>
        <v>NC_000001.10:g.[37325477=];[37325477=]</v>
      </c>
      <c r="L120" s="3" t="str">
        <f>L98</f>
        <v>NC_000001.10:g.[37449595=];[37449595=]</v>
      </c>
      <c r="M120" s="3" t="str">
        <f>M98</f>
        <v>NC_000002.11:g.[7783504=];[7783504=]</v>
      </c>
    </row>
    <row r="121" spans="1:13" x14ac:dyDescent="0.25">
      <c r="C121" s="3" t="str">
        <f>CONCATENATE("                    variantCall ",CHAR(40),CHAR(34),K120,CHAR(34),CHAR(41))</f>
        <v xml:space="preserve">                    variantCall ("NC_000001.10:g.[37325477=];[37325477=]")</v>
      </c>
      <c r="J121" s="3" t="str">
        <f>J99</f>
        <v>Het%</v>
      </c>
      <c r="K121" s="3">
        <f>K99</f>
        <v>43</v>
      </c>
      <c r="L121" s="3">
        <f>L99</f>
        <v>1.8</v>
      </c>
      <c r="M121" s="3">
        <f>M99</f>
        <v>15.8</v>
      </c>
    </row>
    <row r="122" spans="1:13" x14ac:dyDescent="0.25">
      <c r="A122" s="14"/>
      <c r="C122" s="3" t="str">
        <f>CONCATENATE("                  } &gt; ")</f>
        <v xml:space="preserve">                  } &gt; </v>
      </c>
      <c r="J122" s="3" t="str">
        <f>J100</f>
        <v>Homo%</v>
      </c>
      <c r="K122" s="3">
        <f>K100</f>
        <v>19.899999999999999</v>
      </c>
      <c r="L122" s="3">
        <f>L100</f>
        <v>0.5</v>
      </c>
      <c r="M122" s="3">
        <f>M100</f>
        <v>4.7</v>
      </c>
    </row>
    <row r="123" spans="1:13" x14ac:dyDescent="0.25">
      <c r="A123" s="26"/>
      <c r="J123" s="3" t="str">
        <f>J101</f>
        <v>Wildtype%</v>
      </c>
      <c r="K123" s="3">
        <f>K101</f>
        <v>37.1</v>
      </c>
      <c r="L123" s="3">
        <f>L101</f>
        <v>97.8</v>
      </c>
      <c r="M123" s="3">
        <f>M101</f>
        <v>79.5</v>
      </c>
    </row>
    <row r="124" spans="1:13" x14ac:dyDescent="0.25">
      <c r="A124" s="14"/>
      <c r="C124" s="3" t="s">
        <v>26</v>
      </c>
    </row>
    <row r="125" spans="1:13" x14ac:dyDescent="0.25">
      <c r="A125" s="14"/>
    </row>
    <row r="126" spans="1:13" x14ac:dyDescent="0.25">
      <c r="A126" s="26"/>
      <c r="C126" s="3" t="str">
        <f>CONCATENATE("    ",B117)</f>
        <v xml:space="preserve">    People with this variant have one copy of the [A7783504C](https://www.ncbi.nlm.nih.gov/projects/SNP/snp_ref.cgi?rs=270838) variant. This substitution of a single nucleotide is known as a missense mutation.</v>
      </c>
    </row>
    <row r="127" spans="1:13" x14ac:dyDescent="0.25">
      <c r="A127" s="14"/>
    </row>
    <row r="128" spans="1:13" x14ac:dyDescent="0.25">
      <c r="A128" s="14"/>
      <c r="C128" s="3" t="s">
        <v>29</v>
      </c>
    </row>
    <row r="129" spans="1:13" x14ac:dyDescent="0.25">
      <c r="A129" s="14"/>
    </row>
    <row r="130" spans="1:13" x14ac:dyDescent="0.25">
      <c r="A130" s="14"/>
      <c r="C130" s="3" t="str">
        <f>CONCATENATE(B118)</f>
        <v>This variant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131" spans="1:13" x14ac:dyDescent="0.25">
      <c r="A131" s="26"/>
    </row>
    <row r="132" spans="1:13" x14ac:dyDescent="0.25">
      <c r="A132" s="26"/>
      <c r="C132" s="3" t="s">
        <v>30</v>
      </c>
    </row>
    <row r="133" spans="1:13" x14ac:dyDescent="0.25">
      <c r="A133" s="26"/>
    </row>
    <row r="134" spans="1:13" x14ac:dyDescent="0.25">
      <c r="A134" s="26"/>
      <c r="C134" s="3" t="str">
        <f>CONCATENATE( "    &lt;piechart percentage=",B119," /&gt;")</f>
        <v xml:space="preserve">    &lt;piechart percentage=15.8 /&gt;</v>
      </c>
    </row>
    <row r="135" spans="1:13" x14ac:dyDescent="0.25">
      <c r="A135" s="26"/>
      <c r="C135" s="3" t="str">
        <f>"  &lt;/Analysis&gt;"</f>
        <v xml:space="preserve">  &lt;/Analysis&gt;</v>
      </c>
      <c r="K135" s="3" t="str">
        <f t="shared" ref="K135:M135" si="17">K113</f>
        <v>rs6691840</v>
      </c>
      <c r="L135" s="3" t="str">
        <f t="shared" si="17"/>
        <v>rs3913434</v>
      </c>
      <c r="M135" s="3" t="str">
        <f t="shared" si="17"/>
        <v>rs270838</v>
      </c>
    </row>
    <row r="136" spans="1:13" s="21" customFormat="1" x14ac:dyDescent="0.25">
      <c r="A136" s="28" t="s">
        <v>70</v>
      </c>
      <c r="B136" s="20" t="str">
        <f>CONCATENATE(B48," and ",B92," and ",B114)</f>
        <v>T928G (T;G) and C36983994T (C;T) and A7783504C (A;C)</v>
      </c>
      <c r="C136" s="21" t="str">
        <f>CONCATENATE("&lt;# ",B136," #&gt;")</f>
        <v>&lt;# T928G (T;G) and C36983994T (C;T) and A7783504C (A;C) #&gt;</v>
      </c>
      <c r="K136" s="21" t="str">
        <f t="shared" ref="K136:M136" si="18">K114</f>
        <v>T928G</v>
      </c>
      <c r="L136" s="21" t="str">
        <f t="shared" si="18"/>
        <v>C36983994T</v>
      </c>
      <c r="M136" s="21" t="str">
        <f t="shared" si="18"/>
        <v>A7783504C</v>
      </c>
    </row>
    <row r="137" spans="1:13" x14ac:dyDescent="0.25">
      <c r="A137" s="14" t="s">
        <v>21</v>
      </c>
      <c r="B137" s="15" t="str">
        <f>K52</f>
        <v>NC_000001.10:g.[37325477A&gt;G];[37325477=]</v>
      </c>
      <c r="K137" s="3" t="str">
        <f t="shared" ref="K137:M137" si="19">K115</f>
        <v>NC_000001.10:g.</v>
      </c>
      <c r="L137" s="3" t="str">
        <f t="shared" si="19"/>
        <v>NC_000001.10:g.</v>
      </c>
      <c r="M137" s="3" t="str">
        <f t="shared" si="19"/>
        <v>NC_000002.11:g.</v>
      </c>
    </row>
    <row r="138" spans="1:13" x14ac:dyDescent="0.25">
      <c r="A138" s="14" t="s">
        <v>72</v>
      </c>
      <c r="C138" s="3" t="str">
        <f>CONCATENATE("  &lt;Analysis name=",CHAR(34),B136,CHAR(34))</f>
        <v xml:space="preserve">  &lt;Analysis name="T928G (T;G) and C36983994T (C;T) and A7783504C (A;C)"</v>
      </c>
      <c r="J138" s="3" t="str">
        <f t="shared" ref="J138:M138" si="20">J116</f>
        <v>Variant</v>
      </c>
      <c r="K138" s="3" t="str">
        <f t="shared" si="20"/>
        <v>[37325477A&gt;G]</v>
      </c>
      <c r="L138" s="3" t="str">
        <f t="shared" si="20"/>
        <v>[37449595C&gt;T]</v>
      </c>
      <c r="M138" s="3" t="str">
        <f t="shared" si="20"/>
        <v>[7783504A&gt;C]</v>
      </c>
    </row>
    <row r="139" spans="1:13" x14ac:dyDescent="0.25">
      <c r="A139" s="26" t="s">
        <v>75</v>
      </c>
      <c r="B139" s="15" t="str">
        <f>CONCATENATE("People with this variant have one copy of the ",B22,", ",B31, ", and ",B40," variants. This substitution of a single nucleotide is known as a missense mutation.")</f>
        <v>People with this variant have one copy of the [T928G](https://www.ncbi.nlm.nih.gov/projects/SNP/snp_ref.cgi?rs=6691840)[(Ser310Ala)](https://www.ncbi.nlm.nih.gov/pubmed/11986986), [C36983994T](https://www.ncbi.nlm.nih.gov/projects/SNP/snp_ref.cgi?rs=3913434), and [A7783504C](https://www.ncbi.nlm.nih.gov/projects/SNP/snp_ref.cgi?rs=270838) variants. This substitution of a single nucleotide is known as a missense mutation.</v>
      </c>
      <c r="C139" s="3" t="str">
        <f>CONCATENATE("            case={  variantCall ",CHAR(40),CHAR(34),K140,CHAR(34),CHAR(41))</f>
        <v xml:space="preserve">            case={  variantCall ("NC_000001.10:g.[37325477A&gt;G];[37325477=]")</v>
      </c>
      <c r="J139" s="3" t="str">
        <f t="shared" ref="J139:M139" si="21">J117</f>
        <v>Wildtype</v>
      </c>
      <c r="K139" s="3" t="str">
        <f t="shared" si="21"/>
        <v>[37325477=]</v>
      </c>
      <c r="L139" s="3" t="str">
        <f t="shared" si="21"/>
        <v>[37449595=]</v>
      </c>
      <c r="M139" s="3" t="str">
        <f t="shared" si="21"/>
        <v>[7783504=]</v>
      </c>
    </row>
    <row r="140" spans="1:13" x14ac:dyDescent="0.25">
      <c r="A140" s="26" t="s">
        <v>28</v>
      </c>
      <c r="B140" s="15" t="s">
        <v>120</v>
      </c>
      <c r="C140" s="3" t="s">
        <v>71</v>
      </c>
      <c r="J140" s="3" t="str">
        <f t="shared" ref="J140:M140" si="22">J118</f>
        <v>Het</v>
      </c>
      <c r="K140" s="3" t="str">
        <f t="shared" si="22"/>
        <v>NC_000001.10:g.[37325477A&gt;G];[37325477=]</v>
      </c>
      <c r="L140" s="3" t="str">
        <f t="shared" si="22"/>
        <v>NC_000001.10:g.[37449595C&gt;T];[37449595=]</v>
      </c>
      <c r="M140" s="3" t="str">
        <f t="shared" si="22"/>
        <v>NC_000002.11:g.[7783504A&gt;C];[7783504=]</v>
      </c>
    </row>
    <row r="141" spans="1:13" x14ac:dyDescent="0.25">
      <c r="A141" s="26" t="s">
        <v>73</v>
      </c>
      <c r="C141" s="3" t="str">
        <f>CONCATENATE("                    variantCall ",CHAR(40),CHAR(34),L140,CHAR(34),CHAR(41))</f>
        <v xml:space="preserve">                    variantCall ("NC_000001.10:g.[37449595C&gt;T];[37449595=]")</v>
      </c>
      <c r="J141" s="3" t="str">
        <f t="shared" ref="J141:M141" si="23">J119</f>
        <v>Homo</v>
      </c>
      <c r="K141" s="3" t="str">
        <f t="shared" si="23"/>
        <v>NC_000001.10:g.[37325477A&gt;G];[37325477A&gt;G]</v>
      </c>
      <c r="L141" s="3" t="str">
        <f t="shared" si="23"/>
        <v>NC_000001.10:g.[37449595C&gt;T];[37449595C&gt;T]</v>
      </c>
      <c r="M141" s="3" t="str">
        <f t="shared" si="23"/>
        <v>NC_000002.11:g.[7783504A&gt;C];[7783504A&gt;C]</v>
      </c>
    </row>
    <row r="142" spans="1:13" x14ac:dyDescent="0.25">
      <c r="A142" s="26"/>
      <c r="C142" s="3" t="s">
        <v>71</v>
      </c>
      <c r="J142" s="3" t="str">
        <f t="shared" ref="J142:M142" si="24">J120</f>
        <v>Wildtype</v>
      </c>
      <c r="K142" s="3" t="str">
        <f t="shared" si="24"/>
        <v>NC_000001.10:g.[37325477=];[37325477=]</v>
      </c>
      <c r="L142" s="3" t="str">
        <f t="shared" si="24"/>
        <v>NC_000001.10:g.[37449595=];[37449595=]</v>
      </c>
      <c r="M142" s="3" t="str">
        <f t="shared" si="24"/>
        <v>NC_000002.11:g.[7783504=];[7783504=]</v>
      </c>
    </row>
    <row r="143" spans="1:13" x14ac:dyDescent="0.25">
      <c r="A143" s="26"/>
      <c r="C143" s="3" t="str">
        <f>CONCATENATE("                    variantCall ",CHAR(40),CHAR(34),M140,CHAR(34),CHAR(41))</f>
        <v xml:space="preserve">                    variantCall ("NC_000002.11:g.[7783504A&gt;C];[7783504=]")</v>
      </c>
      <c r="J143" s="3" t="str">
        <f t="shared" ref="J143:M143" si="25">J121</f>
        <v>Het%</v>
      </c>
      <c r="K143" s="3">
        <f t="shared" si="25"/>
        <v>43</v>
      </c>
      <c r="L143" s="3">
        <f t="shared" si="25"/>
        <v>1.8</v>
      </c>
      <c r="M143" s="3">
        <f t="shared" si="25"/>
        <v>15.8</v>
      </c>
    </row>
    <row r="144" spans="1:13" x14ac:dyDescent="0.25">
      <c r="A144" s="26"/>
      <c r="C144" s="3" t="str">
        <f>CONCATENATE("                  } &gt; ")</f>
        <v xml:space="preserve">                  } &gt; </v>
      </c>
      <c r="J144" s="3" t="str">
        <f t="shared" ref="J144:M144" si="26">J122</f>
        <v>Homo%</v>
      </c>
      <c r="K144" s="3">
        <f t="shared" si="26"/>
        <v>19.899999999999999</v>
      </c>
      <c r="L144" s="3">
        <f t="shared" si="26"/>
        <v>0.5</v>
      </c>
      <c r="M144" s="3">
        <f t="shared" si="26"/>
        <v>4.7</v>
      </c>
    </row>
    <row r="145" spans="1:13" x14ac:dyDescent="0.25">
      <c r="A145" s="14"/>
      <c r="J145" s="3" t="str">
        <f t="shared" ref="J145:M145" si="27">J123</f>
        <v>Wildtype%</v>
      </c>
      <c r="K145" s="3">
        <f t="shared" si="27"/>
        <v>37.1</v>
      </c>
      <c r="L145" s="3">
        <f t="shared" si="27"/>
        <v>97.8</v>
      </c>
      <c r="M145" s="3">
        <f t="shared" si="27"/>
        <v>79.5</v>
      </c>
    </row>
    <row r="146" spans="1:13" x14ac:dyDescent="0.25">
      <c r="A146" s="14"/>
      <c r="C146" s="3" t="s">
        <v>26</v>
      </c>
    </row>
    <row r="147" spans="1:13" x14ac:dyDescent="0.25">
      <c r="A147" s="14"/>
    </row>
    <row r="148" spans="1:13" x14ac:dyDescent="0.25">
      <c r="A148" s="14"/>
      <c r="C148" s="3" t="str">
        <f>CONCATENATE("    ",B139)</f>
        <v xml:space="preserve">    People with this variant have one copy of the [T928G](https://www.ncbi.nlm.nih.gov/projects/SNP/snp_ref.cgi?rs=6691840)[(Ser310Ala)](https://www.ncbi.nlm.nih.gov/pubmed/11986986), [C36983994T](https://www.ncbi.nlm.nih.gov/projects/SNP/snp_ref.cgi?rs=3913434), and [A7783504C](https://www.ncbi.nlm.nih.gov/projects/SNP/snp_ref.cgi?rs=270838) variants. This substitution of a single nucleotide is known as a missense mutation.</v>
      </c>
    </row>
    <row r="149" spans="1:13" x14ac:dyDescent="0.25">
      <c r="A149" s="14"/>
    </row>
    <row r="150" spans="1:13" x14ac:dyDescent="0.25">
      <c r="A150" s="26"/>
      <c r="C150" s="3" t="s">
        <v>29</v>
      </c>
    </row>
    <row r="151" spans="1:13" x14ac:dyDescent="0.25">
      <c r="A151" s="26"/>
    </row>
    <row r="152" spans="1:13" x14ac:dyDescent="0.25">
      <c r="A152" s="26"/>
      <c r="C152" s="3" t="str">
        <f>CONCATENATE(B140)</f>
        <v xml:space="preserve">    There is currently no data on the interaction between these variants.  However, some information exists on the individual variants. 
    # What is the effect of T928G?
    Having one copy of T928G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153" spans="1:13" x14ac:dyDescent="0.25">
      <c r="A153" s="26"/>
    </row>
    <row r="154" spans="1:13" x14ac:dyDescent="0.25">
      <c r="A154" s="26"/>
      <c r="C154" s="3" t="s">
        <v>30</v>
      </c>
    </row>
    <row r="155" spans="1:13" x14ac:dyDescent="0.25">
      <c r="A155" s="26"/>
    </row>
    <row r="156" spans="1:13" x14ac:dyDescent="0.25">
      <c r="A156" s="26"/>
      <c r="C156" s="3" t="str">
        <f>CONCATENATE( "    &lt;piechart percentage=",B141," /&gt;")</f>
        <v xml:space="preserve">    &lt;piechart percentage= /&gt;</v>
      </c>
    </row>
    <row r="157" spans="1:13" x14ac:dyDescent="0.25">
      <c r="A157" s="26"/>
      <c r="C157" s="3" t="str">
        <f>"  &lt;/Analysis&gt;"</f>
        <v xml:space="preserve">  &lt;/Analysis&gt;</v>
      </c>
      <c r="K157" s="3" t="str">
        <f t="shared" ref="K157:M157" si="28">K135</f>
        <v>rs6691840</v>
      </c>
      <c r="L157" s="3" t="str">
        <f t="shared" si="28"/>
        <v>rs3913434</v>
      </c>
      <c r="M157" s="3" t="str">
        <f t="shared" si="28"/>
        <v>rs270838</v>
      </c>
    </row>
    <row r="158" spans="1:13" s="21" customFormat="1" x14ac:dyDescent="0.25">
      <c r="A158" s="28" t="s">
        <v>70</v>
      </c>
      <c r="B158" s="20" t="str">
        <f>CONCATENATE(B70," and ",B92," and ",B114)</f>
        <v>T928G (G;G) and C36983994T (C;T) and A7783504C (A;C)</v>
      </c>
      <c r="C158" s="21" t="str">
        <f>CONCATENATE("&lt;# ",B158," #&gt;")</f>
        <v>&lt;# T928G (G;G) and C36983994T (C;T) and A7783504C (A;C) #&gt;</v>
      </c>
      <c r="K158" s="21" t="str">
        <f t="shared" ref="K158:M158" si="29">K136</f>
        <v>T928G</v>
      </c>
      <c r="L158" s="21" t="str">
        <f t="shared" si="29"/>
        <v>C36983994T</v>
      </c>
      <c r="M158" s="21" t="str">
        <f t="shared" si="29"/>
        <v>A7783504C</v>
      </c>
    </row>
    <row r="159" spans="1:13" x14ac:dyDescent="0.25">
      <c r="A159" s="14" t="s">
        <v>21</v>
      </c>
      <c r="B159" s="15" t="str">
        <f>K74</f>
        <v>NC_000001.10:g.[37325477A&gt;G];[37325477=]</v>
      </c>
      <c r="K159" s="3" t="str">
        <f t="shared" ref="K159:M159" si="30">K137</f>
        <v>NC_000001.10:g.</v>
      </c>
      <c r="L159" s="3" t="str">
        <f t="shared" si="30"/>
        <v>NC_000001.10:g.</v>
      </c>
      <c r="M159" s="3" t="str">
        <f t="shared" si="30"/>
        <v>NC_000002.11:g.</v>
      </c>
    </row>
    <row r="160" spans="1:13" x14ac:dyDescent="0.25">
      <c r="A160" s="14" t="s">
        <v>72</v>
      </c>
      <c r="C160" s="3" t="str">
        <f>CONCATENATE("  &lt;Analysis name=",CHAR(34),B158,CHAR(34))</f>
        <v xml:space="preserve">  &lt;Analysis name="T928G (G;G) and C36983994T (C;T) and A7783504C (A;C)"</v>
      </c>
      <c r="J160" s="3" t="str">
        <f t="shared" ref="J160:M160" si="31">J138</f>
        <v>Variant</v>
      </c>
      <c r="K160" s="3" t="str">
        <f t="shared" si="31"/>
        <v>[37325477A&gt;G]</v>
      </c>
      <c r="L160" s="3" t="str">
        <f t="shared" si="31"/>
        <v>[37449595C&gt;T]</v>
      </c>
      <c r="M160" s="3" t="str">
        <f t="shared" si="31"/>
        <v>[7783504A&gt;C]</v>
      </c>
    </row>
    <row r="161" spans="1:13" x14ac:dyDescent="0.25">
      <c r="A161" s="26" t="s">
        <v>75</v>
      </c>
      <c r="B161" s="15" t="str">
        <f>CONCATENATE("People with this variant have two copies of the ",B22," variant and one copy of the ",B31, " and ",B40," variants. This substitution of a single nucleotide is known as a missense mutation.")</f>
        <v>People with this variant have two copies of the [T928G](https://www.ncbi.nlm.nih.gov/projects/SNP/snp_ref.cgi?rs=6691840)[(Ser310Ala)](https://www.ncbi.nlm.nih.gov/pubmed/11986986) variant and one copy of the [C36983994T](https://www.ncbi.nlm.nih.gov/projects/SNP/snp_ref.cgi?rs=3913434) and [A7783504C](https://www.ncbi.nlm.nih.gov/projects/SNP/snp_ref.cgi?rs=270838) variants. This substitution of a single nucleotide is known as a missense mutation.</v>
      </c>
      <c r="C161" s="3" t="str">
        <f>CONCATENATE("            case={  variantCall ",CHAR(40),CHAR(34),K163,CHAR(34),CHAR(41))</f>
        <v xml:space="preserve">            case={  variantCall ("NC_000001.10:g.[37325477A&gt;G];[37325477A&gt;G]")</v>
      </c>
      <c r="J161" s="3" t="str">
        <f t="shared" ref="J161:M161" si="32">J139</f>
        <v>Wildtype</v>
      </c>
      <c r="K161" s="3" t="str">
        <f t="shared" si="32"/>
        <v>[37325477=]</v>
      </c>
      <c r="L161" s="3" t="str">
        <f t="shared" si="32"/>
        <v>[37449595=]</v>
      </c>
      <c r="M161" s="3" t="str">
        <f t="shared" si="32"/>
        <v>[7783504=]</v>
      </c>
    </row>
    <row r="162" spans="1:13" ht="409.5" x14ac:dyDescent="0.25">
      <c r="A162" s="26" t="s">
        <v>28</v>
      </c>
      <c r="B162" s="36" t="s">
        <v>120</v>
      </c>
      <c r="C162" s="3" t="s">
        <v>71</v>
      </c>
      <c r="J162" s="3" t="str">
        <f t="shared" ref="J162:M162" si="33">J140</f>
        <v>Het</v>
      </c>
      <c r="K162" s="3" t="str">
        <f t="shared" si="33"/>
        <v>NC_000001.10:g.[37325477A&gt;G];[37325477=]</v>
      </c>
      <c r="L162" s="3" t="str">
        <f t="shared" si="33"/>
        <v>NC_000001.10:g.[37449595C&gt;T];[37449595=]</v>
      </c>
      <c r="M162" s="3" t="str">
        <f t="shared" si="33"/>
        <v>NC_000002.11:g.[7783504A&gt;C];[7783504=]</v>
      </c>
    </row>
    <row r="163" spans="1:13" x14ac:dyDescent="0.25">
      <c r="A163" s="26" t="s">
        <v>73</v>
      </c>
      <c r="C163" s="3" t="str">
        <f>CONCATENATE("                    variantCall ",CHAR(40),CHAR(34),L162,CHAR(34),CHAR(41))</f>
        <v xml:space="preserve">                    variantCall ("NC_000001.10:g.[37449595C&gt;T];[37449595=]")</v>
      </c>
      <c r="J163" s="3" t="str">
        <f t="shared" ref="J163:M163" si="34">J141</f>
        <v>Homo</v>
      </c>
      <c r="K163" s="3" t="str">
        <f t="shared" si="34"/>
        <v>NC_000001.10:g.[37325477A&gt;G];[37325477A&gt;G]</v>
      </c>
      <c r="L163" s="3" t="str">
        <f t="shared" si="34"/>
        <v>NC_000001.10:g.[37449595C&gt;T];[37449595C&gt;T]</v>
      </c>
      <c r="M163" s="3" t="str">
        <f t="shared" si="34"/>
        <v>NC_000002.11:g.[7783504A&gt;C];[7783504A&gt;C]</v>
      </c>
    </row>
    <row r="164" spans="1:13" x14ac:dyDescent="0.25">
      <c r="A164" s="26"/>
      <c r="C164" s="3" t="s">
        <v>71</v>
      </c>
      <c r="J164" s="3" t="str">
        <f t="shared" ref="J164:M164" si="35">J142</f>
        <v>Wildtype</v>
      </c>
      <c r="K164" s="3" t="str">
        <f t="shared" si="35"/>
        <v>NC_000001.10:g.[37325477=];[37325477=]</v>
      </c>
      <c r="L164" s="3" t="str">
        <f t="shared" si="35"/>
        <v>NC_000001.10:g.[37449595=];[37449595=]</v>
      </c>
      <c r="M164" s="3" t="str">
        <f t="shared" si="35"/>
        <v>NC_000002.11:g.[7783504=];[7783504=]</v>
      </c>
    </row>
    <row r="165" spans="1:13" x14ac:dyDescent="0.25">
      <c r="A165" s="26"/>
      <c r="C165" s="3" t="str">
        <f>CONCATENATE("                    variantCall ",CHAR(40),CHAR(34),M162,CHAR(34),CHAR(41))</f>
        <v xml:space="preserve">                    variantCall ("NC_000002.11:g.[7783504A&gt;C];[7783504=]")</v>
      </c>
      <c r="J165" s="3" t="str">
        <f t="shared" ref="J165:M165" si="36">J143</f>
        <v>Het%</v>
      </c>
      <c r="K165" s="3">
        <f t="shared" si="36"/>
        <v>43</v>
      </c>
      <c r="L165" s="3">
        <f t="shared" si="36"/>
        <v>1.8</v>
      </c>
      <c r="M165" s="3">
        <f t="shared" si="36"/>
        <v>15.8</v>
      </c>
    </row>
    <row r="166" spans="1:13" x14ac:dyDescent="0.25">
      <c r="A166" s="26"/>
      <c r="C166" s="3" t="str">
        <f>CONCATENATE("                  } &gt; ")</f>
        <v xml:space="preserve">                  } &gt; </v>
      </c>
      <c r="J166" s="3" t="str">
        <f t="shared" ref="J166:M166" si="37">J144</f>
        <v>Homo%</v>
      </c>
      <c r="K166" s="3">
        <f t="shared" si="37"/>
        <v>19.899999999999999</v>
      </c>
      <c r="L166" s="3">
        <f t="shared" si="37"/>
        <v>0.5</v>
      </c>
      <c r="M166" s="3">
        <f t="shared" si="37"/>
        <v>4.7</v>
      </c>
    </row>
    <row r="167" spans="1:13" x14ac:dyDescent="0.25">
      <c r="A167" s="14"/>
      <c r="J167" s="3" t="str">
        <f t="shared" ref="J167:M167" si="38">J145</f>
        <v>Wildtype%</v>
      </c>
      <c r="K167" s="3">
        <f t="shared" si="38"/>
        <v>37.1</v>
      </c>
      <c r="L167" s="3">
        <f t="shared" si="38"/>
        <v>97.8</v>
      </c>
      <c r="M167" s="3">
        <f t="shared" si="38"/>
        <v>79.5</v>
      </c>
    </row>
    <row r="168" spans="1:13" x14ac:dyDescent="0.25">
      <c r="A168" s="14"/>
      <c r="C168" s="3" t="s">
        <v>26</v>
      </c>
    </row>
    <row r="169" spans="1:13" x14ac:dyDescent="0.25">
      <c r="A169" s="14"/>
    </row>
    <row r="170" spans="1:13" x14ac:dyDescent="0.25">
      <c r="A170" s="14"/>
      <c r="C170" s="3" t="str">
        <f>CONCATENATE("    ",B161)</f>
        <v xml:space="preserve">    People with this variant have two copies of the [T928G](https://www.ncbi.nlm.nih.gov/projects/SNP/snp_ref.cgi?rs=6691840)[(Ser310Ala)](https://www.ncbi.nlm.nih.gov/pubmed/11986986) variant and one copy of the [C36983994T](https://www.ncbi.nlm.nih.gov/projects/SNP/snp_ref.cgi?rs=3913434) and [A7783504C](https://www.ncbi.nlm.nih.gov/projects/SNP/snp_ref.cgi?rs=270838) variants. This substitution of a single nucleotide is known as a missense mutation.</v>
      </c>
    </row>
    <row r="171" spans="1:13" x14ac:dyDescent="0.25">
      <c r="A171" s="14"/>
    </row>
    <row r="172" spans="1:13" x14ac:dyDescent="0.25">
      <c r="A172" s="26"/>
      <c r="C172" s="3" t="s">
        <v>29</v>
      </c>
    </row>
    <row r="173" spans="1:13" x14ac:dyDescent="0.25">
      <c r="A173" s="26"/>
    </row>
    <row r="174" spans="1:13" x14ac:dyDescent="0.25">
      <c r="A174" s="26"/>
      <c r="C174" s="3" t="str">
        <f>CONCATENATE(B162)</f>
        <v xml:space="preserve">    There is currently no data on the interaction between these variants.  However, some information exists on the individual variants. 
    # What is the effect of T928G?
    Having one copy of T928G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175" spans="1:13" x14ac:dyDescent="0.25">
      <c r="A175" s="26"/>
    </row>
    <row r="176" spans="1:13" x14ac:dyDescent="0.25">
      <c r="A176" s="26"/>
      <c r="C176" s="3" t="s">
        <v>30</v>
      </c>
    </row>
    <row r="177" spans="1:13" x14ac:dyDescent="0.25">
      <c r="A177" s="26"/>
    </row>
    <row r="178" spans="1:13" x14ac:dyDescent="0.25">
      <c r="A178" s="26"/>
      <c r="C178" s="3" t="str">
        <f>CONCATENATE( "    &lt;piechart percentage=",B163," /&gt;")</f>
        <v xml:space="preserve">    &lt;piechart percentage= /&gt;</v>
      </c>
    </row>
    <row r="179" spans="1:13" x14ac:dyDescent="0.25">
      <c r="A179" s="26"/>
      <c r="C179" s="3" t="str">
        <f>"  &lt;/Analysis&gt;"</f>
        <v xml:space="preserve">  &lt;/Analysis&gt;</v>
      </c>
      <c r="K179" s="3" t="str">
        <f t="shared" ref="K179:M179" si="39">K157</f>
        <v>rs6691840</v>
      </c>
      <c r="L179" s="3" t="str">
        <f t="shared" si="39"/>
        <v>rs3913434</v>
      </c>
      <c r="M179" s="3" t="str">
        <f t="shared" si="39"/>
        <v>rs270838</v>
      </c>
    </row>
    <row r="180" spans="1:13" s="21" customFormat="1" x14ac:dyDescent="0.25">
      <c r="A180" s="28" t="s">
        <v>70</v>
      </c>
      <c r="B180" s="20" t="str">
        <f>CONCATENATE(B48," and ",B92)</f>
        <v>T928G (T;G) and C36983994T (C;T)</v>
      </c>
      <c r="C180" s="21" t="str">
        <f>CONCATENATE("&lt;# ",B180," #&gt;")</f>
        <v>&lt;# T928G (T;G) and C36983994T (C;T) #&gt;</v>
      </c>
      <c r="K180" s="21" t="str">
        <f t="shared" ref="K180:M180" si="40">K158</f>
        <v>T928G</v>
      </c>
      <c r="L180" s="21" t="str">
        <f t="shared" si="40"/>
        <v>C36983994T</v>
      </c>
      <c r="M180" s="21" t="str">
        <f t="shared" si="40"/>
        <v>A7783504C</v>
      </c>
    </row>
    <row r="181" spans="1:13" x14ac:dyDescent="0.25">
      <c r="A181" s="14" t="s">
        <v>21</v>
      </c>
      <c r="B181" s="15" t="str">
        <f>K96</f>
        <v>NC_000001.10:g.[37325477A&gt;G];[37325477=]</v>
      </c>
      <c r="K181" s="3" t="str">
        <f t="shared" ref="K181:M181" si="41">K159</f>
        <v>NC_000001.10:g.</v>
      </c>
      <c r="L181" s="3" t="str">
        <f t="shared" si="41"/>
        <v>NC_000001.10:g.</v>
      </c>
      <c r="M181" s="3" t="str">
        <f t="shared" si="41"/>
        <v>NC_000002.11:g.</v>
      </c>
    </row>
    <row r="182" spans="1:13" x14ac:dyDescent="0.25">
      <c r="A182" s="14" t="s">
        <v>72</v>
      </c>
      <c r="C182" s="3" t="str">
        <f>CONCATENATE("  &lt;Analysis name=",CHAR(34),B180,CHAR(34))</f>
        <v xml:space="preserve">  &lt;Analysis name="T928G (T;G) and C36983994T (C;T)"</v>
      </c>
      <c r="J182" s="3" t="str">
        <f t="shared" ref="J182:M182" si="42">J160</f>
        <v>Variant</v>
      </c>
      <c r="K182" s="3" t="str">
        <f t="shared" si="42"/>
        <v>[37325477A&gt;G]</v>
      </c>
      <c r="L182" s="3" t="str">
        <f t="shared" si="42"/>
        <v>[37449595C&gt;T]</v>
      </c>
      <c r="M182" s="3" t="str">
        <f t="shared" si="42"/>
        <v>[7783504A&gt;C]</v>
      </c>
    </row>
    <row r="183" spans="1:13" x14ac:dyDescent="0.25">
      <c r="A183" s="26" t="s">
        <v>75</v>
      </c>
      <c r="B183" s="15" t="str">
        <f>CONCATENATE("People with this variant have one copy of the ",B22, ", and ",B31," variants. This substitution of a single nucleotide is known as a missense mutation.")</f>
        <v>People with this variant have one copy of the [T928G](https://www.ncbi.nlm.nih.gov/projects/SNP/snp_ref.cgi?rs=6691840)[(Ser310Ala)](https://www.ncbi.nlm.nih.gov/pubmed/11986986), and [C36983994T](https://www.ncbi.nlm.nih.gov/projects/SNP/snp_ref.cgi?rs=3913434) variants. This substitution of a single nucleotide is known as a missense mutation.</v>
      </c>
      <c r="C183" s="3" t="str">
        <f>CONCATENATE("            case={  variantCall ",CHAR(40),CHAR(34),K184,CHAR(34),CHAR(41))</f>
        <v xml:space="preserve">            case={  variantCall ("NC_000001.10:g.[37325477A&gt;G];[37325477=]")</v>
      </c>
      <c r="J183" s="3" t="str">
        <f t="shared" ref="J183:M183" si="43">J161</f>
        <v>Wildtype</v>
      </c>
      <c r="K183" s="3" t="str">
        <f t="shared" si="43"/>
        <v>[37325477=]</v>
      </c>
      <c r="L183" s="3" t="str">
        <f t="shared" si="43"/>
        <v>[37449595=]</v>
      </c>
      <c r="M183" s="3" t="str">
        <f t="shared" si="43"/>
        <v>[7783504=]</v>
      </c>
    </row>
    <row r="184" spans="1:13" x14ac:dyDescent="0.25">
      <c r="A184" s="26" t="s">
        <v>28</v>
      </c>
      <c r="B184" s="15" t="s">
        <v>115</v>
      </c>
      <c r="C184" s="3" t="s">
        <v>71</v>
      </c>
      <c r="J184" s="3" t="str">
        <f t="shared" ref="J184:M184" si="44">J162</f>
        <v>Het</v>
      </c>
      <c r="K184" s="3" t="str">
        <f t="shared" si="44"/>
        <v>NC_000001.10:g.[37325477A&gt;G];[37325477=]</v>
      </c>
      <c r="L184" s="3" t="str">
        <f t="shared" si="44"/>
        <v>NC_000001.10:g.[37449595C&gt;T];[37449595=]</v>
      </c>
      <c r="M184" s="3" t="str">
        <f t="shared" si="44"/>
        <v>NC_000002.11:g.[7783504A&gt;C];[7783504=]</v>
      </c>
    </row>
    <row r="185" spans="1:13" x14ac:dyDescent="0.25">
      <c r="A185" s="26" t="s">
        <v>73</v>
      </c>
      <c r="C185" s="3" t="str">
        <f>CONCATENATE("                    variantCall ",CHAR(40),CHAR(34),L184,CHAR(34),CHAR(41))</f>
        <v xml:space="preserve">                    variantCall ("NC_000001.10:g.[37449595C&gt;T];[37449595=]")</v>
      </c>
      <c r="J185" s="3" t="str">
        <f t="shared" ref="J185:M185" si="45">J163</f>
        <v>Homo</v>
      </c>
      <c r="K185" s="3" t="str">
        <f t="shared" si="45"/>
        <v>NC_000001.10:g.[37325477A&gt;G];[37325477A&gt;G]</v>
      </c>
      <c r="L185" s="3" t="str">
        <f t="shared" si="45"/>
        <v>NC_000001.10:g.[37449595C&gt;T];[37449595C&gt;T]</v>
      </c>
      <c r="M185" s="3" t="str">
        <f t="shared" si="45"/>
        <v>NC_000002.11:g.[7783504A&gt;C];[7783504A&gt;C]</v>
      </c>
    </row>
    <row r="186" spans="1:13" x14ac:dyDescent="0.25">
      <c r="A186" s="26"/>
      <c r="C186" s="3" t="s">
        <v>71</v>
      </c>
      <c r="J186" s="3" t="str">
        <f t="shared" ref="J186:M186" si="46">J164</f>
        <v>Wildtype</v>
      </c>
      <c r="K186" s="3" t="str">
        <f t="shared" si="46"/>
        <v>NC_000001.10:g.[37325477=];[37325477=]</v>
      </c>
      <c r="L186" s="3" t="str">
        <f t="shared" si="46"/>
        <v>NC_000001.10:g.[37449595=];[37449595=]</v>
      </c>
      <c r="M186" s="3" t="str">
        <f t="shared" si="46"/>
        <v>NC_000002.11:g.[7783504=];[7783504=]</v>
      </c>
    </row>
    <row r="187" spans="1:13" x14ac:dyDescent="0.25">
      <c r="A187" s="26"/>
      <c r="C187" s="3" t="str">
        <f>CONCATENATE("                    variantCall ",CHAR(40),CHAR(34),M184,CHAR(34),CHAR(41))</f>
        <v xml:space="preserve">                    variantCall ("NC_000002.11:g.[7783504A&gt;C];[7783504=]")</v>
      </c>
      <c r="J187" s="3" t="str">
        <f t="shared" ref="J187:M187" si="47">J165</f>
        <v>Het%</v>
      </c>
      <c r="K187" s="3">
        <f t="shared" si="47"/>
        <v>43</v>
      </c>
      <c r="L187" s="3">
        <f t="shared" si="47"/>
        <v>1.8</v>
      </c>
      <c r="M187" s="3">
        <f t="shared" si="47"/>
        <v>15.8</v>
      </c>
    </row>
    <row r="188" spans="1:13" x14ac:dyDescent="0.25">
      <c r="A188" s="26"/>
      <c r="C188" s="3" t="str">
        <f>CONCATENATE("                  } &gt; ")</f>
        <v xml:space="preserve">                  } &gt; </v>
      </c>
      <c r="J188" s="3" t="str">
        <f t="shared" ref="J188:M188" si="48">J166</f>
        <v>Homo%</v>
      </c>
      <c r="K188" s="3">
        <f t="shared" si="48"/>
        <v>19.899999999999999</v>
      </c>
      <c r="L188" s="3">
        <f t="shared" si="48"/>
        <v>0.5</v>
      </c>
      <c r="M188" s="3">
        <f t="shared" si="48"/>
        <v>4.7</v>
      </c>
    </row>
    <row r="189" spans="1:13" x14ac:dyDescent="0.25">
      <c r="A189" s="14"/>
      <c r="J189" s="3" t="str">
        <f t="shared" ref="J189:M189" si="49">J167</f>
        <v>Wildtype%</v>
      </c>
      <c r="K189" s="3">
        <f t="shared" si="49"/>
        <v>37.1</v>
      </c>
      <c r="L189" s="3">
        <f t="shared" si="49"/>
        <v>97.8</v>
      </c>
      <c r="M189" s="3">
        <f t="shared" si="49"/>
        <v>79.5</v>
      </c>
    </row>
    <row r="190" spans="1:13" x14ac:dyDescent="0.25">
      <c r="A190" s="14"/>
      <c r="C190" s="3" t="s">
        <v>26</v>
      </c>
    </row>
    <row r="191" spans="1:13" x14ac:dyDescent="0.25">
      <c r="A191" s="14"/>
    </row>
    <row r="192" spans="1:13" x14ac:dyDescent="0.25">
      <c r="A192" s="14"/>
      <c r="C192" s="3" t="str">
        <f>CONCATENATE("    ",B183)</f>
        <v xml:space="preserve">    People with this variant have one copy of the [T928G](https://www.ncbi.nlm.nih.gov/projects/SNP/snp_ref.cgi?rs=6691840)[(Ser310Ala)](https://www.ncbi.nlm.nih.gov/pubmed/11986986), and [C36983994T](https://www.ncbi.nlm.nih.gov/projects/SNP/snp_ref.cgi?rs=3913434) variants. This substitution of a single nucleotide is known as a missense mutation.</v>
      </c>
    </row>
    <row r="193" spans="1:13" x14ac:dyDescent="0.25">
      <c r="A193" s="14"/>
    </row>
    <row r="194" spans="1:13" x14ac:dyDescent="0.25">
      <c r="A194" s="26"/>
      <c r="C194" s="3" t="s">
        <v>29</v>
      </c>
    </row>
    <row r="195" spans="1:13" x14ac:dyDescent="0.25">
      <c r="A195" s="26"/>
    </row>
    <row r="196" spans="1:13" x14ac:dyDescent="0.25">
      <c r="A196" s="26"/>
      <c r="C196" s="3" t="str">
        <f>CONCATENATE(B184)</f>
        <v xml:space="preserve">    There is currently no data on the interaction between these variants.  However, some information exists on the individual variants. 
    # What is the effect of T928G?
    Having one copy of T928G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197" spans="1:13" x14ac:dyDescent="0.25">
      <c r="A197" s="26"/>
    </row>
    <row r="198" spans="1:13" x14ac:dyDescent="0.25">
      <c r="A198" s="26"/>
      <c r="C198" s="3" t="s">
        <v>30</v>
      </c>
    </row>
    <row r="199" spans="1:13" x14ac:dyDescent="0.25">
      <c r="A199" s="26"/>
    </row>
    <row r="200" spans="1:13" x14ac:dyDescent="0.25">
      <c r="A200" s="26"/>
      <c r="C200" s="3" t="str">
        <f>CONCATENATE( "    &lt;piechart percentage=",B185," /&gt;")</f>
        <v xml:space="preserve">    &lt;piechart percentage= /&gt;</v>
      </c>
    </row>
    <row r="201" spans="1:13" x14ac:dyDescent="0.25">
      <c r="A201" s="26"/>
      <c r="C201" s="3" t="str">
        <f>"  &lt;/Analysis&gt;"</f>
        <v xml:space="preserve">  &lt;/Analysis&gt;</v>
      </c>
      <c r="K201" s="3" t="str">
        <f t="shared" ref="K201:M201" si="50">K179</f>
        <v>rs6691840</v>
      </c>
      <c r="L201" s="3" t="str">
        <f t="shared" si="50"/>
        <v>rs3913434</v>
      </c>
      <c r="M201" s="3" t="str">
        <f t="shared" si="50"/>
        <v>rs270838</v>
      </c>
    </row>
    <row r="202" spans="1:13" s="21" customFormat="1" x14ac:dyDescent="0.25">
      <c r="A202" s="28" t="s">
        <v>70</v>
      </c>
      <c r="B202" s="20" t="str">
        <f>CONCATENATE(B48," and ",B114)</f>
        <v>T928G (T;G) and A7783504C (A;C)</v>
      </c>
      <c r="C202" s="21" t="str">
        <f>CONCATENATE("&lt;# ",B202," #&gt;")</f>
        <v>&lt;# T928G (T;G) and A7783504C (A;C) #&gt;</v>
      </c>
      <c r="K202" s="21" t="str">
        <f t="shared" ref="K202:M202" si="51">K180</f>
        <v>T928G</v>
      </c>
      <c r="L202" s="21" t="str">
        <f t="shared" si="51"/>
        <v>C36983994T</v>
      </c>
      <c r="M202" s="21" t="str">
        <f t="shared" si="51"/>
        <v>A7783504C</v>
      </c>
    </row>
    <row r="203" spans="1:13" x14ac:dyDescent="0.25">
      <c r="A203" s="14" t="s">
        <v>21</v>
      </c>
      <c r="B203" s="15" t="str">
        <f>K118</f>
        <v>NC_000001.10:g.[37325477A&gt;G];[37325477=]</v>
      </c>
      <c r="K203" s="3" t="str">
        <f t="shared" ref="K203:M203" si="52">K181</f>
        <v>NC_000001.10:g.</v>
      </c>
      <c r="L203" s="3" t="str">
        <f t="shared" si="52"/>
        <v>NC_000001.10:g.</v>
      </c>
      <c r="M203" s="3" t="str">
        <f t="shared" si="52"/>
        <v>NC_000002.11:g.</v>
      </c>
    </row>
    <row r="204" spans="1:13" x14ac:dyDescent="0.25">
      <c r="A204" s="14" t="s">
        <v>72</v>
      </c>
      <c r="C204" s="3" t="str">
        <f>CONCATENATE("  &lt;Analysis name=",CHAR(34),B202,CHAR(34))</f>
        <v xml:space="preserve">  &lt;Analysis name="T928G (T;G) and A7783504C (A;C)"</v>
      </c>
      <c r="J204" s="3" t="str">
        <f t="shared" ref="J204:M204" si="53">J182</f>
        <v>Variant</v>
      </c>
      <c r="K204" s="3" t="str">
        <f t="shared" si="53"/>
        <v>[37325477A&gt;G]</v>
      </c>
      <c r="L204" s="3" t="str">
        <f t="shared" si="53"/>
        <v>[37449595C&gt;T]</v>
      </c>
      <c r="M204" s="3" t="str">
        <f t="shared" si="53"/>
        <v>[7783504A&gt;C]</v>
      </c>
    </row>
    <row r="205" spans="1:13" x14ac:dyDescent="0.25">
      <c r="A205" s="26" t="s">
        <v>75</v>
      </c>
      <c r="B205" s="15" t="str">
        <f>CONCATENATE("People with this variant have one copy of the ",B22," and ",B40," variants. This substitution of a single nucleotide is known as a missense mutation.")</f>
        <v>People with this variant have one copy of the [T928G](https://www.ncbi.nlm.nih.gov/projects/SNP/snp_ref.cgi?rs=6691840)[(Ser310Ala)](https://www.ncbi.nlm.nih.gov/pubmed/11986986) and [A7783504C](https://www.ncbi.nlm.nih.gov/projects/SNP/snp_ref.cgi?rs=270838) variants. This substitution of a single nucleotide is known as a missense mutation.</v>
      </c>
      <c r="C205" s="3" t="str">
        <f>CONCATENATE("            case={  variantCall ",CHAR(40),CHAR(34),K206,CHAR(34),CHAR(41))</f>
        <v xml:space="preserve">            case={  variantCall ("NC_000001.10:g.[37325477A&gt;G];[37325477=]")</v>
      </c>
      <c r="J205" s="3" t="str">
        <f t="shared" ref="J205:M205" si="54">J183</f>
        <v>Wildtype</v>
      </c>
      <c r="K205" s="3" t="str">
        <f t="shared" si="54"/>
        <v>[37325477=]</v>
      </c>
      <c r="L205" s="3" t="str">
        <f t="shared" si="54"/>
        <v>[37449595=]</v>
      </c>
      <c r="M205" s="3" t="str">
        <f t="shared" si="54"/>
        <v>[7783504=]</v>
      </c>
    </row>
    <row r="206" spans="1:13" x14ac:dyDescent="0.25">
      <c r="A206" s="26" t="s">
        <v>28</v>
      </c>
      <c r="B206" s="15" t="s">
        <v>116</v>
      </c>
      <c r="C206" s="3" t="s">
        <v>71</v>
      </c>
      <c r="J206" s="3" t="str">
        <f t="shared" ref="J206:M206" si="55">J184</f>
        <v>Het</v>
      </c>
      <c r="K206" s="3" t="str">
        <f t="shared" si="55"/>
        <v>NC_000001.10:g.[37325477A&gt;G];[37325477=]</v>
      </c>
      <c r="L206" s="3" t="str">
        <f t="shared" si="55"/>
        <v>NC_000001.10:g.[37449595C&gt;T];[37449595=]</v>
      </c>
      <c r="M206" s="3" t="str">
        <f t="shared" si="55"/>
        <v>NC_000002.11:g.[7783504A&gt;C];[7783504=]</v>
      </c>
    </row>
    <row r="207" spans="1:13" x14ac:dyDescent="0.25">
      <c r="A207" s="26" t="s">
        <v>73</v>
      </c>
      <c r="C207" s="3" t="str">
        <f>CONCATENATE("                    variantCall ",CHAR(40),CHAR(34),L206,CHAR(34),CHAR(41))</f>
        <v xml:space="preserve">                    variantCall ("NC_000001.10:g.[37449595C&gt;T];[37449595=]")</v>
      </c>
      <c r="J207" s="3" t="str">
        <f t="shared" ref="J207:M207" si="56">J185</f>
        <v>Homo</v>
      </c>
      <c r="K207" s="3" t="str">
        <f t="shared" si="56"/>
        <v>NC_000001.10:g.[37325477A&gt;G];[37325477A&gt;G]</v>
      </c>
      <c r="L207" s="3" t="str">
        <f t="shared" si="56"/>
        <v>NC_000001.10:g.[37449595C&gt;T];[37449595C&gt;T]</v>
      </c>
      <c r="M207" s="3" t="str">
        <f t="shared" si="56"/>
        <v>NC_000002.11:g.[7783504A&gt;C];[7783504A&gt;C]</v>
      </c>
    </row>
    <row r="208" spans="1:13" x14ac:dyDescent="0.25">
      <c r="A208" s="26"/>
      <c r="C208" s="3" t="s">
        <v>71</v>
      </c>
      <c r="J208" s="3" t="str">
        <f t="shared" ref="J208:M208" si="57">J186</f>
        <v>Wildtype</v>
      </c>
      <c r="K208" s="3" t="str">
        <f t="shared" si="57"/>
        <v>NC_000001.10:g.[37325477=];[37325477=]</v>
      </c>
      <c r="L208" s="3" t="str">
        <f t="shared" si="57"/>
        <v>NC_000001.10:g.[37449595=];[37449595=]</v>
      </c>
      <c r="M208" s="3" t="str">
        <f t="shared" si="57"/>
        <v>NC_000002.11:g.[7783504=];[7783504=]</v>
      </c>
    </row>
    <row r="209" spans="1:13" x14ac:dyDescent="0.25">
      <c r="A209" s="26"/>
      <c r="C209" s="3" t="str">
        <f>CONCATENATE("                    variantCall ",CHAR(40),CHAR(34),M206,CHAR(34),CHAR(41))</f>
        <v xml:space="preserve">                    variantCall ("NC_000002.11:g.[7783504A&gt;C];[7783504=]")</v>
      </c>
      <c r="J209" s="3" t="str">
        <f t="shared" ref="J209:M209" si="58">J187</f>
        <v>Het%</v>
      </c>
      <c r="K209" s="3">
        <f t="shared" si="58"/>
        <v>43</v>
      </c>
      <c r="L209" s="3">
        <f t="shared" si="58"/>
        <v>1.8</v>
      </c>
      <c r="M209" s="3">
        <f t="shared" si="58"/>
        <v>15.8</v>
      </c>
    </row>
    <row r="210" spans="1:13" x14ac:dyDescent="0.25">
      <c r="A210" s="26"/>
      <c r="C210" s="3" t="str">
        <f>CONCATENATE("                  } &gt; ")</f>
        <v xml:space="preserve">                  } &gt; </v>
      </c>
      <c r="J210" s="3" t="str">
        <f t="shared" ref="J210:M210" si="59">J188</f>
        <v>Homo%</v>
      </c>
      <c r="K210" s="3">
        <f t="shared" si="59"/>
        <v>19.899999999999999</v>
      </c>
      <c r="L210" s="3">
        <f t="shared" si="59"/>
        <v>0.5</v>
      </c>
      <c r="M210" s="3">
        <f t="shared" si="59"/>
        <v>4.7</v>
      </c>
    </row>
    <row r="211" spans="1:13" x14ac:dyDescent="0.25">
      <c r="A211" s="14"/>
      <c r="J211" s="3" t="str">
        <f t="shared" ref="J211:M211" si="60">J189</f>
        <v>Wildtype%</v>
      </c>
      <c r="K211" s="3">
        <f t="shared" si="60"/>
        <v>37.1</v>
      </c>
      <c r="L211" s="3">
        <f t="shared" si="60"/>
        <v>97.8</v>
      </c>
      <c r="M211" s="3">
        <f t="shared" si="60"/>
        <v>79.5</v>
      </c>
    </row>
    <row r="212" spans="1:13" x14ac:dyDescent="0.25">
      <c r="A212" s="14"/>
      <c r="C212" s="3" t="s">
        <v>26</v>
      </c>
    </row>
    <row r="213" spans="1:13" x14ac:dyDescent="0.25">
      <c r="A213" s="14"/>
    </row>
    <row r="214" spans="1:13" x14ac:dyDescent="0.25">
      <c r="A214" s="14"/>
      <c r="C214" s="3" t="str">
        <f>CONCATENATE("    ",B205)</f>
        <v xml:space="preserve">    People with this variant have one copy of the [T928G](https://www.ncbi.nlm.nih.gov/projects/SNP/snp_ref.cgi?rs=6691840)[(Ser310Ala)](https://www.ncbi.nlm.nih.gov/pubmed/11986986) and [A7783504C](https://www.ncbi.nlm.nih.gov/projects/SNP/snp_ref.cgi?rs=270838) variants. This substitution of a single nucleotide is known as a missense mutation.</v>
      </c>
    </row>
    <row r="215" spans="1:13" x14ac:dyDescent="0.25">
      <c r="A215" s="14"/>
    </row>
    <row r="216" spans="1:13" x14ac:dyDescent="0.25">
      <c r="A216" s="26"/>
      <c r="C216" s="3" t="s">
        <v>29</v>
      </c>
    </row>
    <row r="217" spans="1:13" x14ac:dyDescent="0.25">
      <c r="A217" s="26"/>
    </row>
    <row r="218" spans="1:13" x14ac:dyDescent="0.25">
      <c r="A218" s="26"/>
      <c r="C218" s="3" t="str">
        <f>CONCATENATE(B206)</f>
        <v xml:space="preserve">    There is currently no data on the interaction between these variants.  However, some information exists on the individual variants. 
    # What is the effect of T928G?
    Having one copy of T928G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219" spans="1:13" x14ac:dyDescent="0.25">
      <c r="A219" s="26"/>
    </row>
    <row r="220" spans="1:13" x14ac:dyDescent="0.25">
      <c r="A220" s="26"/>
      <c r="C220" s="3" t="s">
        <v>30</v>
      </c>
    </row>
    <row r="221" spans="1:13" x14ac:dyDescent="0.25">
      <c r="A221" s="26"/>
    </row>
    <row r="222" spans="1:13" x14ac:dyDescent="0.25">
      <c r="A222" s="26"/>
      <c r="C222" s="3" t="str">
        <f>CONCATENATE( "    &lt;piechart percentage=",B207," /&gt;")</f>
        <v xml:space="preserve">    &lt;piechart percentage= /&gt;</v>
      </c>
    </row>
    <row r="223" spans="1:13" x14ac:dyDescent="0.25">
      <c r="A223" s="26"/>
      <c r="C223" s="3" t="str">
        <f>"  &lt;/Analysis&gt;"</f>
        <v xml:space="preserve">  &lt;/Analysis&gt;</v>
      </c>
      <c r="K223" s="3" t="str">
        <f t="shared" ref="K223:M223" si="61">K201</f>
        <v>rs6691840</v>
      </c>
      <c r="L223" s="3" t="str">
        <f t="shared" si="61"/>
        <v>rs3913434</v>
      </c>
      <c r="M223" s="3" t="str">
        <f t="shared" si="61"/>
        <v>rs270838</v>
      </c>
    </row>
    <row r="224" spans="1:13" s="21" customFormat="1" x14ac:dyDescent="0.25">
      <c r="A224" s="28" t="s">
        <v>70</v>
      </c>
      <c r="B224" s="20" t="str">
        <f>CONCATENATE(B70," and ",B92)</f>
        <v>T928G (G;G) and C36983994T (C;T)</v>
      </c>
      <c r="C224" s="21" t="str">
        <f>CONCATENATE("&lt;# ",B224," #&gt;")</f>
        <v>&lt;# T928G (G;G) and C36983994T (C;T) #&gt;</v>
      </c>
      <c r="K224" s="21" t="str">
        <f t="shared" ref="K224:M224" si="62">K202</f>
        <v>T928G</v>
      </c>
      <c r="L224" s="21" t="str">
        <f t="shared" si="62"/>
        <v>C36983994T</v>
      </c>
      <c r="M224" s="21" t="str">
        <f t="shared" si="62"/>
        <v>A7783504C</v>
      </c>
    </row>
    <row r="225" spans="1:13" x14ac:dyDescent="0.25">
      <c r="A225" s="14" t="s">
        <v>21</v>
      </c>
      <c r="B225" s="15" t="str">
        <f>K140</f>
        <v>NC_000001.10:g.[37325477A&gt;G];[37325477=]</v>
      </c>
      <c r="K225" s="3" t="str">
        <f t="shared" ref="K225:M225" si="63">K203</f>
        <v>NC_000001.10:g.</v>
      </c>
      <c r="L225" s="3" t="str">
        <f t="shared" si="63"/>
        <v>NC_000001.10:g.</v>
      </c>
      <c r="M225" s="3" t="str">
        <f t="shared" si="63"/>
        <v>NC_000002.11:g.</v>
      </c>
    </row>
    <row r="226" spans="1:13" x14ac:dyDescent="0.25">
      <c r="A226" s="14" t="s">
        <v>72</v>
      </c>
      <c r="C226" s="3" t="str">
        <f>CONCATENATE("  &lt;Analysis name=",CHAR(34),B224,CHAR(34))</f>
        <v xml:space="preserve">  &lt;Analysis name="T928G (G;G) and C36983994T (C;T)"</v>
      </c>
      <c r="J226" s="3" t="str">
        <f t="shared" ref="J226:M226" si="64">J204</f>
        <v>Variant</v>
      </c>
      <c r="K226" s="3" t="str">
        <f t="shared" si="64"/>
        <v>[37325477A&gt;G]</v>
      </c>
      <c r="L226" s="3" t="str">
        <f t="shared" si="64"/>
        <v>[37449595C&gt;T]</v>
      </c>
      <c r="M226" s="3" t="str">
        <f t="shared" si="64"/>
        <v>[7783504A&gt;C]</v>
      </c>
    </row>
    <row r="227" spans="1:13" x14ac:dyDescent="0.25">
      <c r="A227" s="26" t="s">
        <v>75</v>
      </c>
      <c r="B227" s="15" t="str">
        <f>CONCATENATE("People with this variant have two copies of the ",B22," variant and one copy of the ",B31," variant. This substitution of a single nucleotide is known as a missense mutation.")</f>
        <v>People with this variant have two copies of the [T928G](https://www.ncbi.nlm.nih.gov/projects/SNP/snp_ref.cgi?rs=6691840)[(Ser310Ala)](https://www.ncbi.nlm.nih.gov/pubmed/11986986) variant and one copy of the [C36983994T](https://www.ncbi.nlm.nih.gov/projects/SNP/snp_ref.cgi?rs=3913434) variant. This substitution of a single nucleotide is known as a missense mutation.</v>
      </c>
      <c r="C227" s="3" t="str">
        <f>CONCATENATE("            case={  variantCall ",CHAR(40),CHAR(34),K228,CHAR(34),CHAR(41))</f>
        <v xml:space="preserve">            case={  variantCall ("NC_000001.10:g.[37325477A&gt;G];[37325477=]")</v>
      </c>
      <c r="J227" s="3" t="str">
        <f t="shared" ref="J227:M227" si="65">J205</f>
        <v>Wildtype</v>
      </c>
      <c r="K227" s="3" t="str">
        <f t="shared" si="65"/>
        <v>[37325477=]</v>
      </c>
      <c r="L227" s="3" t="str">
        <f t="shared" si="65"/>
        <v>[37449595=]</v>
      </c>
      <c r="M227" s="3" t="str">
        <f t="shared" si="65"/>
        <v>[7783504=]</v>
      </c>
    </row>
    <row r="228" spans="1:13" x14ac:dyDescent="0.25">
      <c r="A228" s="26" t="s">
        <v>28</v>
      </c>
      <c r="B228" s="3" t="s">
        <v>117</v>
      </c>
      <c r="C228" s="3" t="s">
        <v>71</v>
      </c>
      <c r="J228" s="3" t="str">
        <f t="shared" ref="J228:M228" si="66">J206</f>
        <v>Het</v>
      </c>
      <c r="K228" s="3" t="str">
        <f t="shared" si="66"/>
        <v>NC_000001.10:g.[37325477A&gt;G];[37325477=]</v>
      </c>
      <c r="L228" s="3" t="str">
        <f t="shared" si="66"/>
        <v>NC_000001.10:g.[37449595C&gt;T];[37449595=]</v>
      </c>
      <c r="M228" s="3" t="str">
        <f t="shared" si="66"/>
        <v>NC_000002.11:g.[7783504A&gt;C];[7783504=]</v>
      </c>
    </row>
    <row r="229" spans="1:13" x14ac:dyDescent="0.25">
      <c r="A229" s="26" t="s">
        <v>73</v>
      </c>
      <c r="C229" s="3" t="str">
        <f>CONCATENATE("                    variantCall ",CHAR(40),CHAR(34),L228,CHAR(34),CHAR(41))</f>
        <v xml:space="preserve">                    variantCall ("NC_000001.10:g.[37449595C&gt;T];[37449595=]")</v>
      </c>
      <c r="J229" s="3" t="str">
        <f t="shared" ref="J229:M229" si="67">J207</f>
        <v>Homo</v>
      </c>
      <c r="K229" s="3" t="str">
        <f t="shared" si="67"/>
        <v>NC_000001.10:g.[37325477A&gt;G];[37325477A&gt;G]</v>
      </c>
      <c r="L229" s="3" t="str">
        <f t="shared" si="67"/>
        <v>NC_000001.10:g.[37449595C&gt;T];[37449595C&gt;T]</v>
      </c>
      <c r="M229" s="3" t="str">
        <f t="shared" si="67"/>
        <v>NC_000002.11:g.[7783504A&gt;C];[7783504A&gt;C]</v>
      </c>
    </row>
    <row r="230" spans="1:13" x14ac:dyDescent="0.25">
      <c r="A230" s="26"/>
      <c r="C230" s="3" t="s">
        <v>71</v>
      </c>
      <c r="J230" s="3" t="str">
        <f t="shared" ref="J230:M230" si="68">J208</f>
        <v>Wildtype</v>
      </c>
      <c r="K230" s="3" t="str">
        <f t="shared" si="68"/>
        <v>NC_000001.10:g.[37325477=];[37325477=]</v>
      </c>
      <c r="L230" s="3" t="str">
        <f t="shared" si="68"/>
        <v>NC_000001.10:g.[37449595=];[37449595=]</v>
      </c>
      <c r="M230" s="3" t="str">
        <f t="shared" si="68"/>
        <v>NC_000002.11:g.[7783504=];[7783504=]</v>
      </c>
    </row>
    <row r="231" spans="1:13" x14ac:dyDescent="0.25">
      <c r="A231" s="26"/>
      <c r="C231" s="3" t="str">
        <f>CONCATENATE("                    variantCall ",CHAR(40),CHAR(34),M228,CHAR(34),CHAR(41))</f>
        <v xml:space="preserve">                    variantCall ("NC_000002.11:g.[7783504A&gt;C];[7783504=]")</v>
      </c>
      <c r="J231" s="3" t="str">
        <f t="shared" ref="J231:M231" si="69">J209</f>
        <v>Het%</v>
      </c>
      <c r="K231" s="3">
        <f t="shared" si="69"/>
        <v>43</v>
      </c>
      <c r="L231" s="3">
        <f t="shared" si="69"/>
        <v>1.8</v>
      </c>
      <c r="M231" s="3">
        <f t="shared" si="69"/>
        <v>15.8</v>
      </c>
    </row>
    <row r="232" spans="1:13" x14ac:dyDescent="0.25">
      <c r="A232" s="26"/>
      <c r="C232" s="3" t="str">
        <f>CONCATENATE("                  } &gt; ")</f>
        <v xml:space="preserve">                  } &gt; </v>
      </c>
      <c r="J232" s="3" t="str">
        <f t="shared" ref="J232:M232" si="70">J210</f>
        <v>Homo%</v>
      </c>
      <c r="K232" s="3">
        <f t="shared" si="70"/>
        <v>19.899999999999999</v>
      </c>
      <c r="L232" s="3">
        <f t="shared" si="70"/>
        <v>0.5</v>
      </c>
      <c r="M232" s="3">
        <f t="shared" si="70"/>
        <v>4.7</v>
      </c>
    </row>
    <row r="233" spans="1:13" x14ac:dyDescent="0.25">
      <c r="A233" s="14"/>
      <c r="J233" s="3" t="str">
        <f t="shared" ref="J233:M233" si="71">J211</f>
        <v>Wildtype%</v>
      </c>
      <c r="K233" s="3">
        <f t="shared" si="71"/>
        <v>37.1</v>
      </c>
      <c r="L233" s="3">
        <f t="shared" si="71"/>
        <v>97.8</v>
      </c>
      <c r="M233" s="3">
        <f t="shared" si="71"/>
        <v>79.5</v>
      </c>
    </row>
    <row r="234" spans="1:13" x14ac:dyDescent="0.25">
      <c r="A234" s="14"/>
      <c r="C234" s="3" t="s">
        <v>26</v>
      </c>
    </row>
    <row r="235" spans="1:13" x14ac:dyDescent="0.25">
      <c r="A235" s="14"/>
    </row>
    <row r="236" spans="1:13" x14ac:dyDescent="0.25">
      <c r="A236" s="14"/>
      <c r="C236" s="3" t="str">
        <f>CONCATENATE("    ",B227)</f>
        <v xml:space="preserve">    People with this variant have two copies of the [T928G](https://www.ncbi.nlm.nih.gov/projects/SNP/snp_ref.cgi?rs=6691840)[(Ser310Ala)](https://www.ncbi.nlm.nih.gov/pubmed/11986986) variant and one copy of the [C36983994T](https://www.ncbi.nlm.nih.gov/projects/SNP/snp_ref.cgi?rs=3913434) variant. This substitution of a single nucleotide is known as a missense mutation.</v>
      </c>
    </row>
    <row r="237" spans="1:13" x14ac:dyDescent="0.25">
      <c r="A237" s="14"/>
    </row>
    <row r="238" spans="1:13" x14ac:dyDescent="0.25">
      <c r="A238" s="26"/>
      <c r="C238" s="3" t="s">
        <v>29</v>
      </c>
    </row>
    <row r="239" spans="1:13" x14ac:dyDescent="0.25">
      <c r="A239" s="26"/>
    </row>
    <row r="240" spans="1:13" x14ac:dyDescent="0.25">
      <c r="A240" s="26"/>
      <c r="C240" s="3" t="str">
        <f>CONCATENATE(B228)</f>
        <v xml:space="preserve">    There is currently no data on the interaction between these variants.  However, some information exists on the individual variants. 
    # What is the effect of T928G?
Two copies of T928G is linked to increasing the risk of [schizophrenia](https://www.ncbi.nlm.nih.gov/pubmed/19921975/) by [30%](https://www.ncbi.nlm.nih.gov/pubmed/25054019?dopt=Abstract) and [recurrent major depressive disorder](https://www.ncbi.nlm.nih.gov/pubmed/16958029). Having two copies of this variant is associated with personality differences.  These include higher scores in [harm avoidance, anxiety, and shyness, and lower scores in novelty seeking, responsibility, resourcefulness, helpfulness, compassion, self motivation, and cooperativeness](https://www.ncbi.nlm.nih.gov/pubmed/19221446/). This pattern of scores is similar to that observed in [depressed patients](https://www.ncbi.nlm.nih.gov/pubmed/19221446/).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241" spans="1:13" x14ac:dyDescent="0.25">
      <c r="A241" s="26"/>
    </row>
    <row r="242" spans="1:13" x14ac:dyDescent="0.25">
      <c r="A242" s="26"/>
      <c r="C242" s="3" t="s">
        <v>30</v>
      </c>
    </row>
    <row r="243" spans="1:13" x14ac:dyDescent="0.25">
      <c r="A243" s="26"/>
    </row>
    <row r="244" spans="1:13" x14ac:dyDescent="0.25">
      <c r="A244" s="26"/>
      <c r="C244" s="3" t="str">
        <f>CONCATENATE( "    &lt;piechart percentage=",B229," /&gt;")</f>
        <v xml:space="preserve">    &lt;piechart percentage= /&gt;</v>
      </c>
    </row>
    <row r="245" spans="1:13" x14ac:dyDescent="0.25">
      <c r="A245" s="26"/>
      <c r="C245" s="3" t="str">
        <f>"  &lt;/Analysis&gt;"</f>
        <v xml:space="preserve">  &lt;/Analysis&gt;</v>
      </c>
      <c r="K245" s="3" t="str">
        <f t="shared" ref="K245:M245" si="72">K223</f>
        <v>rs6691840</v>
      </c>
      <c r="L245" s="3" t="str">
        <f t="shared" si="72"/>
        <v>rs3913434</v>
      </c>
      <c r="M245" s="3" t="str">
        <f t="shared" si="72"/>
        <v>rs270838</v>
      </c>
    </row>
    <row r="246" spans="1:13" s="21" customFormat="1" x14ac:dyDescent="0.25">
      <c r="A246" s="28" t="s">
        <v>70</v>
      </c>
      <c r="B246" s="20" t="str">
        <f>CONCATENATE(B70," and ",B114)</f>
        <v>T928G (G;G) and A7783504C (A;C)</v>
      </c>
      <c r="C246" s="21" t="str">
        <f>CONCATENATE("&lt;# ",B246," #&gt;")</f>
        <v>&lt;# T928G (G;G) and A7783504C (A;C) #&gt;</v>
      </c>
      <c r="K246" s="21" t="str">
        <f t="shared" ref="K246:M246" si="73">K224</f>
        <v>T928G</v>
      </c>
      <c r="L246" s="21" t="str">
        <f t="shared" si="73"/>
        <v>C36983994T</v>
      </c>
      <c r="M246" s="21" t="str">
        <f t="shared" si="73"/>
        <v>A7783504C</v>
      </c>
    </row>
    <row r="247" spans="1:13" x14ac:dyDescent="0.25">
      <c r="A247" s="14" t="s">
        <v>21</v>
      </c>
      <c r="B247" s="15" t="str">
        <f>K162</f>
        <v>NC_000001.10:g.[37325477A&gt;G];[37325477=]</v>
      </c>
      <c r="K247" s="3" t="str">
        <f t="shared" ref="K247:M247" si="74">K225</f>
        <v>NC_000001.10:g.</v>
      </c>
      <c r="L247" s="3" t="str">
        <f t="shared" si="74"/>
        <v>NC_000001.10:g.</v>
      </c>
      <c r="M247" s="3" t="str">
        <f t="shared" si="74"/>
        <v>NC_000002.11:g.</v>
      </c>
    </row>
    <row r="248" spans="1:13" x14ac:dyDescent="0.25">
      <c r="A248" s="14" t="s">
        <v>72</v>
      </c>
      <c r="C248" s="3" t="str">
        <f>CONCATENATE("  &lt;Analysis name=",CHAR(34),B246,CHAR(34))</f>
        <v xml:space="preserve">  &lt;Analysis name="T928G (G;G) and A7783504C (A;C)"</v>
      </c>
      <c r="J248" s="3" t="str">
        <f t="shared" ref="J248:M248" si="75">J226</f>
        <v>Variant</v>
      </c>
      <c r="K248" s="3" t="str">
        <f t="shared" si="75"/>
        <v>[37325477A&gt;G]</v>
      </c>
      <c r="L248" s="3" t="str">
        <f t="shared" si="75"/>
        <v>[37449595C&gt;T]</v>
      </c>
      <c r="M248" s="3" t="str">
        <f t="shared" si="75"/>
        <v>[7783504A&gt;C]</v>
      </c>
    </row>
    <row r="249" spans="1:13" x14ac:dyDescent="0.25">
      <c r="A249" s="26" t="s">
        <v>75</v>
      </c>
      <c r="B249" s="15" t="str">
        <f>CONCATENATE("People with this variant have two copies of the ",B22," variant and one copy of the ",B40," variant. This substitution of a single nucleotide is known as a missense mutation.")</f>
        <v>People with this variant have two copies of the [T928G](https://www.ncbi.nlm.nih.gov/projects/SNP/snp_ref.cgi?rs=6691840)[(Ser310Ala)](https://www.ncbi.nlm.nih.gov/pubmed/11986986) variant and one copy of the [A7783504C](https://www.ncbi.nlm.nih.gov/projects/SNP/snp_ref.cgi?rs=270838) variant. This substitution of a single nucleotide is known as a missense mutation.</v>
      </c>
      <c r="C249" s="3" t="str">
        <f>CONCATENATE("            case={  variantCall ",CHAR(40),CHAR(34),K250,CHAR(34),CHAR(41))</f>
        <v xml:space="preserve">            case={  variantCall ("NC_000001.10:g.[37325477A&gt;G];[37325477=]")</v>
      </c>
      <c r="J249" s="3" t="str">
        <f t="shared" ref="J249:M249" si="76">J227</f>
        <v>Wildtype</v>
      </c>
      <c r="K249" s="3" t="str">
        <f t="shared" si="76"/>
        <v>[37325477=]</v>
      </c>
      <c r="L249" s="3" t="str">
        <f t="shared" si="76"/>
        <v>[37449595=]</v>
      </c>
      <c r="M249" s="3" t="str">
        <f t="shared" si="76"/>
        <v>[7783504=]</v>
      </c>
    </row>
    <row r="250" spans="1:13" x14ac:dyDescent="0.25">
      <c r="A250" s="26" t="s">
        <v>28</v>
      </c>
      <c r="B250" s="15" t="s">
        <v>118</v>
      </c>
      <c r="C250" s="3" t="s">
        <v>71</v>
      </c>
      <c r="J250" s="3" t="str">
        <f t="shared" ref="J250:M250" si="77">J228</f>
        <v>Het</v>
      </c>
      <c r="K250" s="3" t="str">
        <f t="shared" si="77"/>
        <v>NC_000001.10:g.[37325477A&gt;G];[37325477=]</v>
      </c>
      <c r="L250" s="3" t="str">
        <f t="shared" si="77"/>
        <v>NC_000001.10:g.[37449595C&gt;T];[37449595=]</v>
      </c>
      <c r="M250" s="3" t="str">
        <f t="shared" si="77"/>
        <v>NC_000002.11:g.[7783504A&gt;C];[7783504=]</v>
      </c>
    </row>
    <row r="251" spans="1:13" x14ac:dyDescent="0.25">
      <c r="A251" s="26" t="s">
        <v>73</v>
      </c>
      <c r="C251" s="3" t="str">
        <f>CONCATENATE("                    variantCall ",CHAR(40),CHAR(34),L250,CHAR(34),CHAR(41))</f>
        <v xml:space="preserve">                    variantCall ("NC_000001.10:g.[37449595C&gt;T];[37449595=]")</v>
      </c>
      <c r="J251" s="3" t="str">
        <f t="shared" ref="J251:M251" si="78">J229</f>
        <v>Homo</v>
      </c>
      <c r="K251" s="3" t="str">
        <f t="shared" si="78"/>
        <v>NC_000001.10:g.[37325477A&gt;G];[37325477A&gt;G]</v>
      </c>
      <c r="L251" s="3" t="str">
        <f t="shared" si="78"/>
        <v>NC_000001.10:g.[37449595C&gt;T];[37449595C&gt;T]</v>
      </c>
      <c r="M251" s="3" t="str">
        <f t="shared" si="78"/>
        <v>NC_000002.11:g.[7783504A&gt;C];[7783504A&gt;C]</v>
      </c>
    </row>
    <row r="252" spans="1:13" x14ac:dyDescent="0.25">
      <c r="A252" s="26"/>
      <c r="C252" s="3" t="s">
        <v>71</v>
      </c>
      <c r="J252" s="3" t="str">
        <f t="shared" ref="J252:M252" si="79">J230</f>
        <v>Wildtype</v>
      </c>
      <c r="K252" s="3" t="str">
        <f t="shared" si="79"/>
        <v>NC_000001.10:g.[37325477=];[37325477=]</v>
      </c>
      <c r="L252" s="3" t="str">
        <f t="shared" si="79"/>
        <v>NC_000001.10:g.[37449595=];[37449595=]</v>
      </c>
      <c r="M252" s="3" t="str">
        <f t="shared" si="79"/>
        <v>NC_000002.11:g.[7783504=];[7783504=]</v>
      </c>
    </row>
    <row r="253" spans="1:13" x14ac:dyDescent="0.25">
      <c r="A253" s="26"/>
      <c r="C253" s="3" t="str">
        <f>CONCATENATE("                    variantCall ",CHAR(40),CHAR(34),M250,CHAR(34),CHAR(41))</f>
        <v xml:space="preserve">                    variantCall ("NC_000002.11:g.[7783504A&gt;C];[7783504=]")</v>
      </c>
      <c r="J253" s="3" t="str">
        <f t="shared" ref="J253:M253" si="80">J231</f>
        <v>Het%</v>
      </c>
      <c r="K253" s="3">
        <f t="shared" si="80"/>
        <v>43</v>
      </c>
      <c r="L253" s="3">
        <f t="shared" si="80"/>
        <v>1.8</v>
      </c>
      <c r="M253" s="3">
        <f t="shared" si="80"/>
        <v>15.8</v>
      </c>
    </row>
    <row r="254" spans="1:13" x14ac:dyDescent="0.25">
      <c r="A254" s="26"/>
      <c r="C254" s="3" t="str">
        <f>CONCATENATE("                  } &gt; ")</f>
        <v xml:space="preserve">                  } &gt; </v>
      </c>
      <c r="J254" s="3" t="str">
        <f t="shared" ref="J254:M254" si="81">J232</f>
        <v>Homo%</v>
      </c>
      <c r="K254" s="3">
        <f t="shared" si="81"/>
        <v>19.899999999999999</v>
      </c>
      <c r="L254" s="3">
        <f t="shared" si="81"/>
        <v>0.5</v>
      </c>
      <c r="M254" s="3">
        <f t="shared" si="81"/>
        <v>4.7</v>
      </c>
    </row>
    <row r="255" spans="1:13" x14ac:dyDescent="0.25">
      <c r="A255" s="14"/>
      <c r="J255" s="3" t="str">
        <f t="shared" ref="J255:M255" si="82">J233</f>
        <v>Wildtype%</v>
      </c>
      <c r="K255" s="3">
        <f t="shared" si="82"/>
        <v>37.1</v>
      </c>
      <c r="L255" s="3">
        <f t="shared" si="82"/>
        <v>97.8</v>
      </c>
      <c r="M255" s="3">
        <f t="shared" si="82"/>
        <v>79.5</v>
      </c>
    </row>
    <row r="256" spans="1:13" x14ac:dyDescent="0.25">
      <c r="A256" s="14"/>
      <c r="C256" s="3" t="s">
        <v>26</v>
      </c>
    </row>
    <row r="257" spans="1:13" x14ac:dyDescent="0.25">
      <c r="A257" s="14"/>
    </row>
    <row r="258" spans="1:13" x14ac:dyDescent="0.25">
      <c r="A258" s="14"/>
      <c r="C258" s="3" t="str">
        <f>CONCATENATE("    ",B249)</f>
        <v xml:space="preserve">    People with this variant have two copies of the [T928G](https://www.ncbi.nlm.nih.gov/projects/SNP/snp_ref.cgi?rs=6691840)[(Ser310Ala)](https://www.ncbi.nlm.nih.gov/pubmed/11986986) variant and one copy of the [A7783504C](https://www.ncbi.nlm.nih.gov/projects/SNP/snp_ref.cgi?rs=270838) variant. This substitution of a single nucleotide is known as a missense mutation.</v>
      </c>
    </row>
    <row r="259" spans="1:13" x14ac:dyDescent="0.25">
      <c r="A259" s="14"/>
    </row>
    <row r="260" spans="1:13" x14ac:dyDescent="0.25">
      <c r="A260" s="26"/>
      <c r="C260" s="3" t="s">
        <v>29</v>
      </c>
    </row>
    <row r="261" spans="1:13" x14ac:dyDescent="0.25">
      <c r="A261" s="26"/>
    </row>
    <row r="262" spans="1:13" x14ac:dyDescent="0.25">
      <c r="A262" s="26"/>
      <c r="C262" s="3" t="str">
        <f>CONCATENATE(B250)</f>
        <v xml:space="preserve">    There is currently no data on the interaction between these variants.  However, some information exists on the individual variants. 
    # What is the effect of T928G?
Two copies of T928G is linked to increasing the risk of [schizophrenia](https://www.ncbi.nlm.nih.gov/pubmed/19921975/) by [30%](https://www.ncbi.nlm.nih.gov/pubmed/25054019?dopt=Abstract) and [recurrent major depressive disorder](https://www.ncbi.nlm.nih.gov/pubmed/16958029). Having two copies of this variant is associated with personality differences.  These include higher scores in [harm avoidance, anxiety, and shyness, and lower scores in novelty seeking, responsibility, resourcefulness, helpfulness, compassion, self motivation, and cooperativeness](https://www.ncbi.nlm.nih.gov/pubmed/19221446/). This pattern of scores is similar to that observed in [depressed patients](https://www.ncbi.nlm.nih.gov/pubmed/19221446/).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263" spans="1:13" x14ac:dyDescent="0.25">
      <c r="A263" s="26"/>
    </row>
    <row r="264" spans="1:13" x14ac:dyDescent="0.25">
      <c r="A264" s="26"/>
      <c r="C264" s="3" t="s">
        <v>30</v>
      </c>
    </row>
    <row r="265" spans="1:13" x14ac:dyDescent="0.25">
      <c r="A265" s="26"/>
    </row>
    <row r="266" spans="1:13" x14ac:dyDescent="0.25">
      <c r="A266" s="26"/>
      <c r="C266" s="3" t="str">
        <f>CONCATENATE( "    &lt;piechart percentage=",B251," /&gt;")</f>
        <v xml:space="preserve">    &lt;piechart percentage= /&gt;</v>
      </c>
    </row>
    <row r="267" spans="1:13" x14ac:dyDescent="0.25">
      <c r="A267" s="26"/>
      <c r="C267" s="3" t="str">
        <f>"  &lt;/Analysis&gt;"</f>
        <v xml:space="preserve">  &lt;/Analysis&gt;</v>
      </c>
      <c r="K267" s="3" t="str">
        <f t="shared" ref="K267:M267" si="83">K245</f>
        <v>rs6691840</v>
      </c>
      <c r="L267" s="3" t="str">
        <f t="shared" si="83"/>
        <v>rs3913434</v>
      </c>
      <c r="M267" s="3" t="str">
        <f t="shared" si="83"/>
        <v>rs270838</v>
      </c>
    </row>
    <row r="268" spans="1:13" s="21" customFormat="1" x14ac:dyDescent="0.25">
      <c r="A268" s="28" t="s">
        <v>70</v>
      </c>
      <c r="B268" s="20" t="str">
        <f>CONCATENATE(B92," and ",B114)</f>
        <v>C36983994T (C;T) and A7783504C (A;C)</v>
      </c>
      <c r="C268" s="21" t="str">
        <f>CONCATENATE("&lt;# ",B268," #&gt;")</f>
        <v>&lt;# C36983994T (C;T) and A7783504C (A;C) #&gt;</v>
      </c>
      <c r="K268" s="21" t="str">
        <f t="shared" ref="K268:M268" si="84">K246</f>
        <v>T928G</v>
      </c>
      <c r="L268" s="21" t="str">
        <f t="shared" si="84"/>
        <v>C36983994T</v>
      </c>
      <c r="M268" s="21" t="str">
        <f t="shared" si="84"/>
        <v>A7783504C</v>
      </c>
    </row>
    <row r="269" spans="1:13" x14ac:dyDescent="0.25">
      <c r="A269" s="14" t="s">
        <v>21</v>
      </c>
      <c r="B269" s="15" t="str">
        <f>K184</f>
        <v>NC_000001.10:g.[37325477A&gt;G];[37325477=]</v>
      </c>
      <c r="K269" s="3" t="str">
        <f t="shared" ref="K269:M269" si="85">K247</f>
        <v>NC_000001.10:g.</v>
      </c>
      <c r="L269" s="3" t="str">
        <f t="shared" si="85"/>
        <v>NC_000001.10:g.</v>
      </c>
      <c r="M269" s="3" t="str">
        <f t="shared" si="85"/>
        <v>NC_000002.11:g.</v>
      </c>
    </row>
    <row r="270" spans="1:13" x14ac:dyDescent="0.25">
      <c r="A270" s="14" t="s">
        <v>72</v>
      </c>
      <c r="C270" s="3" t="str">
        <f>CONCATENATE("  &lt;Analysis name=",CHAR(34),B268,CHAR(34))</f>
        <v xml:space="preserve">  &lt;Analysis name="C36983994T (C;T) and A7783504C (A;C)"</v>
      </c>
      <c r="J270" s="3" t="str">
        <f t="shared" ref="J270:M270" si="86">J248</f>
        <v>Variant</v>
      </c>
      <c r="K270" s="3" t="str">
        <f t="shared" si="86"/>
        <v>[37325477A&gt;G]</v>
      </c>
      <c r="L270" s="3" t="str">
        <f t="shared" si="86"/>
        <v>[37449595C&gt;T]</v>
      </c>
      <c r="M270" s="3" t="str">
        <f t="shared" si="86"/>
        <v>[7783504A&gt;C]</v>
      </c>
    </row>
    <row r="271" spans="1:13" x14ac:dyDescent="0.25">
      <c r="A271" s="26" t="s">
        <v>75</v>
      </c>
      <c r="B271" s="15" t="str">
        <f>CONCATENATE("People with this variant have one copy of the ",B31," and ",B40," variants. This substitution of a single nucleotide is known as a missense mutation.")</f>
        <v>People with this variant have one copy of the [C36983994T](https://www.ncbi.nlm.nih.gov/projects/SNP/snp_ref.cgi?rs=3913434) and [A7783504C](https://www.ncbi.nlm.nih.gov/projects/SNP/snp_ref.cgi?rs=270838) variants. This substitution of a single nucleotide is known as a missense mutation.</v>
      </c>
      <c r="C271" s="3" t="str">
        <f>CONCATENATE("            case={  variantCall ",CHAR(40),CHAR(34),L272,CHAR(34),CHAR(41))</f>
        <v xml:space="preserve">            case={  variantCall ("NC_000001.10:g.[37449595C&gt;T];[37449595=]")</v>
      </c>
      <c r="J271" s="3" t="str">
        <f t="shared" ref="J271:M271" si="87">J249</f>
        <v>Wildtype</v>
      </c>
      <c r="K271" s="3" t="str">
        <f t="shared" si="87"/>
        <v>[37325477=]</v>
      </c>
      <c r="L271" s="3" t="str">
        <f t="shared" si="87"/>
        <v>[37449595=]</v>
      </c>
      <c r="M271" s="3" t="str">
        <f t="shared" si="87"/>
        <v>[7783504=]</v>
      </c>
    </row>
    <row r="272" spans="1:13" x14ac:dyDescent="0.25">
      <c r="A272" s="26" t="s">
        <v>28</v>
      </c>
      <c r="B272" s="15" t="s">
        <v>119</v>
      </c>
      <c r="C272" s="3" t="s">
        <v>71</v>
      </c>
      <c r="J272" s="3" t="str">
        <f t="shared" ref="J272:M272" si="88">J250</f>
        <v>Het</v>
      </c>
      <c r="K272" s="3" t="str">
        <f t="shared" si="88"/>
        <v>NC_000001.10:g.[37325477A&gt;G];[37325477=]</v>
      </c>
      <c r="L272" s="3" t="str">
        <f t="shared" si="88"/>
        <v>NC_000001.10:g.[37449595C&gt;T];[37449595=]</v>
      </c>
      <c r="M272" s="3" t="str">
        <f t="shared" si="88"/>
        <v>NC_000002.11:g.[7783504A&gt;C];[7783504=]</v>
      </c>
    </row>
    <row r="273" spans="1:13" x14ac:dyDescent="0.25">
      <c r="A273" s="26" t="s">
        <v>73</v>
      </c>
      <c r="C273" s="3" t="str">
        <f>CONCATENATE("                    variantCall ",CHAR(40),CHAR(34),M272,CHAR(34),CHAR(41))</f>
        <v xml:space="preserve">                    variantCall ("NC_000002.11:g.[7783504A&gt;C];[7783504=]")</v>
      </c>
      <c r="J273" s="3" t="str">
        <f t="shared" ref="J273:M273" si="89">J251</f>
        <v>Homo</v>
      </c>
      <c r="K273" s="3" t="str">
        <f t="shared" si="89"/>
        <v>NC_000001.10:g.[37325477A&gt;G];[37325477A&gt;G]</v>
      </c>
      <c r="L273" s="3" t="str">
        <f t="shared" si="89"/>
        <v>NC_000001.10:g.[37449595C&gt;T];[37449595C&gt;T]</v>
      </c>
      <c r="M273" s="3" t="str">
        <f t="shared" si="89"/>
        <v>NC_000002.11:g.[7783504A&gt;C];[7783504A&gt;C]</v>
      </c>
    </row>
    <row r="274" spans="1:13" x14ac:dyDescent="0.25">
      <c r="A274" s="26"/>
      <c r="J274" s="3" t="str">
        <f t="shared" ref="J274:M274" si="90">J252</f>
        <v>Wildtype</v>
      </c>
      <c r="K274" s="3" t="str">
        <f t="shared" si="90"/>
        <v>NC_000001.10:g.[37325477=];[37325477=]</v>
      </c>
      <c r="L274" s="3" t="str">
        <f t="shared" si="90"/>
        <v>NC_000001.10:g.[37449595=];[37449595=]</v>
      </c>
      <c r="M274" s="3" t="str">
        <f t="shared" si="90"/>
        <v>NC_000002.11:g.[7783504=];[7783504=]</v>
      </c>
    </row>
    <row r="275" spans="1:13" x14ac:dyDescent="0.25">
      <c r="A275" s="26"/>
      <c r="J275" s="3" t="str">
        <f t="shared" ref="J275:M275" si="91">J253</f>
        <v>Het%</v>
      </c>
      <c r="K275" s="3">
        <f t="shared" si="91"/>
        <v>43</v>
      </c>
      <c r="L275" s="3">
        <f t="shared" si="91"/>
        <v>1.8</v>
      </c>
      <c r="M275" s="3">
        <f t="shared" si="91"/>
        <v>15.8</v>
      </c>
    </row>
    <row r="276" spans="1:13" x14ac:dyDescent="0.25">
      <c r="A276" s="26"/>
      <c r="C276" s="3" t="str">
        <f>CONCATENATE("                  } &gt; ")</f>
        <v xml:space="preserve">                  } &gt; </v>
      </c>
      <c r="J276" s="3" t="str">
        <f t="shared" ref="J276:M276" si="92">J254</f>
        <v>Homo%</v>
      </c>
      <c r="K276" s="3">
        <f t="shared" si="92"/>
        <v>19.899999999999999</v>
      </c>
      <c r="L276" s="3">
        <f t="shared" si="92"/>
        <v>0.5</v>
      </c>
      <c r="M276" s="3">
        <f t="shared" si="92"/>
        <v>4.7</v>
      </c>
    </row>
    <row r="277" spans="1:13" x14ac:dyDescent="0.25">
      <c r="A277" s="14"/>
      <c r="J277" s="3" t="str">
        <f t="shared" ref="J277:M277" si="93">J255</f>
        <v>Wildtype%</v>
      </c>
      <c r="K277" s="3">
        <f t="shared" si="93"/>
        <v>37.1</v>
      </c>
      <c r="L277" s="3">
        <f t="shared" si="93"/>
        <v>97.8</v>
      </c>
      <c r="M277" s="3">
        <f t="shared" si="93"/>
        <v>79.5</v>
      </c>
    </row>
    <row r="278" spans="1:13" x14ac:dyDescent="0.25">
      <c r="A278" s="14"/>
      <c r="C278" s="3" t="s">
        <v>26</v>
      </c>
    </row>
    <row r="279" spans="1:13" x14ac:dyDescent="0.25">
      <c r="A279" s="14"/>
    </row>
    <row r="280" spans="1:13" x14ac:dyDescent="0.25">
      <c r="A280" s="14"/>
      <c r="C280" s="3" t="str">
        <f>CONCATENATE("    ",B271)</f>
        <v xml:space="preserve">    People with this variant have one copy of the [C36983994T](https://www.ncbi.nlm.nih.gov/projects/SNP/snp_ref.cgi?rs=3913434) and [A7783504C](https://www.ncbi.nlm.nih.gov/projects/SNP/snp_ref.cgi?rs=270838) variants. This substitution of a single nucleotide is known as a missense mutation.</v>
      </c>
    </row>
    <row r="281" spans="1:13" x14ac:dyDescent="0.25">
      <c r="A281" s="14"/>
    </row>
    <row r="282" spans="1:13" x14ac:dyDescent="0.25">
      <c r="A282" s="26"/>
      <c r="C282" s="3" t="s">
        <v>29</v>
      </c>
    </row>
    <row r="283" spans="1:13" x14ac:dyDescent="0.25">
      <c r="A283" s="26"/>
    </row>
    <row r="284" spans="1:13" x14ac:dyDescent="0.25">
      <c r="A284" s="26"/>
      <c r="C284" s="3" t="str">
        <f>CONCATENATE(B272)</f>
        <v xml:space="preserve">    There is currently no data on the interaction between these variants.  However, some information exists on the individual variants.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is the effect of A7783504C?
A7783504C was found was found in [71.4% of ME/CFS patients](https://www.ncbi.nlm.nih.gov/pubmed/26859813), compared with 2.6%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285" spans="1:13" x14ac:dyDescent="0.25">
      <c r="A285" s="26"/>
    </row>
    <row r="286" spans="1:13" x14ac:dyDescent="0.25">
      <c r="A286" s="26"/>
      <c r="C286" s="3" t="s">
        <v>30</v>
      </c>
    </row>
    <row r="287" spans="1:13" x14ac:dyDescent="0.25">
      <c r="A287" s="26"/>
    </row>
    <row r="288" spans="1:13" x14ac:dyDescent="0.25">
      <c r="A288" s="26"/>
      <c r="C288" s="3" t="str">
        <f>CONCATENATE( "    &lt;piechart percentage=",B273," /&gt;")</f>
        <v xml:space="preserve">    &lt;piechart percentage= /&gt;</v>
      </c>
    </row>
    <row r="289" spans="1:13" x14ac:dyDescent="0.25">
      <c r="A289" s="26"/>
      <c r="C289" s="3" t="str">
        <f>"  &lt;/Analysis&gt;"</f>
        <v xml:space="preserve">  &lt;/Analysis&gt;</v>
      </c>
      <c r="K289" s="3" t="str">
        <f t="shared" ref="K289:M289" si="94">K135</f>
        <v>rs6691840</v>
      </c>
      <c r="L289" s="3" t="str">
        <f t="shared" si="94"/>
        <v>rs3913434</v>
      </c>
      <c r="M289" s="3" t="str">
        <f t="shared" si="94"/>
        <v>rs270838</v>
      </c>
    </row>
    <row r="290" spans="1:13" s="21" customFormat="1" x14ac:dyDescent="0.25">
      <c r="A290" s="28" t="s">
        <v>70</v>
      </c>
      <c r="B290" s="20" t="s">
        <v>85</v>
      </c>
      <c r="C290" s="21" t="str">
        <f>CONCATENATE("&lt;# ",B290," #&gt;")</f>
        <v>&lt;# Wild type #&gt;</v>
      </c>
      <c r="K290" s="21" t="str">
        <f t="shared" ref="K290:M290" si="95">K136</f>
        <v>T928G</v>
      </c>
      <c r="L290" s="21" t="str">
        <f t="shared" si="95"/>
        <v>C36983994T</v>
      </c>
      <c r="M290" s="21" t="str">
        <f t="shared" si="95"/>
        <v>A7783504C</v>
      </c>
    </row>
    <row r="291" spans="1:13" x14ac:dyDescent="0.25">
      <c r="A291" s="14" t="s">
        <v>21</v>
      </c>
      <c r="B291" s="15" t="str">
        <f>K54</f>
        <v>NC_000001.10:g.[37325477=];[37325477=]</v>
      </c>
      <c r="K291" s="3" t="str">
        <f t="shared" ref="K291:M291" si="96">K137</f>
        <v>NC_000001.10:g.</v>
      </c>
      <c r="L291" s="3" t="str">
        <f t="shared" si="96"/>
        <v>NC_000001.10:g.</v>
      </c>
      <c r="M291" s="3" t="str">
        <f t="shared" si="96"/>
        <v>NC_000002.11:g.</v>
      </c>
    </row>
    <row r="292" spans="1:13" x14ac:dyDescent="0.25">
      <c r="A292" s="14" t="s">
        <v>72</v>
      </c>
      <c r="B292" s="15" t="str">
        <f>L54</f>
        <v>NC_000001.10:g.[37449595=];[37449595=]</v>
      </c>
      <c r="C292" s="3" t="str">
        <f>CONCATENATE("  &lt;Analysis name=",CHAR(34),B290,CHAR(34))</f>
        <v xml:space="preserve">  &lt;Analysis name="Wild type"</v>
      </c>
      <c r="J292" s="3" t="str">
        <f t="shared" ref="J292:M292" si="97">J138</f>
        <v>Variant</v>
      </c>
      <c r="K292" s="3" t="str">
        <f t="shared" si="97"/>
        <v>[37325477A&gt;G]</v>
      </c>
      <c r="L292" s="3" t="str">
        <f t="shared" si="97"/>
        <v>[37449595C&gt;T]</v>
      </c>
      <c r="M292" s="3" t="str">
        <f t="shared" si="97"/>
        <v>[7783504A&gt;C]</v>
      </c>
    </row>
    <row r="293" spans="1:13" x14ac:dyDescent="0.25">
      <c r="A293" s="26" t="s">
        <v>75</v>
      </c>
      <c r="B293" s="15" t="str">
        <f>CONCATENATE("Your ",B12," gene has no variants. A normal gene is referred to as a ",CHAR(34),"wild-type",CHAR(34)," gene.")</f>
        <v>Your GRIK3 gene has no variants. A normal gene is referred to as a "wild-type" gene.</v>
      </c>
      <c r="C293" s="3" t="str">
        <f>CONCATENATE("            case={  variantCall ",CHAR(40),CHAR(34),B291,CHAR(34),CHAR(41))</f>
        <v xml:space="preserve">            case={  variantCall ("NC_000001.10:g.[37325477=];[37325477=]")</v>
      </c>
      <c r="J293" s="3" t="str">
        <f t="shared" ref="J293:M293" si="98">J139</f>
        <v>Wildtype</v>
      </c>
      <c r="K293" s="3" t="str">
        <f t="shared" si="98"/>
        <v>[37325477=]</v>
      </c>
      <c r="L293" s="3" t="str">
        <f t="shared" si="98"/>
        <v>[37449595=]</v>
      </c>
      <c r="M293" s="3" t="str">
        <f t="shared" si="98"/>
        <v>[7783504=]</v>
      </c>
    </row>
    <row r="294" spans="1:13" x14ac:dyDescent="0.25">
      <c r="A294" s="26" t="s">
        <v>28</v>
      </c>
      <c r="C294" s="3" t="s">
        <v>71</v>
      </c>
      <c r="J294" s="3" t="str">
        <f t="shared" ref="J294:M294" si="99">J140</f>
        <v>Het</v>
      </c>
      <c r="K294" s="3" t="str">
        <f t="shared" si="99"/>
        <v>NC_000001.10:g.[37325477A&gt;G];[37325477=]</v>
      </c>
      <c r="L294" s="3" t="str">
        <f t="shared" si="99"/>
        <v>NC_000001.10:g.[37449595C&gt;T];[37449595=]</v>
      </c>
      <c r="M294" s="3" t="str">
        <f t="shared" si="99"/>
        <v>NC_000002.11:g.[7783504A&gt;C];[7783504=]</v>
      </c>
    </row>
    <row r="295" spans="1:13" x14ac:dyDescent="0.25">
      <c r="A295" s="26" t="s">
        <v>73</v>
      </c>
      <c r="C295" s="3" t="str">
        <f>CONCATENATE("                    ",CHAR(40),"variantCall ",CHAR(40),CHAR(34),L295,CHAR(34),CHAR(41)," or variantCall ",CHAR(40),CHAR(34),L296,CHAR(34),CHAR(41),CHAR(41))</f>
        <v xml:space="preserve">                    (variantCall ("NC_000001.10:g.[37449595C&gt;T];[37449595C&gt;T]") or variantCall ("NC_000001.10:g.[37449595=];[37449595=]"))</v>
      </c>
      <c r="J295" s="3" t="str">
        <f t="shared" ref="J295:M295" si="100">J141</f>
        <v>Homo</v>
      </c>
      <c r="K295" s="3" t="str">
        <f t="shared" si="100"/>
        <v>NC_000001.10:g.[37325477A&gt;G];[37325477A&gt;G]</v>
      </c>
      <c r="L295" s="3" t="str">
        <f t="shared" si="100"/>
        <v>NC_000001.10:g.[37449595C&gt;T];[37449595C&gt;T]</v>
      </c>
      <c r="M295" s="3" t="str">
        <f t="shared" si="100"/>
        <v>NC_000002.11:g.[7783504A&gt;C];[7783504A&gt;C]</v>
      </c>
    </row>
    <row r="296" spans="1:13" x14ac:dyDescent="0.25">
      <c r="A296" s="26"/>
      <c r="C296" s="3" t="s">
        <v>71</v>
      </c>
      <c r="J296" s="3" t="str">
        <f t="shared" ref="J296:M296" si="101">J142</f>
        <v>Wildtype</v>
      </c>
      <c r="K296" s="3" t="str">
        <f t="shared" si="101"/>
        <v>NC_000001.10:g.[37325477=];[37325477=]</v>
      </c>
      <c r="L296" s="3" t="str">
        <f t="shared" si="101"/>
        <v>NC_000001.10:g.[37449595=];[37449595=]</v>
      </c>
      <c r="M296" s="3" t="str">
        <f t="shared" si="101"/>
        <v>NC_000002.11:g.[7783504=];[7783504=]</v>
      </c>
    </row>
    <row r="297" spans="1:13" x14ac:dyDescent="0.25">
      <c r="A297" s="26"/>
      <c r="C297" s="3" t="str">
        <f>CONCATENATE("                    ",CHAR(40),"variantCall ",CHAR(40),CHAR(34),M295,CHAR(34),CHAR(41)," or variantCall ",CHAR(40),CHAR(34),M296,CHAR(34),CHAR(41),CHAR(41))</f>
        <v xml:space="preserve">                    (variantCall ("NC_000002.11:g.[7783504A&gt;C];[7783504A&gt;C]") or variantCall ("NC_000002.11:g.[7783504=];[7783504=]"))</v>
      </c>
      <c r="J297" s="3" t="str">
        <f t="shared" ref="J297:M297" si="102">J143</f>
        <v>Het%</v>
      </c>
      <c r="K297" s="3">
        <f t="shared" si="102"/>
        <v>43</v>
      </c>
      <c r="L297" s="3">
        <f t="shared" si="102"/>
        <v>1.8</v>
      </c>
      <c r="M297" s="3">
        <f t="shared" si="102"/>
        <v>15.8</v>
      </c>
    </row>
    <row r="298" spans="1:13" x14ac:dyDescent="0.25">
      <c r="A298" s="26"/>
      <c r="C298" s="3" t="str">
        <f>CONCATENATE("                  } &gt; ")</f>
        <v xml:space="preserve">                  } &gt; </v>
      </c>
      <c r="J298" s="3" t="str">
        <f t="shared" ref="J298:M298" si="103">J144</f>
        <v>Homo%</v>
      </c>
      <c r="K298" s="3">
        <f t="shared" si="103"/>
        <v>19.899999999999999</v>
      </c>
      <c r="L298" s="3">
        <f t="shared" si="103"/>
        <v>0.5</v>
      </c>
      <c r="M298" s="3">
        <f t="shared" si="103"/>
        <v>4.7</v>
      </c>
    </row>
    <row r="299" spans="1:13" x14ac:dyDescent="0.25">
      <c r="A299" s="14"/>
      <c r="J299" s="3" t="str">
        <f t="shared" ref="J299:M299" si="104">J145</f>
        <v>Wildtype%</v>
      </c>
      <c r="K299" s="3">
        <f t="shared" si="104"/>
        <v>37.1</v>
      </c>
      <c r="L299" s="3">
        <f t="shared" si="104"/>
        <v>97.8</v>
      </c>
      <c r="M299" s="3">
        <f t="shared" si="104"/>
        <v>79.5</v>
      </c>
    </row>
    <row r="300" spans="1:13" x14ac:dyDescent="0.25">
      <c r="A300" s="14"/>
      <c r="C300" s="3" t="s">
        <v>26</v>
      </c>
    </row>
    <row r="301" spans="1:13" x14ac:dyDescent="0.25">
      <c r="A301" s="14"/>
    </row>
    <row r="302" spans="1:13" x14ac:dyDescent="0.25">
      <c r="A302" s="26"/>
      <c r="C302" s="3" t="str">
        <f>CONCATENATE("    ",B293)</f>
        <v xml:space="preserve">    Your GRIK3 gene has no variants. A normal gene is referred to as a "wild-type" gene.</v>
      </c>
    </row>
    <row r="303" spans="1:13" x14ac:dyDescent="0.25">
      <c r="A303" s="26"/>
    </row>
    <row r="304" spans="1:13" x14ac:dyDescent="0.25">
      <c r="A304" s="26"/>
      <c r="C304" s="3" t="s">
        <v>30</v>
      </c>
    </row>
    <row r="305" spans="1:3" x14ac:dyDescent="0.25">
      <c r="A305" s="26"/>
    </row>
    <row r="306" spans="1:3" x14ac:dyDescent="0.25">
      <c r="A306" s="26"/>
      <c r="C306" s="3" t="str">
        <f>CONCATENATE( "    &lt;piechart percentage=",B295," /&gt;")</f>
        <v xml:space="preserve">    &lt;piechart percentage= /&gt;</v>
      </c>
    </row>
    <row r="307" spans="1:3" x14ac:dyDescent="0.25">
      <c r="A307" s="26"/>
      <c r="C307" s="3" t="str">
        <f>"  &lt;/Analysis&gt;"</f>
        <v xml:space="preserve">  &lt;/Analysis&gt;</v>
      </c>
    </row>
    <row r="308" spans="1:3" s="21" customFormat="1" x14ac:dyDescent="0.25">
      <c r="A308" s="28" t="s">
        <v>70</v>
      </c>
      <c r="B308" s="20" t="s">
        <v>86</v>
      </c>
      <c r="C308" s="21" t="str">
        <f>CONCATENATE("&lt;# ",B308," #&gt;")</f>
        <v>&lt;# Unknown #&gt;</v>
      </c>
    </row>
    <row r="309" spans="1:3" x14ac:dyDescent="0.25">
      <c r="A309" s="14" t="s">
        <v>21</v>
      </c>
      <c r="B309" s="15" t="str">
        <f>K72</f>
        <v>[37325477A&gt;G]</v>
      </c>
    </row>
    <row r="310" spans="1:3" x14ac:dyDescent="0.25">
      <c r="A310" s="14" t="s">
        <v>72</v>
      </c>
      <c r="C310" s="3" t="str">
        <f>CONCATENATE("  &lt;Analysis name=",CHAR(34),B308,CHAR(34), " case=true&gt;")</f>
        <v xml:space="preserve">  &lt;Analysis name="Unknown" case=true&gt;</v>
      </c>
    </row>
    <row r="311" spans="1:3" x14ac:dyDescent="0.25">
      <c r="A311" s="26" t="s">
        <v>75</v>
      </c>
      <c r="B311" s="15" t="s">
        <v>31</v>
      </c>
    </row>
    <row r="312" spans="1:3" x14ac:dyDescent="0.25">
      <c r="A312" s="26" t="s">
        <v>73</v>
      </c>
      <c r="B312" s="15">
        <v>0</v>
      </c>
      <c r="C312" s="3" t="s">
        <v>26</v>
      </c>
    </row>
    <row r="313" spans="1:3" x14ac:dyDescent="0.25">
      <c r="A313" s="26"/>
    </row>
    <row r="314" spans="1:3" x14ac:dyDescent="0.25">
      <c r="A314" s="14"/>
      <c r="C314" s="3" t="str">
        <f>CONCATENATE("    ",B311)</f>
        <v xml:space="preserve">    The effect is unknown.</v>
      </c>
    </row>
    <row r="315" spans="1:3" x14ac:dyDescent="0.25">
      <c r="A315" s="14"/>
    </row>
    <row r="316" spans="1:3" x14ac:dyDescent="0.25">
      <c r="A316" s="14"/>
      <c r="C316" s="3" t="s">
        <v>30</v>
      </c>
    </row>
    <row r="317" spans="1:3" x14ac:dyDescent="0.25">
      <c r="A317" s="26"/>
    </row>
    <row r="318" spans="1:3" x14ac:dyDescent="0.25">
      <c r="A318" s="26"/>
      <c r="C318" s="3" t="str">
        <f>CONCATENATE( "    &lt;piechart percentage=",B312," /&gt;")</f>
        <v xml:space="preserve">    &lt;piechart percentage=0 /&gt;</v>
      </c>
    </row>
    <row r="319" spans="1:3" x14ac:dyDescent="0.25">
      <c r="A319" s="26"/>
      <c r="C319" s="3" t="str">
        <f>"  &lt;/Analysis&gt;"</f>
        <v xml:space="preserve">  &lt;/Analysis&gt;</v>
      </c>
    </row>
    <row r="320" spans="1:3" x14ac:dyDescent="0.25">
      <c r="A320" s="14"/>
      <c r="C320" s="31" t="s">
        <v>78</v>
      </c>
    </row>
    <row r="321" spans="1:3" s="21" customFormat="1" x14ac:dyDescent="0.25">
      <c r="A321" s="19"/>
      <c r="B321" s="20"/>
      <c r="C321" s="35"/>
    </row>
    <row r="322" spans="1:3" x14ac:dyDescent="0.25">
      <c r="A322" s="14" t="s">
        <v>79</v>
      </c>
      <c r="B322" s="15" t="s">
        <v>125</v>
      </c>
      <c r="C322" s="10" t="str">
        <f>CONCATENATE("&lt;# ",A322," ",B322," #&gt;")</f>
        <v>&lt;# Tissues brain D001921 #&gt;</v>
      </c>
    </row>
    <row r="323" spans="1:3" x14ac:dyDescent="0.25">
      <c r="A323" s="14"/>
    </row>
    <row r="324" spans="1:3" x14ac:dyDescent="0.25">
      <c r="A324" s="14"/>
      <c r="B324" s="15" t="s">
        <v>126</v>
      </c>
      <c r="C324" s="31" t="str">
        <f>CONCATENATE("&lt;TopicBar ",B324," /&gt;")</f>
        <v>&lt;TopicBar brain /&gt;</v>
      </c>
    </row>
    <row r="325" spans="1:3" x14ac:dyDescent="0.25">
      <c r="A325" s="14"/>
    </row>
    <row r="326" spans="1:3" x14ac:dyDescent="0.25">
      <c r="A326" s="14" t="s">
        <v>32</v>
      </c>
      <c r="B326" s="15" t="s">
        <v>121</v>
      </c>
      <c r="C326" s="10" t="str">
        <f>CONCATENATE("&lt;# ",A326," ",B326," #&gt;")</f>
        <v>&lt;# Symptoms depression, stress, problems with thinking or memory, brain fog, pain #&gt;</v>
      </c>
    </row>
    <row r="327" spans="1:3" x14ac:dyDescent="0.25">
      <c r="A327" s="14"/>
    </row>
    <row r="328" spans="1:3" x14ac:dyDescent="0.25">
      <c r="A328" s="14"/>
      <c r="B328" s="15" t="s">
        <v>122</v>
      </c>
      <c r="C328" s="31" t="str">
        <f>CONCATENATE("&lt;TopicBar ",B328," /&gt;")</f>
        <v>&lt;TopicBar mesh_D003863 mesh_D040701 mesh_D008569 mesh_D010146 /&gt;</v>
      </c>
    </row>
    <row r="329" spans="1:3" x14ac:dyDescent="0.25">
      <c r="A329" s="14"/>
      <c r="C329" s="31"/>
    </row>
    <row r="330" spans="1:3" x14ac:dyDescent="0.25">
      <c r="A330" s="14" t="s">
        <v>48</v>
      </c>
      <c r="B330" s="15" t="s">
        <v>123</v>
      </c>
      <c r="C330" s="10" t="str">
        <f>CONCATENATE("&lt;# ",A330," ",B330," #&gt;")</f>
        <v>&lt;# Diseases schizophrenia D012559; major depressive disorder D003866; ME/CFS D015673;  #&gt;</v>
      </c>
    </row>
    <row r="331" spans="1:3" x14ac:dyDescent="0.25">
      <c r="A331" s="14"/>
    </row>
    <row r="332" spans="1:3" x14ac:dyDescent="0.25">
      <c r="A332" s="14"/>
      <c r="B332" s="15" t="s">
        <v>124</v>
      </c>
      <c r="C332" s="31" t="str">
        <f>CONCATENATE("&lt;TopicBar ",B332," /&gt;")</f>
        <v>&lt;TopicBar mesh_D012559 mesh_D003866 mesh_D015673 /&gt;</v>
      </c>
    </row>
    <row r="333" spans="1:3" x14ac:dyDescent="0.25">
      <c r="A333" s="14"/>
    </row>
    <row r="334" spans="1:3" s="21" customFormat="1" x14ac:dyDescent="0.25">
      <c r="A334" s="28"/>
      <c r="B334" s="20"/>
    </row>
    <row r="335" spans="1:3" x14ac:dyDescent="0.25">
      <c r="B335" s="30"/>
    </row>
    <row r="337" spans="2:2" x14ac:dyDescent="0.25">
      <c r="B337" s="30"/>
    </row>
    <row r="339" spans="2:2" x14ac:dyDescent="0.25">
      <c r="B339" s="30"/>
    </row>
    <row r="341" spans="2:2" x14ac:dyDescent="0.25">
      <c r="B341" s="30"/>
    </row>
    <row r="343" spans="2:2" x14ac:dyDescent="0.25">
      <c r="B343" s="3"/>
    </row>
    <row r="345" spans="2:2" x14ac:dyDescent="0.25">
      <c r="B345" s="3"/>
    </row>
    <row r="1017" spans="3:3" x14ac:dyDescent="0.25">
      <c r="C1017" s="3" t="str">
        <f>CONCATENATE("    This variant is a change at a specific point in the ",B1008," gene from ",B1017," to ",B1018," resulting in incorrect ",B1011,"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023" spans="3:3" x14ac:dyDescent="0.25">
      <c r="C1023" s="3" t="str">
        <f>CONCATENATE("    This variant is a change at a specific point in the ",B1008," gene from ",B1023," to ",B1024," resulting in incorrect ",B1011,"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153" spans="3:3" x14ac:dyDescent="0.25">
      <c r="C1153" s="3" t="str">
        <f>CONCATENATE("    This variant is a change at a specific point in the ",B1144," gene from ",B1153," to ",B1154," resulting in incorrect ",B1147,"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159" spans="3:3" x14ac:dyDescent="0.25">
      <c r="C1159" s="3" t="str">
        <f>CONCATENATE("    This variant is a change at a specific point in the ",B1144," gene from ",B1159," to ",B1160," resulting in incorrect ",B1147,"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561" spans="3:3" x14ac:dyDescent="0.25">
      <c r="C1561" s="3" t="str">
        <f>CONCATENATE("    This variant is a change at a specific point in the ",B1552," gene from ",B1561," to ",B1562," resulting in incorrect ",B1555,"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567" spans="3:3" x14ac:dyDescent="0.25">
      <c r="C1567" s="3" t="str">
        <f>CONCATENATE("    This variant is a change at a specific point in the ",B1552," gene from ",B1567," to ",B1568," resulting in incorrect ",B1555,"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97" spans="3:3" x14ac:dyDescent="0.25">
      <c r="C1697" s="3" t="str">
        <f>CONCATENATE("    This variant is a change at a specific point in the ",B1688," gene from ",B1697," to ",B1698," resulting in incorrect ",B1691,"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703" spans="3:3" x14ac:dyDescent="0.25">
      <c r="C1703" s="3" t="str">
        <f>CONCATENATE("    This variant is a change at a specific point in the ",B1688," gene from ",B1703," to ",B1704," resulting in incorrect ",B1691,"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33" spans="3:3" x14ac:dyDescent="0.25">
      <c r="C1833" s="3" t="str">
        <f>CONCATENATE("    This variant is a change at a specific point in the ",B1824," gene from ",B1833," to ",B1834," resulting in incorrect ",B1827,"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39" spans="3:3" x14ac:dyDescent="0.25">
      <c r="C1839" s="3" t="str">
        <f>CONCATENATE("    This variant is a change at a specific point in the ",B1824," gene from ",B1839," to ",B1840," resulting in incorrect ",B1827,"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969" spans="3:3" x14ac:dyDescent="0.25">
      <c r="C1969" s="3" t="str">
        <f>CONCATENATE("    This variant is a change at a specific point in the ",B1960," gene from ",B1969," to ",B1970," resulting in incorrect ",B1963,"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975" spans="3:3" x14ac:dyDescent="0.25">
      <c r="C1975" s="3" t="str">
        <f>CONCATENATE("    This variant is a change at a specific point in the ",B1960," gene from ",B1975," to ",B1976," resulting in incorrect ",B1963,"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05" spans="3:3" x14ac:dyDescent="0.25">
      <c r="C2105" s="3" t="str">
        <f>CONCATENATE("    This variant is a change at a specific point in the ",B2096," gene from ",B2105," to ",B2106," resulting in incorrect ",B2099,"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11" spans="3:3" x14ac:dyDescent="0.25">
      <c r="C2111" s="3" t="str">
        <f>CONCATENATE("    This variant is a change at a specific point in the ",B2096," gene from ",B2111," to ",B2112," resulting in incorrect ",B2099,"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41" spans="3:3" x14ac:dyDescent="0.25">
      <c r="C2241" s="3" t="str">
        <f>CONCATENATE("    This variant is a change at a specific point in the ",B2232," gene from ",B2241," to ",B2242," resulting in incorrect ",B2235,"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47" spans="3:3" x14ac:dyDescent="0.25">
      <c r="C2247" s="3" t="str">
        <f>CONCATENATE("    This variant is a change at a specific point in the ",B2232," gene from ",B2247," to ",B2248," resulting in incorrect ",B2235,"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377" spans="3:3" x14ac:dyDescent="0.25">
      <c r="C2377" s="3" t="str">
        <f>CONCATENATE("    This variant is a change at a specific point in the ",B2368," gene from ",B2377," to ",B2378," resulting in incorrect ",B2371,"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383" spans="3:3" x14ac:dyDescent="0.25">
      <c r="C2383" s="3" t="str">
        <f>CONCATENATE("    This variant is a change at a specific point in the ",B2368," gene from ",B2383," to ",B2384," resulting in incorrect ",B2371,"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513" spans="3:3" x14ac:dyDescent="0.25">
      <c r="C2513" s="3" t="str">
        <f>CONCATENATE("    This variant is a change at a specific point in the ",B2504," gene from ",B2513," to ",B2514," resulting in incorrect ",B2507,"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519" spans="3:3" x14ac:dyDescent="0.25">
      <c r="C2519" s="3" t="str">
        <f>CONCATENATE("    This variant is a change at a specific point in the ",B2504," gene from ",B2519," to ",B2520," resulting in incorrect ",B2507," function. This substitution of a single nucleotide is known as a missense variant.")</f>
        <v xml:space="preserve">    This variant is a change at a specific point in the  gene from  to  resulting in incorrect  function. This substitution of a single nucleotide is known as a missense variant.</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72913-4D6D-48FF-8B0A-1F43D27DCA12}">
  <dimension ref="A1:AJ2510"/>
  <sheetViews>
    <sheetView topLeftCell="A16" workbookViewId="0">
      <selection sqref="A1:XFD1048576"/>
    </sheetView>
  </sheetViews>
  <sheetFormatPr defaultRowHeight="15.75" x14ac:dyDescent="0.25"/>
  <cols>
    <col min="1" max="1" width="16.28515625" style="3" customWidth="1"/>
    <col min="2" max="2" width="58.28515625" style="15" customWidth="1"/>
    <col min="3" max="6" width="9.140625" style="3"/>
    <col min="7" max="7" width="10.28515625" style="3" bestFit="1" customWidth="1"/>
    <col min="8" max="8" width="13" style="3" customWidth="1"/>
    <col min="9" max="9" width="13.42578125" style="3" customWidth="1"/>
    <col min="10" max="10" width="11.85546875" style="3" customWidth="1"/>
    <col min="11" max="11" width="12.85546875" style="3" customWidth="1"/>
    <col min="12" max="12" width="13.5703125" style="3" customWidth="1"/>
    <col min="13" max="13" width="12" style="3" customWidth="1"/>
    <col min="14" max="14" width="12.85546875" style="3" customWidth="1"/>
    <col min="15" max="16" width="9.140625" style="3"/>
    <col min="17" max="17" width="17.42578125" style="3" customWidth="1"/>
    <col min="18" max="18" width="15.5703125" style="3" customWidth="1"/>
    <col min="19" max="23" width="15.42578125" style="3" bestFit="1" customWidth="1"/>
    <col min="24" max="24" width="14.85546875" style="3" customWidth="1"/>
    <col min="25" max="25" width="16.7109375" style="3" customWidth="1"/>
    <col min="26" max="26" width="19.42578125" style="3" customWidth="1"/>
    <col min="27" max="27" width="18" style="3" customWidth="1"/>
    <col min="28" max="28" width="17.85546875" style="3" customWidth="1"/>
    <col min="29" max="29" width="16" style="3" customWidth="1"/>
    <col min="30" max="30" width="9.140625" style="3"/>
    <col min="31" max="31" width="12.85546875" style="3" bestFit="1" customWidth="1"/>
    <col min="32" max="32" width="11.7109375" style="3" bestFit="1" customWidth="1"/>
    <col min="33" max="16384" width="9.140625" style="3"/>
  </cols>
  <sheetData>
    <row r="1" spans="1:36" x14ac:dyDescent="0.25">
      <c r="A1" s="8" t="s">
        <v>0</v>
      </c>
      <c r="B1" s="9" t="s">
        <v>1</v>
      </c>
      <c r="C1" s="8" t="s">
        <v>2</v>
      </c>
      <c r="H1" s="10"/>
      <c r="I1" s="11"/>
      <c r="J1" s="10"/>
      <c r="K1" s="10"/>
      <c r="L1" s="10"/>
      <c r="Y1" s="12"/>
      <c r="AC1" s="12"/>
      <c r="AF1" s="13"/>
      <c r="AG1" s="13"/>
      <c r="AJ1" s="13"/>
    </row>
    <row r="2" spans="1:36" x14ac:dyDescent="0.25">
      <c r="A2" s="14" t="s">
        <v>35</v>
      </c>
      <c r="B2" t="s">
        <v>87</v>
      </c>
      <c r="C2" s="3" t="str">
        <f>CONCATENATE("&lt;",A2," ",B2," /&gt;")</f>
        <v>&lt;Gene_Name GRIK3 /&gt;</v>
      </c>
      <c r="D2" s="15"/>
      <c r="H2" s="10"/>
      <c r="I2" s="11"/>
      <c r="J2" s="10"/>
      <c r="K2" s="10"/>
      <c r="L2" s="10"/>
      <c r="Y2" s="12"/>
      <c r="AC2" s="12"/>
      <c r="AF2" s="13"/>
      <c r="AG2" s="13"/>
      <c r="AJ2" s="13"/>
    </row>
    <row r="3" spans="1:36" x14ac:dyDescent="0.25">
      <c r="A3" s="8"/>
      <c r="B3" s="9"/>
      <c r="C3" s="8"/>
      <c r="D3" s="15"/>
      <c r="H3" s="10"/>
      <c r="I3" s="11"/>
      <c r="J3" s="10"/>
      <c r="K3" s="10"/>
      <c r="L3" s="10"/>
      <c r="Y3" s="12"/>
      <c r="AC3" s="12"/>
      <c r="AF3" s="13"/>
      <c r="AG3" s="13"/>
      <c r="AJ3" s="13"/>
    </row>
    <row r="4" spans="1:36" x14ac:dyDescent="0.25">
      <c r="A4" s="14" t="s">
        <v>37</v>
      </c>
      <c r="B4" s="15" t="s">
        <v>88</v>
      </c>
      <c r="C4" s="3" t="str">
        <f>CONCATENATE("&lt;",A4," ",B4," /&gt;")</f>
        <v>&lt;GeneName_full Glutamate receptor ionotropic, kainate 3 /&gt;</v>
      </c>
      <c r="D4" s="15"/>
      <c r="H4" s="10"/>
      <c r="I4" s="11"/>
      <c r="J4" s="10"/>
      <c r="K4" s="10"/>
      <c r="L4" s="10"/>
      <c r="Y4" s="12"/>
      <c r="AC4" s="12"/>
      <c r="AF4" s="13"/>
      <c r="AG4" s="13"/>
      <c r="AJ4" s="13"/>
    </row>
    <row r="5" spans="1:36" x14ac:dyDescent="0.25">
      <c r="A5" s="14"/>
      <c r="B5" s="9"/>
      <c r="C5" s="8"/>
      <c r="D5" s="15"/>
      <c r="H5" s="10"/>
      <c r="I5" s="11"/>
      <c r="J5" s="10"/>
      <c r="K5" s="10"/>
      <c r="L5" s="10"/>
      <c r="Y5" s="12"/>
      <c r="AC5" s="12"/>
      <c r="AF5" s="13"/>
      <c r="AG5" s="13"/>
      <c r="AJ5" s="13"/>
    </row>
    <row r="6" spans="1:36" x14ac:dyDescent="0.25">
      <c r="A6" s="14"/>
      <c r="B6" s="3"/>
      <c r="C6" s="3" t="str">
        <f>CONCATENATE("# What does the ",B2," gene do?")</f>
        <v># What does the GRIK3 gene do?</v>
      </c>
      <c r="H6" s="10"/>
      <c r="I6" s="11"/>
      <c r="J6" s="10"/>
      <c r="K6" s="10"/>
      <c r="L6" s="10"/>
      <c r="Y6" s="16"/>
      <c r="Z6" s="16"/>
      <c r="AA6" s="16"/>
      <c r="AC6" s="16"/>
      <c r="AF6" s="13"/>
      <c r="AJ6" s="13"/>
    </row>
    <row r="7" spans="1:36" x14ac:dyDescent="0.25">
      <c r="A7" s="14"/>
      <c r="I7" s="17"/>
      <c r="Y7" s="16"/>
      <c r="Z7" s="16"/>
      <c r="AA7" s="16"/>
      <c r="AC7" s="16"/>
      <c r="AF7" s="13"/>
      <c r="AJ7" s="13"/>
    </row>
    <row r="8" spans="1:36" x14ac:dyDescent="0.25">
      <c r="A8" s="14" t="s">
        <v>5</v>
      </c>
      <c r="B8" s="37" t="s">
        <v>89</v>
      </c>
      <c r="C8" s="3" t="str">
        <f>CONCATENATE(B8," This gene is located on chromosome ",B9,".")</f>
        <v>The GRIK3 gene creates a protein that helps form receptors for the neurotransmitter [glutamate](https://www.nimh.nih.gov/health/educational-resources/brain-basics/brain-basics.shtml). It increases the chance neurons will fire and enhances the electrical flow among brain cells, but elevated levels of glutamate are toxic to neurons. Problems creating or absorbing glutamate are linked to ME/CFS, [major](https://www.ncbi.nlm.nih.gov/pubmed/16958029) [depressive disorder](https://www.ncbi.nlm.nih.gov/pubmed/19221446/), [schizophrenia](https://www.ncbi.nlm.nih.gov/pubmed/19921975/), [and memory problems](https://www.nimh.nih.gov/health/educational-resources/brain-basics/brain-basics.shtml). This gene is located on chromosome 1.</v>
      </c>
      <c r="I8" s="17"/>
      <c r="X8" s="18"/>
      <c r="Y8" s="16"/>
      <c r="Z8" s="16"/>
      <c r="AA8" s="16"/>
      <c r="AC8" s="16"/>
    </row>
    <row r="9" spans="1:36" x14ac:dyDescent="0.25">
      <c r="A9" s="14" t="s">
        <v>6</v>
      </c>
      <c r="B9" s="2">
        <v>1</v>
      </c>
      <c r="I9" s="17"/>
      <c r="Y9" s="16"/>
      <c r="Z9" s="16"/>
      <c r="AA9" s="16"/>
      <c r="AC9" s="16"/>
    </row>
    <row r="10" spans="1:36" x14ac:dyDescent="0.25">
      <c r="A10" s="14" t="s">
        <v>7</v>
      </c>
      <c r="B10" s="2" t="s">
        <v>40</v>
      </c>
      <c r="Y10" s="12"/>
      <c r="AC10" s="16"/>
    </row>
    <row r="11" spans="1:36" s="21" customFormat="1" ht="16.5" thickBot="1" x14ac:dyDescent="0.3">
      <c r="A11" s="19"/>
      <c r="B11" s="20"/>
    </row>
    <row r="12" spans="1:36" ht="16.5" thickBot="1" x14ac:dyDescent="0.3">
      <c r="A12" s="14" t="s">
        <v>3</v>
      </c>
      <c r="B12" t="s">
        <v>87</v>
      </c>
      <c r="C12" s="3" t="str">
        <f>CONCATENATE("&lt;GeneMap name= ",CHAR(34),B12,CHAR(34)," interval=",CHAR(34),B13,"=",CHAR(34),"&gt;")</f>
        <v>&lt;GeneMap name= "GRIK3" interval="NC000001_1.11:g.1111_9999="&gt;</v>
      </c>
      <c r="J12" s="23"/>
      <c r="K12" s="23"/>
      <c r="L12" s="23"/>
      <c r="M12" s="23"/>
      <c r="N12" s="23"/>
      <c r="O12" s="24"/>
      <c r="P12" s="25"/>
      <c r="Q12" s="24"/>
      <c r="R12" s="24"/>
      <c r="S12" s="25"/>
      <c r="T12" s="25"/>
      <c r="U12" s="24"/>
      <c r="V12" s="24"/>
      <c r="W12" s="25"/>
      <c r="X12" s="25"/>
      <c r="Y12" s="25"/>
      <c r="Z12" s="25"/>
    </row>
    <row r="13" spans="1:36" x14ac:dyDescent="0.25">
      <c r="A13" s="14" t="s">
        <v>9</v>
      </c>
      <c r="B13" t="s">
        <v>90</v>
      </c>
      <c r="J13" s="15"/>
      <c r="K13" s="15"/>
      <c r="L13" s="15"/>
      <c r="M13" s="15"/>
      <c r="N13" s="15"/>
      <c r="O13" s="15"/>
      <c r="P13" s="15"/>
      <c r="Q13" s="15"/>
      <c r="R13" s="15"/>
      <c r="S13" s="15"/>
      <c r="T13" s="15"/>
      <c r="U13" s="15"/>
      <c r="V13" s="15"/>
      <c r="W13" s="15"/>
      <c r="X13" s="15"/>
      <c r="Y13" s="15"/>
      <c r="Z13" s="15"/>
    </row>
    <row r="14" spans="1:36" x14ac:dyDescent="0.25">
      <c r="A14" s="14" t="s">
        <v>11</v>
      </c>
      <c r="B14" t="s">
        <v>12</v>
      </c>
      <c r="C14" s="3" t="str">
        <f>CONCATENATE("# What are some common variants of ",B12,"?")</f>
        <v># What are some common variants of GRIK3?</v>
      </c>
      <c r="J14" s="15"/>
      <c r="K14" s="15"/>
      <c r="L14" s="15"/>
      <c r="M14" s="15"/>
      <c r="N14" s="15"/>
      <c r="O14" s="15"/>
      <c r="P14" s="15"/>
      <c r="Q14" s="15"/>
      <c r="R14" s="15"/>
      <c r="S14" s="15"/>
      <c r="T14" s="15"/>
      <c r="U14" s="15"/>
      <c r="V14" s="15"/>
      <c r="W14" s="15"/>
      <c r="X14" s="15"/>
      <c r="Y14" s="15"/>
      <c r="Z14" s="15"/>
    </row>
    <row r="15" spans="1:36" x14ac:dyDescent="0.25">
      <c r="A15" s="14"/>
      <c r="B15" s="2"/>
      <c r="C15" s="3" t="s">
        <v>13</v>
      </c>
      <c r="J15" s="15"/>
      <c r="K15" s="15"/>
      <c r="L15" s="15"/>
      <c r="M15" s="15"/>
      <c r="N15" s="15"/>
      <c r="O15" s="15"/>
      <c r="P15" s="15"/>
      <c r="Q15" s="15"/>
      <c r="R15" s="15"/>
      <c r="S15" s="15"/>
      <c r="T15" s="15"/>
      <c r="U15" s="15"/>
      <c r="V15" s="15"/>
      <c r="W15" s="15"/>
      <c r="X15" s="15"/>
      <c r="Y15" s="15"/>
      <c r="Z15" s="15"/>
    </row>
    <row r="16" spans="1:36" x14ac:dyDescent="0.25">
      <c r="B16" s="2"/>
      <c r="C16" s="3" t="str">
        <f>CONCATENATE("A variant is a change at a specific point in the gene from the expected nucleotide sequence to another, resulting in incorrect ", B10," function. There are ",B14," common variants in ",B12,": ",B22," and ",B31,".")</f>
        <v>A variant is a change at a specific point in the gene from the expected nucleotide sequence to another, resulting in incorrect protein function. There are two common variants in GRIK3: [T928G](https://www.ncbi.nlm.nih.gov/projects/SNP/snp_ref.cgi?rs=6691840)[(Ser310Ala)](https://www.ncbi.nlm.nih.gov/pubmed/11986986) and [C36983994T](https://www.ncbi.nlm.nih.gov/projects/SNP/snp_ref.cgi?rs=3913434).</v>
      </c>
      <c r="J16" s="15"/>
      <c r="K16" s="15"/>
      <c r="L16" s="15"/>
      <c r="M16" s="15"/>
      <c r="N16" s="15"/>
      <c r="O16" s="15"/>
      <c r="P16" s="15"/>
      <c r="Q16" s="15"/>
      <c r="R16" s="15"/>
      <c r="S16" s="15"/>
      <c r="T16" s="15"/>
      <c r="U16" s="15"/>
      <c r="V16" s="15"/>
      <c r="W16" s="15"/>
      <c r="X16" s="15"/>
      <c r="Y16" s="15"/>
      <c r="Z16" s="15"/>
    </row>
    <row r="17" spans="1:26" x14ac:dyDescent="0.25">
      <c r="B17" s="2"/>
      <c r="J17" s="15"/>
      <c r="K17" s="15"/>
      <c r="L17" s="15"/>
      <c r="M17" s="15"/>
      <c r="N17" s="15"/>
      <c r="O17" s="15"/>
      <c r="P17" s="15"/>
      <c r="Q17" s="15"/>
      <c r="R17" s="15"/>
      <c r="S17" s="15"/>
      <c r="T17" s="15"/>
      <c r="U17" s="15"/>
      <c r="V17" s="15"/>
      <c r="W17" s="15"/>
      <c r="X17" s="15"/>
      <c r="Y17" s="15"/>
      <c r="Z17" s="15"/>
    </row>
    <row r="18" spans="1:26" x14ac:dyDescent="0.25">
      <c r="A18" s="14" t="s">
        <v>14</v>
      </c>
      <c r="B18" s="6" t="s">
        <v>98</v>
      </c>
      <c r="C18" s="3" t="str">
        <f>CONCATENATE("&lt;# ",B19," #&gt;")</f>
        <v>&lt;# T928G #&gt;</v>
      </c>
      <c r="J18" s="15"/>
      <c r="K18" s="15"/>
      <c r="L18" s="15"/>
      <c r="M18" s="15"/>
      <c r="N18" s="15"/>
      <c r="O18" s="15"/>
      <c r="P18" s="15"/>
      <c r="Q18" s="15"/>
      <c r="R18" s="15"/>
      <c r="S18" s="15"/>
      <c r="T18" s="15"/>
      <c r="U18" s="15"/>
      <c r="V18" s="15"/>
      <c r="W18" s="15"/>
      <c r="X18" s="15"/>
      <c r="Y18" s="15"/>
      <c r="Z18" s="15"/>
    </row>
    <row r="19" spans="1:26" x14ac:dyDescent="0.25">
      <c r="A19" s="26" t="s">
        <v>15</v>
      </c>
      <c r="B19" t="s">
        <v>92</v>
      </c>
      <c r="J19" s="6"/>
      <c r="K19" s="15"/>
      <c r="L19" s="15"/>
      <c r="M19" s="15"/>
      <c r="N19" s="15"/>
      <c r="O19" s="15"/>
      <c r="P19" s="15"/>
      <c r="Q19" s="15"/>
      <c r="R19" s="15"/>
      <c r="S19" s="15"/>
      <c r="T19" s="15"/>
      <c r="U19" s="15"/>
      <c r="V19" s="15"/>
      <c r="W19" s="15"/>
      <c r="X19" s="15"/>
      <c r="Y19" s="15"/>
      <c r="Z19" s="15"/>
    </row>
    <row r="20" spans="1:26" x14ac:dyDescent="0.25">
      <c r="A20" s="26" t="s">
        <v>17</v>
      </c>
      <c r="B20" t="s">
        <v>20</v>
      </c>
      <c r="C20" s="3" t="str">
        <f>CONCATENATE("  &lt;Variant hgvs=",CHAR(34),B18,CHAR(34)," name=",CHAR(34),B19,CHAR(34),"&gt; ")</f>
        <v xml:space="preserve">  &lt;Variant hgvs="NC_000001.10:g.37325477A&gt;G" name="T928G"&gt; </v>
      </c>
      <c r="J20" s="2"/>
      <c r="K20" s="15"/>
      <c r="L20" s="15"/>
      <c r="M20" s="15"/>
      <c r="N20" s="15"/>
      <c r="O20" s="15"/>
      <c r="P20" s="15"/>
      <c r="Q20" s="15"/>
      <c r="R20" s="15"/>
      <c r="S20" s="15"/>
      <c r="T20" s="15"/>
      <c r="U20" s="15"/>
      <c r="V20" s="15"/>
      <c r="W20" s="15"/>
      <c r="X20" s="15"/>
      <c r="Y20" s="15"/>
      <c r="Z20" s="15"/>
    </row>
    <row r="21" spans="1:26" x14ac:dyDescent="0.25">
      <c r="A21" s="26" t="s">
        <v>19</v>
      </c>
      <c r="B21" t="s">
        <v>44</v>
      </c>
      <c r="H21" s="15"/>
      <c r="I21" s="15"/>
      <c r="J21" s="2"/>
      <c r="K21" s="15"/>
      <c r="L21" s="15"/>
      <c r="M21" s="15"/>
      <c r="N21" s="15"/>
      <c r="O21" s="15"/>
      <c r="P21" s="15"/>
      <c r="Q21" s="15"/>
      <c r="R21" s="15"/>
      <c r="S21" s="15"/>
      <c r="T21" s="15"/>
      <c r="U21" s="15"/>
      <c r="V21" s="15"/>
      <c r="W21" s="15"/>
      <c r="X21" s="15"/>
      <c r="Y21" s="15"/>
      <c r="Z21" s="15"/>
    </row>
    <row r="22" spans="1:26" x14ac:dyDescent="0.25">
      <c r="A22" s="26" t="s">
        <v>21</v>
      </c>
      <c r="B22" t="s">
        <v>93</v>
      </c>
      <c r="C22" s="3" t="str">
        <f>CONCATENATE("    Instead of ",B20,", there is a ",B21," nucleotide.")</f>
        <v xml:space="preserve">    Instead of thymine (T), there is a guanine (G) nucleotide.</v>
      </c>
      <c r="H22" s="15"/>
      <c r="I22" s="15"/>
      <c r="J22" s="7"/>
      <c r="K22" s="15"/>
      <c r="L22" s="15"/>
      <c r="M22" s="15"/>
      <c r="N22" s="15"/>
      <c r="O22" s="15"/>
      <c r="P22" s="15"/>
      <c r="Q22" s="15"/>
      <c r="R22" s="15"/>
      <c r="S22" s="15"/>
      <c r="T22" s="15"/>
      <c r="U22" s="15"/>
      <c r="V22" s="15"/>
      <c r="W22" s="15"/>
      <c r="X22" s="15"/>
      <c r="Y22" s="15"/>
      <c r="Z22" s="15"/>
    </row>
    <row r="23" spans="1:26" x14ac:dyDescent="0.25">
      <c r="A23" s="3" t="s">
        <v>65</v>
      </c>
      <c r="B23" s="3" t="s">
        <v>66</v>
      </c>
      <c r="H23" s="2"/>
      <c r="I23" s="2"/>
      <c r="J23" s="15"/>
      <c r="K23" s="15"/>
      <c r="L23" s="15"/>
      <c r="M23" s="15"/>
      <c r="N23" s="15"/>
      <c r="O23" s="15"/>
      <c r="P23" s="15"/>
      <c r="Q23" s="15"/>
      <c r="R23" s="15"/>
      <c r="S23" s="15"/>
      <c r="T23" s="15"/>
      <c r="U23" s="15"/>
      <c r="V23" s="15"/>
      <c r="W23" s="15"/>
      <c r="X23" s="15"/>
      <c r="Y23" s="15"/>
      <c r="Z23" s="15"/>
    </row>
    <row r="24" spans="1:26" x14ac:dyDescent="0.25">
      <c r="A24" s="3" t="s">
        <v>51</v>
      </c>
      <c r="B24" s="7" t="s">
        <v>99</v>
      </c>
      <c r="C24" s="3" t="str">
        <f>"  &lt;/Variant&gt;"</f>
        <v xml:space="preserve">  &lt;/Variant&gt;</v>
      </c>
      <c r="H24" s="2"/>
      <c r="I24" s="2"/>
      <c r="J24" s="15"/>
      <c r="K24" s="15"/>
      <c r="L24" s="15"/>
      <c r="M24" s="15"/>
      <c r="N24" s="15"/>
      <c r="O24" s="15"/>
      <c r="P24" s="15"/>
      <c r="Q24" s="15"/>
      <c r="R24" s="15"/>
      <c r="S24" s="15"/>
      <c r="T24" s="15"/>
      <c r="U24" s="15"/>
      <c r="V24" s="15"/>
      <c r="W24" s="15"/>
      <c r="X24" s="15"/>
      <c r="Y24" s="15"/>
      <c r="Z24" s="15"/>
    </row>
    <row r="25" spans="1:26" x14ac:dyDescent="0.25">
      <c r="A25" s="26" t="s">
        <v>52</v>
      </c>
      <c r="B25" s="7" t="s">
        <v>100</v>
      </c>
      <c r="J25" s="6"/>
    </row>
    <row r="26" spans="1:26" x14ac:dyDescent="0.25">
      <c r="A26" s="26"/>
      <c r="B26" s="7"/>
      <c r="J26" s="6"/>
    </row>
    <row r="27" spans="1:26" x14ac:dyDescent="0.25">
      <c r="A27" s="14" t="s">
        <v>14</v>
      </c>
      <c r="B27" s="6" t="s">
        <v>102</v>
      </c>
      <c r="C27" s="3" t="str">
        <f>CONCATENATE("&lt;# ",B28," #&gt;")</f>
        <v>&lt;# C36983994T #&gt;</v>
      </c>
      <c r="J27" s="6"/>
    </row>
    <row r="28" spans="1:26" x14ac:dyDescent="0.25">
      <c r="A28" s="26" t="s">
        <v>15</v>
      </c>
      <c r="B28" t="s">
        <v>94</v>
      </c>
      <c r="J28" s="2"/>
    </row>
    <row r="29" spans="1:26" x14ac:dyDescent="0.25">
      <c r="A29" s="26" t="s">
        <v>17</v>
      </c>
      <c r="B29" t="str">
        <f>"cytosine (C)"</f>
        <v>cytosine (C)</v>
      </c>
      <c r="C29" s="3" t="str">
        <f>CONCATENATE("  &lt;Variant hgvs=",CHAR(34),B27,CHAR(34)," name=",CHAR(34),B28,CHAR(34),"&gt; ")</f>
        <v xml:space="preserve">  &lt;Variant hgvs="NC_000001.10:g.37449595C&gt;T" name="C36983994T"&gt; </v>
      </c>
      <c r="J29" s="2"/>
    </row>
    <row r="30" spans="1:26" x14ac:dyDescent="0.25">
      <c r="A30" s="26" t="s">
        <v>19</v>
      </c>
      <c r="B30" t="s">
        <v>20</v>
      </c>
      <c r="J30" s="7"/>
    </row>
    <row r="31" spans="1:26" x14ac:dyDescent="0.25">
      <c r="A31" s="26" t="s">
        <v>21</v>
      </c>
      <c r="B31" t="s">
        <v>95</v>
      </c>
      <c r="C31" s="3" t="str">
        <f>CONCATENATE("    Instead of ",B29,", there is a ",B30," nucleotide.")</f>
        <v xml:space="preserve">    Instead of cytosine (C), there is a thymine (T) nucleotide.</v>
      </c>
    </row>
    <row r="32" spans="1:26" x14ac:dyDescent="0.25">
      <c r="A32" s="3" t="s">
        <v>65</v>
      </c>
      <c r="B32" s="3" t="s">
        <v>66</v>
      </c>
      <c r="J32" s="7"/>
    </row>
    <row r="33" spans="1:13" x14ac:dyDescent="0.25">
      <c r="A33" s="3" t="s">
        <v>51</v>
      </c>
      <c r="B33" s="3" t="s">
        <v>103</v>
      </c>
      <c r="C33" s="3" t="str">
        <f>"  &lt;/Variant&gt;"</f>
        <v xml:space="preserve">  &lt;/Variant&gt;</v>
      </c>
      <c r="J33" s="7"/>
    </row>
    <row r="34" spans="1:13" x14ac:dyDescent="0.25">
      <c r="A34" s="26" t="s">
        <v>52</v>
      </c>
      <c r="B34" s="7" t="s">
        <v>104</v>
      </c>
    </row>
    <row r="35" spans="1:13" x14ac:dyDescent="0.25">
      <c r="B35" s="3"/>
    </row>
    <row r="36" spans="1:13" s="21" customFormat="1" x14ac:dyDescent="0.25">
      <c r="A36" s="28"/>
      <c r="B36" s="20"/>
    </row>
    <row r="37" spans="1:13" s="10" customFormat="1" x14ac:dyDescent="0.25">
      <c r="A37" s="32"/>
      <c r="B37" s="33"/>
      <c r="C37" s="34" t="s">
        <v>62</v>
      </c>
      <c r="L37" s="38"/>
    </row>
    <row r="38" spans="1:13" s="10" customFormat="1" x14ac:dyDescent="0.25">
      <c r="A38" s="32"/>
      <c r="B38" s="33"/>
      <c r="K38" s="10" t="s">
        <v>108</v>
      </c>
      <c r="L38" s="38" t="s">
        <v>110</v>
      </c>
      <c r="M38" s="11" t="s">
        <v>109</v>
      </c>
    </row>
    <row r="39" spans="1:13" s="21" customFormat="1" x14ac:dyDescent="0.25">
      <c r="A39" s="28" t="s">
        <v>70</v>
      </c>
      <c r="B39" s="20" t="str">
        <f>CONCATENATE(B19," (T;G)")</f>
        <v>T928G (T;G)</v>
      </c>
      <c r="C39" s="21" t="str">
        <f>CONCATENATE("&lt;# ",B39," #&gt;")</f>
        <v>&lt;# T928G (T;G) #&gt;</v>
      </c>
      <c r="K39" s="21" t="str">
        <f>B19</f>
        <v>T928G</v>
      </c>
      <c r="L39" s="21" t="str">
        <f>B28</f>
        <v>C36983994T</v>
      </c>
      <c r="M39" s="21" t="e">
        <f>#REF!</f>
        <v>#REF!</v>
      </c>
    </row>
    <row r="40" spans="1:13" s="10" customFormat="1" x14ac:dyDescent="0.25">
      <c r="A40" s="3" t="s">
        <v>21</v>
      </c>
      <c r="B40" s="29" t="str">
        <f>K43</f>
        <v>NC_000001.10:g.[37325477A&gt;G];[37325477=]</v>
      </c>
      <c r="J40" s="3"/>
      <c r="K40" s="22" t="str">
        <f>B23</f>
        <v>NC_000001.10:g.</v>
      </c>
      <c r="L40" s="22" t="str">
        <f>B32</f>
        <v>NC_000001.10:g.</v>
      </c>
      <c r="M40" s="10" t="e">
        <f>#REF!</f>
        <v>#REF!</v>
      </c>
    </row>
    <row r="41" spans="1:13" x14ac:dyDescent="0.25">
      <c r="B41" s="29"/>
      <c r="C41" s="3" t="str">
        <f>CONCATENATE("  &lt;Analysis name=",CHAR(34),B39,CHAR(34))</f>
        <v xml:space="preserve">  &lt;Analysis name="T928G (T;G)"</v>
      </c>
      <c r="J41" s="3" t="s">
        <v>21</v>
      </c>
      <c r="K41" s="15" t="str">
        <f>B24</f>
        <v>[37325477A&gt;G]</v>
      </c>
      <c r="L41" s="22" t="str">
        <f>B33</f>
        <v>[37449595C&gt;T]</v>
      </c>
      <c r="M41" s="10" t="e">
        <f>#REF!</f>
        <v>#REF!</v>
      </c>
    </row>
    <row r="42" spans="1:13" x14ac:dyDescent="0.25">
      <c r="A42" s="5" t="s">
        <v>27</v>
      </c>
      <c r="B42" s="2" t="str">
        <f>CONCATENATE("People with this variant have one copy of the ",B22," variant. This substitution of a single nucleotide is known as a missense mutation.")</f>
        <v>People with this variant have one copy of the [T928G](https://www.ncbi.nlm.nih.gov/projects/SNP/snp_ref.cgi?rs=6691840)[(Ser310Ala)](https://www.ncbi.nlm.nih.gov/pubmed/11986986) variant. This substitution of a single nucleotide is known as a missense mutation.</v>
      </c>
      <c r="C42" s="3" t="str">
        <f>CONCATENATE("            case={  variantCall ",CHAR(40),CHAR(34),K43,CHAR(34),CHAR(41))</f>
        <v xml:space="preserve">            case={  variantCall ("NC_000001.10:g.[37325477A&gt;G];[37325477=]")</v>
      </c>
      <c r="J42" s="3" t="s">
        <v>52</v>
      </c>
      <c r="K42" s="15" t="str">
        <f>B25</f>
        <v>[37325477=]</v>
      </c>
      <c r="L42" s="22" t="str">
        <f>B34</f>
        <v>[37449595=]</v>
      </c>
      <c r="M42" s="10" t="e">
        <f>#REF!</f>
        <v>#REF!</v>
      </c>
    </row>
    <row r="43" spans="1:13" x14ac:dyDescent="0.25">
      <c r="A43" s="1" t="s">
        <v>28</v>
      </c>
      <c r="B43" s="29" t="s">
        <v>112</v>
      </c>
      <c r="C43" s="3" t="s">
        <v>71</v>
      </c>
      <c r="J43" s="3" t="s">
        <v>63</v>
      </c>
      <c r="K43" s="15" t="str">
        <f>CONCATENATE(K40,K41,";",K42)</f>
        <v>NC_000001.10:g.[37325477A&gt;G];[37325477=]</v>
      </c>
      <c r="L43" s="15" t="str">
        <f>CONCATENATE(L40,L41,";",L42)</f>
        <v>NC_000001.10:g.[37449595C&gt;T];[37449595=]</v>
      </c>
      <c r="M43" s="15" t="e">
        <f>CONCATENATE(M40,M41,";",M42)</f>
        <v>#REF!</v>
      </c>
    </row>
    <row r="44" spans="1:13" x14ac:dyDescent="0.25">
      <c r="A44" s="3" t="s">
        <v>73</v>
      </c>
      <c r="B44" s="29">
        <f>K46</f>
        <v>43</v>
      </c>
      <c r="C44" s="3" t="str">
        <f>CONCATENATE("                    ",CHAR(40),"variantCall ",CHAR(40),CHAR(34),L44,CHAR(34),CHAR(41)," or variantCall ",CHAR(40),CHAR(34),L45,CHAR(34),CHAR(41),CHAR(41))</f>
        <v xml:space="preserve">                    (variantCall ("NC_000001.10:g.[37449595C&gt;T];[37449595C&gt;T]") or variantCall ("NC_000001.10:g.[37449595=];[37449595=]"))</v>
      </c>
      <c r="J44" s="3" t="s">
        <v>64</v>
      </c>
      <c r="K44" s="15" t="str">
        <f>CONCATENATE(K40,K41,";",K41)</f>
        <v>NC_000001.10:g.[37325477A&gt;G];[37325477A&gt;G]</v>
      </c>
      <c r="L44" s="15" t="str">
        <f>CONCATENATE(L40,L41,";",L41)</f>
        <v>NC_000001.10:g.[37449595C&gt;T];[37449595C&gt;T]</v>
      </c>
      <c r="M44" s="15" t="e">
        <f>CONCATENATE(M40,M41,";",M41)</f>
        <v>#REF!</v>
      </c>
    </row>
    <row r="45" spans="1:13" x14ac:dyDescent="0.25">
      <c r="J45" s="3" t="s">
        <v>52</v>
      </c>
      <c r="K45" s="2" t="str">
        <f>CONCATENATE(K40,K42,";",K42)</f>
        <v>NC_000001.10:g.[37325477=];[37325477=]</v>
      </c>
      <c r="L45" s="2" t="str">
        <f>CONCATENATE(L40,L42,";",L42)</f>
        <v>NC_000001.10:g.[37449595=];[37449595=]</v>
      </c>
      <c r="M45" s="2" t="e">
        <f>CONCATENATE(M40,M42,";",M42)</f>
        <v>#REF!</v>
      </c>
    </row>
    <row r="46" spans="1:13" x14ac:dyDescent="0.25">
      <c r="J46" s="3" t="s">
        <v>67</v>
      </c>
      <c r="K46">
        <v>43</v>
      </c>
      <c r="L46" s="2">
        <v>1.8</v>
      </c>
      <c r="M46" s="2">
        <v>15.8</v>
      </c>
    </row>
    <row r="47" spans="1:13" x14ac:dyDescent="0.25">
      <c r="A47" s="14"/>
      <c r="C47" s="3" t="str">
        <f>CONCATENATE("                  } &gt; ")</f>
        <v xml:space="preserve">                  } &gt; </v>
      </c>
      <c r="J47" s="3" t="s">
        <v>68</v>
      </c>
      <c r="K47">
        <v>19.899999999999999</v>
      </c>
      <c r="L47" s="2">
        <v>0.5</v>
      </c>
      <c r="M47" s="2">
        <v>4.7</v>
      </c>
    </row>
    <row r="48" spans="1:13" x14ac:dyDescent="0.25">
      <c r="A48" s="26"/>
      <c r="J48" s="3" t="s">
        <v>69</v>
      </c>
      <c r="K48" s="2">
        <v>37.1</v>
      </c>
      <c r="L48" s="2">
        <v>97.8</v>
      </c>
      <c r="M48" s="2">
        <v>79.5</v>
      </c>
    </row>
    <row r="49" spans="1:13" x14ac:dyDescent="0.25">
      <c r="A49" s="14"/>
      <c r="C49" s="3" t="s">
        <v>26</v>
      </c>
      <c r="K49"/>
      <c r="L49" s="2"/>
      <c r="M49" s="2"/>
    </row>
    <row r="50" spans="1:13" x14ac:dyDescent="0.25">
      <c r="A50" s="14"/>
      <c r="K50" s="15"/>
      <c r="L50" s="15"/>
      <c r="M50" s="15"/>
    </row>
    <row r="51" spans="1:13" x14ac:dyDescent="0.25">
      <c r="A51" s="26"/>
      <c r="C51" s="3" t="str">
        <f>CONCATENATE("    ",B42)</f>
        <v xml:space="preserve">    People with this variant have one copy of the [T928G](https://www.ncbi.nlm.nih.gov/projects/SNP/snp_ref.cgi?rs=6691840)[(Ser310Ala)](https://www.ncbi.nlm.nih.gov/pubmed/11986986) variant. This substitution of a single nucleotide is known as a missense mutation.</v>
      </c>
      <c r="K51" s="15"/>
      <c r="L51" s="15"/>
      <c r="M51" s="15"/>
    </row>
    <row r="52" spans="1:13" x14ac:dyDescent="0.25">
      <c r="A52" s="14"/>
      <c r="K52" s="2"/>
      <c r="L52" s="2"/>
      <c r="M52" s="2"/>
    </row>
    <row r="53" spans="1:13" x14ac:dyDescent="0.25">
      <c r="A53" s="14"/>
      <c r="C53" s="3" t="s">
        <v>29</v>
      </c>
    </row>
    <row r="54" spans="1:13" x14ac:dyDescent="0.25">
      <c r="A54" s="14"/>
    </row>
    <row r="55" spans="1:13" x14ac:dyDescent="0.25">
      <c r="A55" s="14"/>
      <c r="C55" s="3" t="str">
        <f>CONCATENATE(B43)</f>
        <v>Having one copy of this variant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v>
      </c>
    </row>
    <row r="56" spans="1:13" x14ac:dyDescent="0.25">
      <c r="A56" s="26"/>
    </row>
    <row r="57" spans="1:13" x14ac:dyDescent="0.25">
      <c r="A57" s="26"/>
      <c r="C57" s="3" t="s">
        <v>30</v>
      </c>
    </row>
    <row r="58" spans="1:13" x14ac:dyDescent="0.25">
      <c r="A58" s="26"/>
    </row>
    <row r="59" spans="1:13" x14ac:dyDescent="0.25">
      <c r="A59" s="26"/>
      <c r="C59" s="3" t="str">
        <f>CONCATENATE( "    &lt;piechart percentage=",B44," /&gt;")</f>
        <v xml:space="preserve">    &lt;piechart percentage=43 /&gt;</v>
      </c>
    </row>
    <row r="60" spans="1:13" x14ac:dyDescent="0.25">
      <c r="A60" s="26"/>
      <c r="C60" s="3" t="str">
        <f>"  &lt;/Analysis&gt;"</f>
        <v xml:space="preserve">  &lt;/Analysis&gt;</v>
      </c>
      <c r="K60" s="3" t="str">
        <f t="shared" ref="K60:M60" si="0">K38</f>
        <v>rs6691840</v>
      </c>
      <c r="L60" s="3" t="str">
        <f t="shared" si="0"/>
        <v>rs3913434</v>
      </c>
      <c r="M60" s="3" t="str">
        <f t="shared" si="0"/>
        <v>rs270838</v>
      </c>
    </row>
    <row r="61" spans="1:13" s="21" customFormat="1" x14ac:dyDescent="0.25">
      <c r="A61" s="28" t="s">
        <v>70</v>
      </c>
      <c r="B61" s="20" t="str">
        <f>CONCATENATE(B19," (G;G)")</f>
        <v>T928G (G;G)</v>
      </c>
      <c r="C61" s="21" t="str">
        <f>CONCATENATE("&lt;# ",B61," #&gt;")</f>
        <v>&lt;# T928G (G;G) #&gt;</v>
      </c>
      <c r="K61" s="21" t="str">
        <f>K39</f>
        <v>T928G</v>
      </c>
      <c r="L61" s="21" t="str">
        <f>L39</f>
        <v>C36983994T</v>
      </c>
      <c r="M61" s="21" t="e">
        <f>M39</f>
        <v>#REF!</v>
      </c>
    </row>
    <row r="62" spans="1:13" x14ac:dyDescent="0.25">
      <c r="A62" s="3" t="s">
        <v>21</v>
      </c>
      <c r="B62" s="29" t="str">
        <f>K44</f>
        <v>NC_000001.10:g.[37325477A&gt;G];[37325477A&gt;G]</v>
      </c>
      <c r="C62" s="10"/>
      <c r="K62" s="3" t="str">
        <f>K40</f>
        <v>NC_000001.10:g.</v>
      </c>
      <c r="L62" s="3" t="str">
        <f>L40</f>
        <v>NC_000001.10:g.</v>
      </c>
      <c r="M62" s="3" t="e">
        <f>M40</f>
        <v>#REF!</v>
      </c>
    </row>
    <row r="63" spans="1:13" x14ac:dyDescent="0.25">
      <c r="B63" s="29"/>
      <c r="C63" s="3" t="str">
        <f>CONCATENATE("  &lt;Analysis name=",CHAR(34),B61,CHAR(34))</f>
        <v xml:space="preserve">  &lt;Analysis name="T928G (G;G)"</v>
      </c>
      <c r="J63" s="3" t="str">
        <f t="shared" ref="J63:M70" si="1">J41</f>
        <v>Variant</v>
      </c>
      <c r="K63" s="3" t="str">
        <f t="shared" si="1"/>
        <v>[37325477A&gt;G]</v>
      </c>
      <c r="L63" s="3" t="str">
        <f t="shared" si="1"/>
        <v>[37449595C&gt;T]</v>
      </c>
      <c r="M63" s="3" t="e">
        <f t="shared" si="1"/>
        <v>#REF!</v>
      </c>
    </row>
    <row r="64" spans="1:13" x14ac:dyDescent="0.25">
      <c r="A64" s="5" t="s">
        <v>75</v>
      </c>
      <c r="B64" s="2" t="str">
        <f>CONCATENATE("People with this variant have two copies of the ",B22," variant. This substitution of a single nucleotide is known as a missense mutation.")</f>
        <v>People with this variant have two copies of the [T928G](https://www.ncbi.nlm.nih.gov/projects/SNP/snp_ref.cgi?rs=6691840)[(Ser310Ala)](https://www.ncbi.nlm.nih.gov/pubmed/11986986) variant. This substitution of a single nucleotide is known as a missense mutation.</v>
      </c>
      <c r="C64" s="3" t="str">
        <f>CONCATENATE("            case={  variantCall ",CHAR(40),CHAR(34),B62,CHAR(34),CHAR(41))</f>
        <v xml:space="preserve">            case={  variantCall ("NC_000001.10:g.[37325477A&gt;G];[37325477A&gt;G]")</v>
      </c>
      <c r="J64" s="3" t="str">
        <f t="shared" si="1"/>
        <v>Wildtype</v>
      </c>
      <c r="K64" s="3" t="str">
        <f t="shared" si="1"/>
        <v>[37325477=]</v>
      </c>
      <c r="L64" s="3" t="str">
        <f t="shared" si="1"/>
        <v>[37449595=]</v>
      </c>
      <c r="M64" s="3" t="e">
        <f t="shared" si="1"/>
        <v>#REF!</v>
      </c>
    </row>
    <row r="65" spans="1:13" x14ac:dyDescent="0.25">
      <c r="A65" s="1" t="s">
        <v>28</v>
      </c>
      <c r="B65" s="29" t="s">
        <v>111</v>
      </c>
      <c r="C65" s="3" t="s">
        <v>71</v>
      </c>
      <c r="J65" s="3" t="str">
        <f t="shared" si="1"/>
        <v>Het</v>
      </c>
      <c r="K65" s="3" t="str">
        <f t="shared" si="1"/>
        <v>NC_000001.10:g.[37325477A&gt;G];[37325477=]</v>
      </c>
      <c r="L65" s="3" t="str">
        <f t="shared" si="1"/>
        <v>NC_000001.10:g.[37449595C&gt;T];[37449595=]</v>
      </c>
      <c r="M65" s="3" t="e">
        <f t="shared" si="1"/>
        <v>#REF!</v>
      </c>
    </row>
    <row r="66" spans="1:13" x14ac:dyDescent="0.25">
      <c r="A66" s="3" t="s">
        <v>73</v>
      </c>
      <c r="B66" s="29">
        <f>K47</f>
        <v>19.899999999999999</v>
      </c>
      <c r="C66" s="3" t="str">
        <f>CONCATENATE("                    ",CHAR(40),"variantCall ",CHAR(40),CHAR(34),L66,CHAR(34),CHAR(41)," or variantCall ",CHAR(40),CHAR(34),L67,CHAR(34),CHAR(41),CHAR(41))</f>
        <v xml:space="preserve">                    (variantCall ("NC_000001.10:g.[37449595C&gt;T];[37449595C&gt;T]") or variantCall ("NC_000001.10:g.[37449595=];[37449595=]"))</v>
      </c>
      <c r="J66" s="3" t="str">
        <f t="shared" si="1"/>
        <v>Homo</v>
      </c>
      <c r="K66" s="3" t="str">
        <f t="shared" si="1"/>
        <v>NC_000001.10:g.[37325477A&gt;G];[37325477A&gt;G]</v>
      </c>
      <c r="L66" s="3" t="str">
        <f t="shared" si="1"/>
        <v>NC_000001.10:g.[37449595C&gt;T];[37449595C&gt;T]</v>
      </c>
      <c r="M66" s="3" t="e">
        <f t="shared" si="1"/>
        <v>#REF!</v>
      </c>
    </row>
    <row r="67" spans="1:13" x14ac:dyDescent="0.25">
      <c r="J67" s="3" t="str">
        <f t="shared" si="1"/>
        <v>Wildtype</v>
      </c>
      <c r="K67" s="3" t="str">
        <f t="shared" si="1"/>
        <v>NC_000001.10:g.[37325477=];[37325477=]</v>
      </c>
      <c r="L67" s="3" t="str">
        <f t="shared" si="1"/>
        <v>NC_000001.10:g.[37449595=];[37449595=]</v>
      </c>
      <c r="M67" s="3" t="e">
        <f t="shared" si="1"/>
        <v>#REF!</v>
      </c>
    </row>
    <row r="68" spans="1:13" x14ac:dyDescent="0.25">
      <c r="J68" s="3" t="str">
        <f t="shared" si="1"/>
        <v>Het%</v>
      </c>
      <c r="K68" s="3">
        <f t="shared" si="1"/>
        <v>43</v>
      </c>
      <c r="L68" s="3">
        <f t="shared" si="1"/>
        <v>1.8</v>
      </c>
      <c r="M68" s="3">
        <f t="shared" si="1"/>
        <v>15.8</v>
      </c>
    </row>
    <row r="69" spans="1:13" x14ac:dyDescent="0.25">
      <c r="A69" s="14"/>
      <c r="C69" s="3" t="str">
        <f>CONCATENATE("                  } &gt; ")</f>
        <v xml:space="preserve">                  } &gt; </v>
      </c>
      <c r="J69" s="3" t="str">
        <f t="shared" si="1"/>
        <v>Homo%</v>
      </c>
      <c r="K69" s="3">
        <f t="shared" si="1"/>
        <v>19.899999999999999</v>
      </c>
      <c r="L69" s="3">
        <f t="shared" si="1"/>
        <v>0.5</v>
      </c>
      <c r="M69" s="3">
        <f t="shared" si="1"/>
        <v>4.7</v>
      </c>
    </row>
    <row r="70" spans="1:13" x14ac:dyDescent="0.25">
      <c r="A70" s="26"/>
      <c r="J70" s="3" t="str">
        <f t="shared" si="1"/>
        <v>Wildtype%</v>
      </c>
      <c r="K70" s="3">
        <f t="shared" si="1"/>
        <v>37.1</v>
      </c>
      <c r="L70" s="3">
        <f t="shared" si="1"/>
        <v>97.8</v>
      </c>
      <c r="M70" s="3">
        <f t="shared" si="1"/>
        <v>79.5</v>
      </c>
    </row>
    <row r="71" spans="1:13" x14ac:dyDescent="0.25">
      <c r="A71" s="14"/>
      <c r="C71" s="3" t="s">
        <v>26</v>
      </c>
    </row>
    <row r="72" spans="1:13" x14ac:dyDescent="0.25">
      <c r="A72" s="14"/>
    </row>
    <row r="73" spans="1:13" x14ac:dyDescent="0.25">
      <c r="A73" s="26"/>
      <c r="C73" s="3" t="str">
        <f>CONCATENATE("    ",B64)</f>
        <v xml:space="preserve">    People with this variant have two copies of the [T928G](https://www.ncbi.nlm.nih.gov/projects/SNP/snp_ref.cgi?rs=6691840)[(Ser310Ala)](https://www.ncbi.nlm.nih.gov/pubmed/11986986) variant. This substitution of a single nucleotide is known as a missense mutation.</v>
      </c>
    </row>
    <row r="74" spans="1:13" x14ac:dyDescent="0.25">
      <c r="A74" s="14"/>
    </row>
    <row r="75" spans="1:13" x14ac:dyDescent="0.25">
      <c r="A75" s="14"/>
      <c r="C75" s="3" t="s">
        <v>29</v>
      </c>
    </row>
    <row r="76" spans="1:13" x14ac:dyDescent="0.25">
      <c r="A76" s="14"/>
    </row>
    <row r="77" spans="1:13" x14ac:dyDescent="0.25">
      <c r="A77" s="14"/>
      <c r="C77" s="3" t="str">
        <f>CONCATENATE(B65)</f>
        <v>This variant is linked to increasing the risk of [schizophrenia](https://www.ncbi.nlm.nih.gov/pubmed/19921975/) by [30%](https://www.ncbi.nlm.nih.gov/pubmed/25054019?dopt=Abstract) and [recurrent major depressive disorder](https://www.ncbi.nlm.nih.gov/pubmed/16958029). Having two copies of this variant is associated with personality differences.  These include higher scores in [harm avoidance, anxiety, and shyness, and lower scores in novelty seeking, responsibility, resourcefulness, helpfulness, compassion, self motivation, and cooperativeness](https://www.ncbi.nlm.nih.gov/pubmed/19221446/). This pattern of scores is similar to that observed in [depressed patients](https://www.ncbi.nlm.nih.gov/pubmed/19221446/).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v>
      </c>
    </row>
    <row r="78" spans="1:13" x14ac:dyDescent="0.25">
      <c r="A78" s="26"/>
    </row>
    <row r="79" spans="1:13" x14ac:dyDescent="0.25">
      <c r="A79" s="26"/>
      <c r="C79" s="3" t="s">
        <v>30</v>
      </c>
    </row>
    <row r="80" spans="1:13" x14ac:dyDescent="0.25">
      <c r="A80" s="26"/>
    </row>
    <row r="81" spans="1:13" x14ac:dyDescent="0.25">
      <c r="A81" s="26"/>
      <c r="C81" s="3" t="str">
        <f>CONCATENATE( "    &lt;piechart percentage=",B66," /&gt;")</f>
        <v xml:space="preserve">    &lt;piechart percentage=19.9 /&gt;</v>
      </c>
    </row>
    <row r="82" spans="1:13" x14ac:dyDescent="0.25">
      <c r="A82" s="26"/>
      <c r="C82" s="3" t="str">
        <f>"  &lt;/Analysis&gt;"</f>
        <v xml:space="preserve">  &lt;/Analysis&gt;</v>
      </c>
      <c r="K82" s="3" t="str">
        <f t="shared" ref="K82:M84" si="2">K60</f>
        <v>rs6691840</v>
      </c>
      <c r="L82" s="3" t="str">
        <f t="shared" si="2"/>
        <v>rs3913434</v>
      </c>
      <c r="M82" s="3" t="str">
        <f t="shared" si="2"/>
        <v>rs270838</v>
      </c>
    </row>
    <row r="83" spans="1:13" s="21" customFormat="1" x14ac:dyDescent="0.25">
      <c r="A83" s="28" t="s">
        <v>70</v>
      </c>
      <c r="B83" s="20" t="str">
        <f>CONCATENATE(B28," (C;T)")</f>
        <v>C36983994T (C;T)</v>
      </c>
      <c r="C83" s="21" t="str">
        <f>CONCATENATE("&lt;# ",B83," #&gt;")</f>
        <v>&lt;# C36983994T (C;T) #&gt;</v>
      </c>
      <c r="K83" s="21" t="str">
        <f t="shared" si="2"/>
        <v>T928G</v>
      </c>
      <c r="L83" s="21" t="str">
        <f t="shared" si="2"/>
        <v>C36983994T</v>
      </c>
      <c r="M83" s="21" t="e">
        <f t="shared" si="2"/>
        <v>#REF!</v>
      </c>
    </row>
    <row r="84" spans="1:13" s="10" customFormat="1" x14ac:dyDescent="0.25">
      <c r="A84" s="3" t="s">
        <v>21</v>
      </c>
      <c r="B84" s="29" t="str">
        <f>L87</f>
        <v>NC_000001.10:g.[37449595C&gt;T];[37449595=]</v>
      </c>
      <c r="J84" s="3"/>
      <c r="K84" s="22" t="str">
        <f t="shared" si="2"/>
        <v>NC_000001.10:g.</v>
      </c>
      <c r="L84" s="22" t="str">
        <f t="shared" si="2"/>
        <v>NC_000001.10:g.</v>
      </c>
      <c r="M84" s="10" t="e">
        <f t="shared" si="2"/>
        <v>#REF!</v>
      </c>
    </row>
    <row r="85" spans="1:13" x14ac:dyDescent="0.25">
      <c r="A85" s="3" t="s">
        <v>72</v>
      </c>
      <c r="B85" s="29"/>
      <c r="C85" s="3" t="str">
        <f>CONCATENATE("  &lt;Analysis name=",CHAR(34),B83,CHAR(34))</f>
        <v xml:space="preserve">  &lt;Analysis name="C36983994T (C;T)"</v>
      </c>
      <c r="J85" s="3" t="str">
        <f t="shared" ref="J85:M88" si="3">J63</f>
        <v>Variant</v>
      </c>
      <c r="K85" s="15" t="str">
        <f t="shared" si="3"/>
        <v>[37325477A&gt;G]</v>
      </c>
      <c r="L85" s="22" t="str">
        <f t="shared" si="3"/>
        <v>[37449595C&gt;T]</v>
      </c>
      <c r="M85" s="3" t="e">
        <f t="shared" si="3"/>
        <v>#REF!</v>
      </c>
    </row>
    <row r="86" spans="1:13" x14ac:dyDescent="0.25">
      <c r="A86" s="5" t="s">
        <v>27</v>
      </c>
      <c r="B86" s="2" t="str">
        <f>CONCATENATE("People with this variant have one copy of the ",B31," variant. This substitution of a single nucleotide is known as a missense mutation.")</f>
        <v>People with this variant have one copy of the [C36983994T](https://www.ncbi.nlm.nih.gov/projects/SNP/snp_ref.cgi?rs=3913434) variant. This substitution of a single nucleotide is known as a missense mutation.</v>
      </c>
      <c r="C86" s="3" t="str">
        <f>CONCATENATE("            case={  variantCall ",CHAR(40),CHAR(34),L87,CHAR(34),CHAR(41))</f>
        <v xml:space="preserve">            case={  variantCall ("NC_000001.10:g.[37449595C&gt;T];[37449595=]")</v>
      </c>
      <c r="J86" s="3" t="str">
        <f t="shared" si="3"/>
        <v>Wildtype</v>
      </c>
      <c r="K86" s="15" t="str">
        <f t="shared" si="3"/>
        <v>[37325477=]</v>
      </c>
      <c r="L86" s="22" t="str">
        <f t="shared" si="3"/>
        <v>[37449595=]</v>
      </c>
      <c r="M86" s="3" t="e">
        <f t="shared" si="3"/>
        <v>#REF!</v>
      </c>
    </row>
    <row r="87" spans="1:13" x14ac:dyDescent="0.25">
      <c r="A87" s="1" t="s">
        <v>28</v>
      </c>
      <c r="B87" s="15" t="s">
        <v>113</v>
      </c>
      <c r="J87" s="3" t="str">
        <f t="shared" si="3"/>
        <v>Het</v>
      </c>
      <c r="K87" s="15" t="str">
        <f t="shared" si="3"/>
        <v>NC_000001.10:g.[37325477A&gt;G];[37325477=]</v>
      </c>
      <c r="L87" s="15" t="str">
        <f t="shared" si="3"/>
        <v>NC_000001.10:g.[37449595C&gt;T];[37449595=]</v>
      </c>
      <c r="M87" s="3" t="e">
        <f t="shared" si="3"/>
        <v>#REF!</v>
      </c>
    </row>
    <row r="88" spans="1:13" x14ac:dyDescent="0.25">
      <c r="A88" s="3" t="s">
        <v>73</v>
      </c>
      <c r="B88" s="29">
        <f>L46</f>
        <v>1.8</v>
      </c>
      <c r="J88" s="3" t="str">
        <f t="shared" si="3"/>
        <v>Homo</v>
      </c>
      <c r="K88" s="15" t="str">
        <f t="shared" si="3"/>
        <v>NC_000001.10:g.[37325477A&gt;G];[37325477A&gt;G]</v>
      </c>
      <c r="L88" s="15" t="str">
        <f t="shared" si="3"/>
        <v>NC_000001.10:g.[37449595C&gt;T];[37449595C&gt;T]</v>
      </c>
      <c r="M88" s="3" t="e">
        <f t="shared" si="3"/>
        <v>#REF!</v>
      </c>
    </row>
    <row r="89" spans="1:13" x14ac:dyDescent="0.25">
      <c r="B89" s="29"/>
      <c r="C89" s="3" t="s">
        <v>71</v>
      </c>
      <c r="J89" s="3" t="str">
        <f>J67</f>
        <v>Wildtype</v>
      </c>
      <c r="K89" s="2" t="str">
        <f>K67</f>
        <v>NC_000001.10:g.[37325477=];[37325477=]</v>
      </c>
      <c r="L89" s="2" t="str">
        <f>L67</f>
        <v>NC_000001.10:g.[37449595=];[37449595=]</v>
      </c>
      <c r="M89" s="3" t="e">
        <f>M67</f>
        <v>#REF!</v>
      </c>
    </row>
    <row r="90" spans="1:13" x14ac:dyDescent="0.25">
      <c r="B90" s="29"/>
      <c r="C90" s="3" t="str">
        <f>CONCATENATE("                    variantCall ",CHAR(40),CHAR(34),K89,CHAR(34),CHAR(41))</f>
        <v xml:space="preserve">                    variantCall ("NC_000001.10:g.[37325477=];[37325477=]")</v>
      </c>
      <c r="J90" s="3" t="str">
        <f>J68</f>
        <v>Het%</v>
      </c>
      <c r="K90" s="15">
        <f>K68</f>
        <v>43</v>
      </c>
      <c r="L90" s="15">
        <f>L68</f>
        <v>1.8</v>
      </c>
      <c r="M90" s="3">
        <f>M68</f>
        <v>15.8</v>
      </c>
    </row>
    <row r="91" spans="1:13" x14ac:dyDescent="0.25">
      <c r="C91" s="3" t="str">
        <f>CONCATENATE("                  } &gt; ")</f>
        <v xml:space="preserve">                  } &gt; </v>
      </c>
      <c r="J91" s="3" t="str">
        <f>J69</f>
        <v>Homo%</v>
      </c>
      <c r="K91" s="2">
        <f>K69</f>
        <v>19.899999999999999</v>
      </c>
      <c r="L91" s="2">
        <f>L69</f>
        <v>0.5</v>
      </c>
      <c r="M91" s="3">
        <f>M69</f>
        <v>4.7</v>
      </c>
    </row>
    <row r="92" spans="1:13" x14ac:dyDescent="0.25">
      <c r="J92" s="3" t="str">
        <f>J70</f>
        <v>Wildtype%</v>
      </c>
      <c r="K92" s="2">
        <f>K70</f>
        <v>37.1</v>
      </c>
      <c r="L92" s="2">
        <f>L70</f>
        <v>97.8</v>
      </c>
      <c r="M92" s="3">
        <f>M70</f>
        <v>79.5</v>
      </c>
    </row>
    <row r="93" spans="1:13" x14ac:dyDescent="0.25">
      <c r="A93" s="14"/>
      <c r="C93" s="3" t="s">
        <v>26</v>
      </c>
    </row>
    <row r="94" spans="1:13" x14ac:dyDescent="0.25">
      <c r="A94" s="26"/>
    </row>
    <row r="95" spans="1:13" x14ac:dyDescent="0.25">
      <c r="A95" s="14"/>
      <c r="C95" s="3" t="str">
        <f>CONCATENATE("    ",B86)</f>
        <v xml:space="preserve">    People with this variant have one copy of the [C36983994T](https://www.ncbi.nlm.nih.gov/projects/SNP/snp_ref.cgi?rs=3913434) variant. This substitution of a single nucleotide is known as a missense mutation.</v>
      </c>
    </row>
    <row r="96" spans="1:13" x14ac:dyDescent="0.25">
      <c r="A96" s="14"/>
    </row>
    <row r="97" spans="1:13" x14ac:dyDescent="0.25">
      <c r="A97" s="26"/>
      <c r="C97" s="3" t="s">
        <v>29</v>
      </c>
    </row>
    <row r="98" spans="1:13" x14ac:dyDescent="0.25">
      <c r="A98" s="14"/>
    </row>
    <row r="99" spans="1:13" x14ac:dyDescent="0.25">
      <c r="A99" s="14"/>
      <c r="C99" s="3" t="str">
        <f>CONCATENATE(B87)</f>
        <v>This variant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100" spans="1:13" x14ac:dyDescent="0.25">
      <c r="A100" s="14"/>
    </row>
    <row r="101" spans="1:13" x14ac:dyDescent="0.25">
      <c r="A101" s="14"/>
      <c r="C101" s="3" t="s">
        <v>30</v>
      </c>
    </row>
    <row r="102" spans="1:13" x14ac:dyDescent="0.25">
      <c r="A102" s="26"/>
    </row>
    <row r="103" spans="1:13" x14ac:dyDescent="0.25">
      <c r="A103" s="26"/>
      <c r="C103" s="3" t="str">
        <f>CONCATENATE( "    &lt;piechart percentage=",B88," /&gt;")</f>
        <v xml:space="preserve">    &lt;piechart percentage=1.8 /&gt;</v>
      </c>
    </row>
    <row r="104" spans="1:13" x14ac:dyDescent="0.25">
      <c r="A104" s="26"/>
      <c r="C104" s="3" t="str">
        <f>"  &lt;/Analysis&gt;"</f>
        <v xml:space="preserve">  &lt;/Analysis&gt;</v>
      </c>
      <c r="K104" s="3" t="str">
        <f>K82</f>
        <v>rs6691840</v>
      </c>
      <c r="L104" s="3" t="str">
        <f>L82</f>
        <v>rs3913434</v>
      </c>
      <c r="M104" s="3" t="str">
        <f>M82</f>
        <v>rs270838</v>
      </c>
    </row>
    <row r="105" spans="1:13" s="21" customFormat="1" x14ac:dyDescent="0.25">
      <c r="A105" s="28"/>
      <c r="B105" s="20"/>
      <c r="K105" s="21" t="str">
        <f>K83</f>
        <v>T928G</v>
      </c>
      <c r="L105" s="21" t="str">
        <f>L83</f>
        <v>C36983994T</v>
      </c>
      <c r="M105" s="21" t="e">
        <f>M83</f>
        <v>#REF!</v>
      </c>
    </row>
    <row r="106" spans="1:13" x14ac:dyDescent="0.25">
      <c r="B106" s="29"/>
      <c r="C106" s="10"/>
      <c r="K106" s="3" t="str">
        <f>K84</f>
        <v>NC_000001.10:g.</v>
      </c>
      <c r="L106" s="3" t="str">
        <f>L84</f>
        <v>NC_000001.10:g.</v>
      </c>
      <c r="M106" s="3" t="e">
        <f>M84</f>
        <v>#REF!</v>
      </c>
    </row>
    <row r="107" spans="1:13" x14ac:dyDescent="0.25">
      <c r="B107" s="29"/>
      <c r="J107" s="3" t="str">
        <f>J85</f>
        <v>Variant</v>
      </c>
      <c r="K107" s="3" t="str">
        <f>K85</f>
        <v>[37325477A&gt;G]</v>
      </c>
      <c r="L107" s="3" t="str">
        <f>L85</f>
        <v>[37449595C&gt;T]</v>
      </c>
      <c r="M107" s="3" t="e">
        <f>M85</f>
        <v>#REF!</v>
      </c>
    </row>
    <row r="108" spans="1:13" x14ac:dyDescent="0.25">
      <c r="A108" s="5"/>
      <c r="B108" s="2"/>
      <c r="J108" s="3" t="str">
        <f>J86</f>
        <v>Wildtype</v>
      </c>
      <c r="K108" s="3" t="str">
        <f>K86</f>
        <v>[37325477=]</v>
      </c>
      <c r="L108" s="3" t="str">
        <f>L86</f>
        <v>[37449595=]</v>
      </c>
      <c r="M108" s="3" t="e">
        <f>M86</f>
        <v>#REF!</v>
      </c>
    </row>
    <row r="109" spans="1:13" x14ac:dyDescent="0.25">
      <c r="A109" s="1"/>
      <c r="J109" s="3" t="str">
        <f>J87</f>
        <v>Het</v>
      </c>
      <c r="K109" s="3" t="str">
        <f>K87</f>
        <v>NC_000001.10:g.[37325477A&gt;G];[37325477=]</v>
      </c>
      <c r="L109" s="3" t="str">
        <f>L87</f>
        <v>NC_000001.10:g.[37449595C&gt;T];[37449595=]</v>
      </c>
      <c r="M109" s="3" t="e">
        <f>M87</f>
        <v>#REF!</v>
      </c>
    </row>
    <row r="110" spans="1:13" x14ac:dyDescent="0.25">
      <c r="B110" s="29"/>
      <c r="J110" s="3" t="str">
        <f>J88</f>
        <v>Homo</v>
      </c>
      <c r="K110" s="3" t="str">
        <f>K88</f>
        <v>NC_000001.10:g.[37325477A&gt;G];[37325477A&gt;G]</v>
      </c>
      <c r="L110" s="3" t="str">
        <f>L88</f>
        <v>NC_000001.10:g.[37449595C&gt;T];[37449595C&gt;T]</v>
      </c>
      <c r="M110" s="3" t="e">
        <f>M88</f>
        <v>#REF!</v>
      </c>
    </row>
    <row r="111" spans="1:13" x14ac:dyDescent="0.25">
      <c r="J111" s="3" t="str">
        <f>J89</f>
        <v>Wildtype</v>
      </c>
      <c r="K111" s="3" t="str">
        <f>K89</f>
        <v>NC_000001.10:g.[37325477=];[37325477=]</v>
      </c>
      <c r="L111" s="3" t="str">
        <f>L89</f>
        <v>NC_000001.10:g.[37449595=];[37449595=]</v>
      </c>
      <c r="M111" s="3" t="e">
        <f>M89</f>
        <v>#REF!</v>
      </c>
    </row>
    <row r="112" spans="1:13" x14ac:dyDescent="0.25">
      <c r="J112" s="3" t="str">
        <f>J90</f>
        <v>Het%</v>
      </c>
      <c r="K112" s="3">
        <f>K90</f>
        <v>43</v>
      </c>
      <c r="L112" s="3">
        <f>L90</f>
        <v>1.8</v>
      </c>
      <c r="M112" s="3">
        <f>M90</f>
        <v>15.8</v>
      </c>
    </row>
    <row r="113" spans="1:13" x14ac:dyDescent="0.25">
      <c r="A113" s="14"/>
      <c r="J113" s="3" t="str">
        <f>J91</f>
        <v>Homo%</v>
      </c>
      <c r="K113" s="3">
        <f>K91</f>
        <v>19.899999999999999</v>
      </c>
      <c r="L113" s="3">
        <f>L91</f>
        <v>0.5</v>
      </c>
      <c r="M113" s="3">
        <f>M91</f>
        <v>4.7</v>
      </c>
    </row>
    <row r="114" spans="1:13" x14ac:dyDescent="0.25">
      <c r="A114" s="26"/>
      <c r="J114" s="3" t="str">
        <f>J92</f>
        <v>Wildtype%</v>
      </c>
      <c r="K114" s="3">
        <f>K92</f>
        <v>37.1</v>
      </c>
      <c r="L114" s="3">
        <f>L92</f>
        <v>97.8</v>
      </c>
      <c r="M114" s="3">
        <f>M92</f>
        <v>79.5</v>
      </c>
    </row>
    <row r="115" spans="1:13" x14ac:dyDescent="0.25">
      <c r="A115" s="14"/>
    </row>
    <row r="116" spans="1:13" x14ac:dyDescent="0.25">
      <c r="A116" s="14"/>
    </row>
    <row r="117" spans="1:13" x14ac:dyDescent="0.25">
      <c r="A117" s="26"/>
    </row>
    <row r="118" spans="1:13" x14ac:dyDescent="0.25">
      <c r="A118" s="14"/>
    </row>
    <row r="119" spans="1:13" x14ac:dyDescent="0.25">
      <c r="A119" s="14"/>
    </row>
    <row r="120" spans="1:13" x14ac:dyDescent="0.25">
      <c r="A120" s="14"/>
    </row>
    <row r="121" spans="1:13" x14ac:dyDescent="0.25">
      <c r="A121" s="14"/>
    </row>
    <row r="122" spans="1:13" x14ac:dyDescent="0.25">
      <c r="A122" s="26"/>
    </row>
    <row r="123" spans="1:13" x14ac:dyDescent="0.25">
      <c r="A123" s="26"/>
    </row>
    <row r="124" spans="1:13" x14ac:dyDescent="0.25">
      <c r="A124" s="26"/>
    </row>
    <row r="125" spans="1:13" x14ac:dyDescent="0.25">
      <c r="A125" s="26"/>
    </row>
    <row r="126" spans="1:13" x14ac:dyDescent="0.25">
      <c r="A126" s="26"/>
      <c r="K126" s="3" t="str">
        <f>K104</f>
        <v>rs6691840</v>
      </c>
      <c r="L126" s="3" t="str">
        <f>L104</f>
        <v>rs3913434</v>
      </c>
      <c r="M126" s="3" t="str">
        <f>M104</f>
        <v>rs270838</v>
      </c>
    </row>
    <row r="127" spans="1:13" s="21" customFormat="1" x14ac:dyDescent="0.25">
      <c r="A127" s="28"/>
      <c r="B127" s="20"/>
      <c r="K127" s="21" t="str">
        <f>K105</f>
        <v>T928G</v>
      </c>
      <c r="L127" s="21" t="str">
        <f>L105</f>
        <v>C36983994T</v>
      </c>
      <c r="M127" s="21" t="e">
        <f>M105</f>
        <v>#REF!</v>
      </c>
    </row>
    <row r="128" spans="1:13" x14ac:dyDescent="0.25">
      <c r="A128" s="14"/>
      <c r="K128" s="3" t="str">
        <f>K106</f>
        <v>NC_000001.10:g.</v>
      </c>
      <c r="L128" s="3" t="str">
        <f>L106</f>
        <v>NC_000001.10:g.</v>
      </c>
      <c r="M128" s="3" t="e">
        <f>M106</f>
        <v>#REF!</v>
      </c>
    </row>
    <row r="129" spans="1:13" x14ac:dyDescent="0.25">
      <c r="A129" s="14"/>
      <c r="J129" s="3" t="str">
        <f>J107</f>
        <v>Variant</v>
      </c>
      <c r="K129" s="3" t="str">
        <f>K107</f>
        <v>[37325477A&gt;G]</v>
      </c>
      <c r="L129" s="3" t="str">
        <f>L107</f>
        <v>[37449595C&gt;T]</v>
      </c>
      <c r="M129" s="3" t="e">
        <f>M107</f>
        <v>#REF!</v>
      </c>
    </row>
    <row r="130" spans="1:13" x14ac:dyDescent="0.25">
      <c r="A130" s="26"/>
      <c r="J130" s="3" t="str">
        <f>J108</f>
        <v>Wildtype</v>
      </c>
      <c r="K130" s="3" t="str">
        <f>K108</f>
        <v>[37325477=]</v>
      </c>
      <c r="L130" s="3" t="str">
        <f>L108</f>
        <v>[37449595=]</v>
      </c>
      <c r="M130" s="3" t="e">
        <f>M108</f>
        <v>#REF!</v>
      </c>
    </row>
    <row r="131" spans="1:13" x14ac:dyDescent="0.25">
      <c r="A131" s="26"/>
      <c r="J131" s="3" t="str">
        <f>J109</f>
        <v>Het</v>
      </c>
      <c r="K131" s="3" t="str">
        <f>K109</f>
        <v>NC_000001.10:g.[37325477A&gt;G];[37325477=]</v>
      </c>
      <c r="L131" s="3" t="str">
        <f>L109</f>
        <v>NC_000001.10:g.[37449595C&gt;T];[37449595=]</v>
      </c>
      <c r="M131" s="3" t="e">
        <f>M109</f>
        <v>#REF!</v>
      </c>
    </row>
    <row r="132" spans="1:13" x14ac:dyDescent="0.25">
      <c r="A132" s="26"/>
      <c r="J132" s="3" t="str">
        <f>J110</f>
        <v>Homo</v>
      </c>
      <c r="K132" s="3" t="str">
        <f>K110</f>
        <v>NC_000001.10:g.[37325477A&gt;G];[37325477A&gt;G]</v>
      </c>
      <c r="L132" s="3" t="str">
        <f>L110</f>
        <v>NC_000001.10:g.[37449595C&gt;T];[37449595C&gt;T]</v>
      </c>
      <c r="M132" s="3" t="e">
        <f>M110</f>
        <v>#REF!</v>
      </c>
    </row>
    <row r="133" spans="1:13" x14ac:dyDescent="0.25">
      <c r="A133" s="26"/>
      <c r="J133" s="3" t="str">
        <f>J111</f>
        <v>Wildtype</v>
      </c>
      <c r="K133" s="3" t="str">
        <f>K111</f>
        <v>NC_000001.10:g.[37325477=];[37325477=]</v>
      </c>
      <c r="L133" s="3" t="str">
        <f>L111</f>
        <v>NC_000001.10:g.[37449595=];[37449595=]</v>
      </c>
      <c r="M133" s="3" t="e">
        <f>M111</f>
        <v>#REF!</v>
      </c>
    </row>
    <row r="134" spans="1:13" x14ac:dyDescent="0.25">
      <c r="A134" s="26"/>
      <c r="J134" s="3" t="str">
        <f>J112</f>
        <v>Het%</v>
      </c>
      <c r="K134" s="3">
        <f>K112</f>
        <v>43</v>
      </c>
      <c r="L134" s="3">
        <f>L112</f>
        <v>1.8</v>
      </c>
      <c r="M134" s="3">
        <f>M112</f>
        <v>15.8</v>
      </c>
    </row>
    <row r="135" spans="1:13" x14ac:dyDescent="0.25">
      <c r="A135" s="26"/>
      <c r="J135" s="3" t="str">
        <f>J113</f>
        <v>Homo%</v>
      </c>
      <c r="K135" s="3">
        <f>K113</f>
        <v>19.899999999999999</v>
      </c>
      <c r="L135" s="3">
        <f>L113</f>
        <v>0.5</v>
      </c>
      <c r="M135" s="3">
        <f>M113</f>
        <v>4.7</v>
      </c>
    </row>
    <row r="136" spans="1:13" x14ac:dyDescent="0.25">
      <c r="A136" s="14"/>
      <c r="J136" s="3" t="str">
        <f>J114</f>
        <v>Wildtype%</v>
      </c>
      <c r="K136" s="3">
        <f>K114</f>
        <v>37.1</v>
      </c>
      <c r="L136" s="3">
        <f>L114</f>
        <v>97.8</v>
      </c>
      <c r="M136" s="3">
        <f>M114</f>
        <v>79.5</v>
      </c>
    </row>
    <row r="137" spans="1:13" x14ac:dyDescent="0.25">
      <c r="A137" s="14"/>
    </row>
    <row r="138" spans="1:13" x14ac:dyDescent="0.25">
      <c r="A138" s="14"/>
    </row>
    <row r="139" spans="1:13" x14ac:dyDescent="0.25">
      <c r="A139" s="14"/>
    </row>
    <row r="140" spans="1:13" x14ac:dyDescent="0.25">
      <c r="A140" s="14"/>
    </row>
    <row r="141" spans="1:13" x14ac:dyDescent="0.25">
      <c r="A141" s="26"/>
    </row>
    <row r="142" spans="1:13" x14ac:dyDescent="0.25">
      <c r="A142" s="26"/>
    </row>
    <row r="143" spans="1:13" x14ac:dyDescent="0.25">
      <c r="A143" s="26"/>
    </row>
    <row r="144" spans="1:13" x14ac:dyDescent="0.25">
      <c r="A144" s="26"/>
    </row>
    <row r="145" spans="1:13" x14ac:dyDescent="0.25">
      <c r="A145" s="26"/>
    </row>
    <row r="146" spans="1:13" x14ac:dyDescent="0.25">
      <c r="A146" s="26"/>
    </row>
    <row r="147" spans="1:13" x14ac:dyDescent="0.25">
      <c r="A147" s="26"/>
    </row>
    <row r="148" spans="1:13" x14ac:dyDescent="0.25">
      <c r="A148" s="26"/>
      <c r="K148" s="3" t="str">
        <f>K126</f>
        <v>rs6691840</v>
      </c>
      <c r="L148" s="3" t="str">
        <f>L126</f>
        <v>rs3913434</v>
      </c>
      <c r="M148" s="3" t="str">
        <f>M126</f>
        <v>rs270838</v>
      </c>
    </row>
    <row r="149" spans="1:13" s="21" customFormat="1" x14ac:dyDescent="0.25">
      <c r="A149" s="28"/>
      <c r="B149" s="20"/>
      <c r="K149" s="21" t="str">
        <f>K127</f>
        <v>T928G</v>
      </c>
      <c r="L149" s="21" t="str">
        <f>L127</f>
        <v>C36983994T</v>
      </c>
      <c r="M149" s="21" t="e">
        <f>M127</f>
        <v>#REF!</v>
      </c>
    </row>
    <row r="150" spans="1:13" x14ac:dyDescent="0.25">
      <c r="A150" s="14"/>
      <c r="K150" s="3" t="str">
        <f>K128</f>
        <v>NC_000001.10:g.</v>
      </c>
      <c r="L150" s="3" t="str">
        <f>L128</f>
        <v>NC_000001.10:g.</v>
      </c>
      <c r="M150" s="3" t="e">
        <f>M128</f>
        <v>#REF!</v>
      </c>
    </row>
    <row r="151" spans="1:13" x14ac:dyDescent="0.25">
      <c r="A151" s="14"/>
      <c r="J151" s="3" t="str">
        <f>J129</f>
        <v>Variant</v>
      </c>
      <c r="K151" s="3" t="str">
        <f>K129</f>
        <v>[37325477A&gt;G]</v>
      </c>
      <c r="L151" s="3" t="str">
        <f>L129</f>
        <v>[37449595C&gt;T]</v>
      </c>
      <c r="M151" s="3" t="e">
        <f>M129</f>
        <v>#REF!</v>
      </c>
    </row>
    <row r="152" spans="1:13" x14ac:dyDescent="0.25">
      <c r="A152" s="26"/>
      <c r="J152" s="3" t="str">
        <f>J130</f>
        <v>Wildtype</v>
      </c>
      <c r="K152" s="3" t="str">
        <f>K130</f>
        <v>[37325477=]</v>
      </c>
      <c r="L152" s="3" t="str">
        <f>L130</f>
        <v>[37449595=]</v>
      </c>
      <c r="M152" s="3" t="e">
        <f>M130</f>
        <v>#REF!</v>
      </c>
    </row>
    <row r="153" spans="1:13" x14ac:dyDescent="0.25">
      <c r="A153" s="26"/>
      <c r="B153" s="36"/>
      <c r="J153" s="3" t="str">
        <f t="shared" ref="J153:M158" si="4">J131</f>
        <v>Het</v>
      </c>
      <c r="K153" s="3" t="str">
        <f t="shared" si="4"/>
        <v>NC_000001.10:g.[37325477A&gt;G];[37325477=]</v>
      </c>
      <c r="L153" s="3" t="str">
        <f t="shared" si="4"/>
        <v>NC_000001.10:g.[37449595C&gt;T];[37449595=]</v>
      </c>
      <c r="M153" s="3" t="e">
        <f t="shared" si="4"/>
        <v>#REF!</v>
      </c>
    </row>
    <row r="154" spans="1:13" x14ac:dyDescent="0.25">
      <c r="A154" s="26"/>
      <c r="J154" s="3" t="str">
        <f t="shared" si="4"/>
        <v>Homo</v>
      </c>
      <c r="K154" s="3" t="str">
        <f t="shared" si="4"/>
        <v>NC_000001.10:g.[37325477A&gt;G];[37325477A&gt;G]</v>
      </c>
      <c r="L154" s="3" t="str">
        <f t="shared" si="4"/>
        <v>NC_000001.10:g.[37449595C&gt;T];[37449595C&gt;T]</v>
      </c>
      <c r="M154" s="3" t="e">
        <f t="shared" si="4"/>
        <v>#REF!</v>
      </c>
    </row>
    <row r="155" spans="1:13" x14ac:dyDescent="0.25">
      <c r="A155" s="26"/>
      <c r="J155" s="3" t="str">
        <f t="shared" si="4"/>
        <v>Wildtype</v>
      </c>
      <c r="K155" s="3" t="str">
        <f t="shared" si="4"/>
        <v>NC_000001.10:g.[37325477=];[37325477=]</v>
      </c>
      <c r="L155" s="3" t="str">
        <f t="shared" si="4"/>
        <v>NC_000001.10:g.[37449595=];[37449595=]</v>
      </c>
      <c r="M155" s="3" t="e">
        <f t="shared" si="4"/>
        <v>#REF!</v>
      </c>
    </row>
    <row r="156" spans="1:13" x14ac:dyDescent="0.25">
      <c r="A156" s="26"/>
      <c r="J156" s="3" t="str">
        <f t="shared" si="4"/>
        <v>Het%</v>
      </c>
      <c r="K156" s="3">
        <f t="shared" si="4"/>
        <v>43</v>
      </c>
      <c r="L156" s="3">
        <f t="shared" si="4"/>
        <v>1.8</v>
      </c>
      <c r="M156" s="3">
        <f t="shared" si="4"/>
        <v>15.8</v>
      </c>
    </row>
    <row r="157" spans="1:13" x14ac:dyDescent="0.25">
      <c r="A157" s="26"/>
      <c r="J157" s="3" t="str">
        <f t="shared" si="4"/>
        <v>Homo%</v>
      </c>
      <c r="K157" s="3">
        <f t="shared" si="4"/>
        <v>19.899999999999999</v>
      </c>
      <c r="L157" s="3">
        <f t="shared" si="4"/>
        <v>0.5</v>
      </c>
      <c r="M157" s="3">
        <f t="shared" si="4"/>
        <v>4.7</v>
      </c>
    </row>
    <row r="158" spans="1:13" x14ac:dyDescent="0.25">
      <c r="A158" s="14"/>
      <c r="J158" s="3" t="str">
        <f t="shared" si="4"/>
        <v>Wildtype%</v>
      </c>
      <c r="K158" s="3">
        <f t="shared" si="4"/>
        <v>37.1</v>
      </c>
      <c r="L158" s="3">
        <f t="shared" si="4"/>
        <v>97.8</v>
      </c>
      <c r="M158" s="3">
        <f t="shared" si="4"/>
        <v>79.5</v>
      </c>
    </row>
    <row r="159" spans="1:13" x14ac:dyDescent="0.25">
      <c r="A159" s="14"/>
    </row>
    <row r="160" spans="1:13" x14ac:dyDescent="0.25">
      <c r="A160" s="14"/>
    </row>
    <row r="161" spans="1:13" x14ac:dyDescent="0.25">
      <c r="A161" s="14"/>
    </row>
    <row r="162" spans="1:13" x14ac:dyDescent="0.25">
      <c r="A162" s="14"/>
    </row>
    <row r="163" spans="1:13" x14ac:dyDescent="0.25">
      <c r="A163" s="26"/>
    </row>
    <row r="164" spans="1:13" x14ac:dyDescent="0.25">
      <c r="A164" s="26"/>
    </row>
    <row r="165" spans="1:13" x14ac:dyDescent="0.25">
      <c r="A165" s="26"/>
    </row>
    <row r="166" spans="1:13" x14ac:dyDescent="0.25">
      <c r="A166" s="26"/>
    </row>
    <row r="167" spans="1:13" x14ac:dyDescent="0.25">
      <c r="A167" s="26"/>
    </row>
    <row r="168" spans="1:13" x14ac:dyDescent="0.25">
      <c r="A168" s="26"/>
    </row>
    <row r="169" spans="1:13" x14ac:dyDescent="0.25">
      <c r="A169" s="26"/>
    </row>
    <row r="170" spans="1:13" x14ac:dyDescent="0.25">
      <c r="A170" s="26"/>
      <c r="K170" s="3" t="str">
        <f t="shared" ref="K170:M172" si="5">K148</f>
        <v>rs6691840</v>
      </c>
      <c r="L170" s="3" t="str">
        <f t="shared" si="5"/>
        <v>rs3913434</v>
      </c>
      <c r="M170" s="3" t="str">
        <f t="shared" si="5"/>
        <v>rs270838</v>
      </c>
    </row>
    <row r="171" spans="1:13" s="21" customFormat="1" x14ac:dyDescent="0.25">
      <c r="A171" s="28" t="s">
        <v>70</v>
      </c>
      <c r="B171" s="20" t="str">
        <f>CONCATENATE(B39," and ",B83)</f>
        <v>T928G (T;G) and C36983994T (C;T)</v>
      </c>
      <c r="C171" s="21" t="str">
        <f>CONCATENATE("&lt;# ",B171," #&gt;")</f>
        <v>&lt;# T928G (T;G) and C36983994T (C;T) #&gt;</v>
      </c>
      <c r="K171" s="21" t="str">
        <f t="shared" si="5"/>
        <v>T928G</v>
      </c>
      <c r="L171" s="21" t="str">
        <f t="shared" si="5"/>
        <v>C36983994T</v>
      </c>
      <c r="M171" s="21" t="e">
        <f t="shared" si="5"/>
        <v>#REF!</v>
      </c>
    </row>
    <row r="172" spans="1:13" x14ac:dyDescent="0.25">
      <c r="A172" s="14" t="s">
        <v>21</v>
      </c>
      <c r="B172" s="15" t="str">
        <f>K87</f>
        <v>NC_000001.10:g.[37325477A&gt;G];[37325477=]</v>
      </c>
      <c r="K172" s="3" t="str">
        <f t="shared" si="5"/>
        <v>NC_000001.10:g.</v>
      </c>
      <c r="L172" s="3" t="str">
        <f t="shared" si="5"/>
        <v>NC_000001.10:g.</v>
      </c>
      <c r="M172" s="3" t="e">
        <f t="shared" si="5"/>
        <v>#REF!</v>
      </c>
    </row>
    <row r="173" spans="1:13" x14ac:dyDescent="0.25">
      <c r="A173" s="14" t="s">
        <v>72</v>
      </c>
      <c r="C173" s="3" t="str">
        <f>CONCATENATE("  &lt;Analysis name=",CHAR(34),B171,CHAR(34))</f>
        <v xml:space="preserve">  &lt;Analysis name="T928G (T;G) and C36983994T (C;T)"</v>
      </c>
      <c r="J173" s="3" t="str">
        <f t="shared" ref="J173:M180" si="6">J151</f>
        <v>Variant</v>
      </c>
      <c r="K173" s="3" t="str">
        <f t="shared" si="6"/>
        <v>[37325477A&gt;G]</v>
      </c>
      <c r="L173" s="3" t="str">
        <f t="shared" si="6"/>
        <v>[37449595C&gt;T]</v>
      </c>
      <c r="M173" s="3" t="e">
        <f t="shared" si="6"/>
        <v>#REF!</v>
      </c>
    </row>
    <row r="174" spans="1:13" x14ac:dyDescent="0.25">
      <c r="A174" s="26" t="s">
        <v>75</v>
      </c>
      <c r="B174" s="15" t="str">
        <f>CONCATENATE("People with this variant have one copy of the ",B22, ", and ",B31," variants. This substitution of a single nucleotide is known as a missense mutation.")</f>
        <v>People with this variant have one copy of the [T928G](https://www.ncbi.nlm.nih.gov/projects/SNP/snp_ref.cgi?rs=6691840)[(Ser310Ala)](https://www.ncbi.nlm.nih.gov/pubmed/11986986), and [C36983994T](https://www.ncbi.nlm.nih.gov/projects/SNP/snp_ref.cgi?rs=3913434) variants. This substitution of a single nucleotide is known as a missense mutation.</v>
      </c>
      <c r="C174" s="3" t="str">
        <f>CONCATENATE("            case={  variantCall ",CHAR(40),CHAR(34),K175,CHAR(34),CHAR(41))</f>
        <v xml:space="preserve">            case={  variantCall ("NC_000001.10:g.[37325477A&gt;G];[37325477=]")</v>
      </c>
      <c r="J174" s="3" t="str">
        <f t="shared" si="6"/>
        <v>Wildtype</v>
      </c>
      <c r="K174" s="3" t="str">
        <f t="shared" si="6"/>
        <v>[37325477=]</v>
      </c>
      <c r="L174" s="3" t="str">
        <f t="shared" si="6"/>
        <v>[37449595=]</v>
      </c>
      <c r="M174" s="3" t="e">
        <f t="shared" si="6"/>
        <v>#REF!</v>
      </c>
    </row>
    <row r="175" spans="1:13" x14ac:dyDescent="0.25">
      <c r="A175" s="26" t="s">
        <v>28</v>
      </c>
      <c r="B175" s="15" t="s">
        <v>115</v>
      </c>
      <c r="C175" s="3" t="s">
        <v>71</v>
      </c>
      <c r="J175" s="3" t="str">
        <f t="shared" si="6"/>
        <v>Het</v>
      </c>
      <c r="K175" s="3" t="str">
        <f t="shared" si="6"/>
        <v>NC_000001.10:g.[37325477A&gt;G];[37325477=]</v>
      </c>
      <c r="L175" s="3" t="str">
        <f t="shared" si="6"/>
        <v>NC_000001.10:g.[37449595C&gt;T];[37449595=]</v>
      </c>
      <c r="M175" s="3" t="e">
        <f t="shared" si="6"/>
        <v>#REF!</v>
      </c>
    </row>
    <row r="176" spans="1:13" x14ac:dyDescent="0.25">
      <c r="A176" s="26" t="s">
        <v>73</v>
      </c>
      <c r="C176" s="3" t="str">
        <f>CONCATENATE("                    variantCall ",CHAR(40),CHAR(34),L175,CHAR(34),CHAR(41))</f>
        <v xml:space="preserve">                    variantCall ("NC_000001.10:g.[37449595C&gt;T];[37449595=]")</v>
      </c>
      <c r="J176" s="3" t="str">
        <f t="shared" si="6"/>
        <v>Homo</v>
      </c>
      <c r="K176" s="3" t="str">
        <f t="shared" si="6"/>
        <v>NC_000001.10:g.[37325477A&gt;G];[37325477A&gt;G]</v>
      </c>
      <c r="L176" s="3" t="str">
        <f t="shared" si="6"/>
        <v>NC_000001.10:g.[37449595C&gt;T];[37449595C&gt;T]</v>
      </c>
      <c r="M176" s="3" t="e">
        <f t="shared" si="6"/>
        <v>#REF!</v>
      </c>
    </row>
    <row r="177" spans="1:13" x14ac:dyDescent="0.25">
      <c r="A177" s="26"/>
      <c r="J177" s="3" t="str">
        <f t="shared" si="6"/>
        <v>Wildtype</v>
      </c>
      <c r="K177" s="3" t="str">
        <f t="shared" si="6"/>
        <v>NC_000001.10:g.[37325477=];[37325477=]</v>
      </c>
      <c r="L177" s="3" t="str">
        <f t="shared" si="6"/>
        <v>NC_000001.10:g.[37449595=];[37449595=]</v>
      </c>
      <c r="M177" s="3" t="e">
        <f t="shared" si="6"/>
        <v>#REF!</v>
      </c>
    </row>
    <row r="178" spans="1:13" x14ac:dyDescent="0.25">
      <c r="A178" s="26"/>
      <c r="J178" s="3" t="str">
        <f t="shared" si="6"/>
        <v>Het%</v>
      </c>
      <c r="K178" s="3">
        <f t="shared" si="6"/>
        <v>43</v>
      </c>
      <c r="L178" s="3">
        <f t="shared" si="6"/>
        <v>1.8</v>
      </c>
      <c r="M178" s="3">
        <f t="shared" si="6"/>
        <v>15.8</v>
      </c>
    </row>
    <row r="179" spans="1:13" x14ac:dyDescent="0.25">
      <c r="A179" s="26"/>
      <c r="C179" s="3" t="str">
        <f>CONCATENATE("                  } &gt; ")</f>
        <v xml:space="preserve">                  } &gt; </v>
      </c>
      <c r="J179" s="3" t="str">
        <f t="shared" si="6"/>
        <v>Homo%</v>
      </c>
      <c r="K179" s="3">
        <f t="shared" si="6"/>
        <v>19.899999999999999</v>
      </c>
      <c r="L179" s="3">
        <f t="shared" si="6"/>
        <v>0.5</v>
      </c>
      <c r="M179" s="3">
        <f t="shared" si="6"/>
        <v>4.7</v>
      </c>
    </row>
    <row r="180" spans="1:13" x14ac:dyDescent="0.25">
      <c r="A180" s="14"/>
      <c r="J180" s="3" t="str">
        <f t="shared" si="6"/>
        <v>Wildtype%</v>
      </c>
      <c r="K180" s="3">
        <f t="shared" si="6"/>
        <v>37.1</v>
      </c>
      <c r="L180" s="3">
        <f t="shared" si="6"/>
        <v>97.8</v>
      </c>
      <c r="M180" s="3">
        <f t="shared" si="6"/>
        <v>79.5</v>
      </c>
    </row>
    <row r="181" spans="1:13" x14ac:dyDescent="0.25">
      <c r="A181" s="14"/>
      <c r="C181" s="3" t="s">
        <v>26</v>
      </c>
    </row>
    <row r="182" spans="1:13" x14ac:dyDescent="0.25">
      <c r="A182" s="14"/>
    </row>
    <row r="183" spans="1:13" x14ac:dyDescent="0.25">
      <c r="A183" s="14"/>
      <c r="C183" s="3" t="str">
        <f>CONCATENATE("    ",B174)</f>
        <v xml:space="preserve">    People with this variant have one copy of the [T928G](https://www.ncbi.nlm.nih.gov/projects/SNP/snp_ref.cgi?rs=6691840)[(Ser310Ala)](https://www.ncbi.nlm.nih.gov/pubmed/11986986), and [C36983994T](https://www.ncbi.nlm.nih.gov/projects/SNP/snp_ref.cgi?rs=3913434) variants. This substitution of a single nucleotide is known as a missense mutation.</v>
      </c>
    </row>
    <row r="184" spans="1:13" x14ac:dyDescent="0.25">
      <c r="A184" s="14"/>
    </row>
    <row r="185" spans="1:13" x14ac:dyDescent="0.25">
      <c r="A185" s="26"/>
      <c r="C185" s="3" t="s">
        <v>29</v>
      </c>
    </row>
    <row r="186" spans="1:13" x14ac:dyDescent="0.25">
      <c r="A186" s="26"/>
    </row>
    <row r="187" spans="1:13" x14ac:dyDescent="0.25">
      <c r="A187" s="26"/>
      <c r="C187" s="3" t="str">
        <f>CONCATENATE(B175)</f>
        <v xml:space="preserve">    There is currently no data on the interaction between these variants.  However, some information exists on the individual variants. 
    # What is the effect of T928G?
    Having one copy of T928G has been linked [recurrent major depressive disorder](https://www.ncbi.nlm.nih.gov/pubmed/16958029) and was found to increase the risk of [schizophrenia](https://www.ncbi.nlm.nih.gov/pubmed/19921975/) by [30%](https://www.ncbi.nlm.nih.gov/pubmed/25054019?dopt=Abstract).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188" spans="1:13" x14ac:dyDescent="0.25">
      <c r="A188" s="26"/>
    </row>
    <row r="189" spans="1:13" x14ac:dyDescent="0.25">
      <c r="A189" s="26"/>
      <c r="C189" s="3" t="s">
        <v>30</v>
      </c>
    </row>
    <row r="190" spans="1:13" x14ac:dyDescent="0.25">
      <c r="A190" s="26"/>
    </row>
    <row r="191" spans="1:13" x14ac:dyDescent="0.25">
      <c r="A191" s="26"/>
      <c r="C191" s="3" t="str">
        <f>CONCATENATE( "    &lt;piechart percentage=",B176," /&gt;")</f>
        <v xml:space="preserve">    &lt;piechart percentage= /&gt;</v>
      </c>
    </row>
    <row r="192" spans="1:13" x14ac:dyDescent="0.25">
      <c r="A192" s="26"/>
      <c r="C192" s="3" t="str">
        <f>"  &lt;/Analysis&gt;"</f>
        <v xml:space="preserve">  &lt;/Analysis&gt;</v>
      </c>
      <c r="K192" s="3" t="str">
        <f t="shared" ref="K192:M194" si="7">K170</f>
        <v>rs6691840</v>
      </c>
      <c r="L192" s="3" t="str">
        <f t="shared" si="7"/>
        <v>rs3913434</v>
      </c>
      <c r="M192" s="3" t="str">
        <f t="shared" si="7"/>
        <v>rs270838</v>
      </c>
    </row>
    <row r="193" spans="1:13" s="21" customFormat="1" x14ac:dyDescent="0.25">
      <c r="A193" s="28"/>
      <c r="B193" s="20"/>
      <c r="K193" s="21" t="str">
        <f t="shared" si="7"/>
        <v>T928G</v>
      </c>
      <c r="L193" s="21" t="str">
        <f t="shared" si="7"/>
        <v>C36983994T</v>
      </c>
      <c r="M193" s="21" t="e">
        <f t="shared" si="7"/>
        <v>#REF!</v>
      </c>
    </row>
    <row r="194" spans="1:13" x14ac:dyDescent="0.25">
      <c r="A194" s="14"/>
      <c r="K194" s="3" t="str">
        <f t="shared" si="7"/>
        <v>NC_000001.10:g.</v>
      </c>
      <c r="L194" s="3" t="str">
        <f t="shared" si="7"/>
        <v>NC_000001.10:g.</v>
      </c>
      <c r="M194" s="3" t="e">
        <f t="shared" si="7"/>
        <v>#REF!</v>
      </c>
    </row>
    <row r="195" spans="1:13" x14ac:dyDescent="0.25">
      <c r="A195" s="14"/>
      <c r="J195" s="3" t="str">
        <f t="shared" ref="J195:M202" si="8">J173</f>
        <v>Variant</v>
      </c>
      <c r="K195" s="3" t="str">
        <f t="shared" si="8"/>
        <v>[37325477A&gt;G]</v>
      </c>
      <c r="L195" s="3" t="str">
        <f t="shared" si="8"/>
        <v>[37449595C&gt;T]</v>
      </c>
      <c r="M195" s="3" t="e">
        <f t="shared" si="8"/>
        <v>#REF!</v>
      </c>
    </row>
    <row r="196" spans="1:13" x14ac:dyDescent="0.25">
      <c r="A196" s="26"/>
      <c r="J196" s="3" t="str">
        <f t="shared" si="8"/>
        <v>Wildtype</v>
      </c>
      <c r="K196" s="3" t="str">
        <f t="shared" si="8"/>
        <v>[37325477=]</v>
      </c>
      <c r="L196" s="3" t="str">
        <f t="shared" si="8"/>
        <v>[37449595=]</v>
      </c>
      <c r="M196" s="3" t="e">
        <f t="shared" si="8"/>
        <v>#REF!</v>
      </c>
    </row>
    <row r="197" spans="1:13" x14ac:dyDescent="0.25">
      <c r="A197" s="26"/>
      <c r="J197" s="3" t="str">
        <f t="shared" si="8"/>
        <v>Het</v>
      </c>
      <c r="K197" s="3" t="str">
        <f t="shared" si="8"/>
        <v>NC_000001.10:g.[37325477A&gt;G];[37325477=]</v>
      </c>
      <c r="L197" s="3" t="str">
        <f t="shared" si="8"/>
        <v>NC_000001.10:g.[37449595C&gt;T];[37449595=]</v>
      </c>
      <c r="M197" s="3" t="e">
        <f t="shared" si="8"/>
        <v>#REF!</v>
      </c>
    </row>
    <row r="198" spans="1:13" x14ac:dyDescent="0.25">
      <c r="A198" s="26"/>
      <c r="J198" s="3" t="str">
        <f t="shared" si="8"/>
        <v>Homo</v>
      </c>
      <c r="K198" s="3" t="str">
        <f t="shared" si="8"/>
        <v>NC_000001.10:g.[37325477A&gt;G];[37325477A&gt;G]</v>
      </c>
      <c r="L198" s="3" t="str">
        <f t="shared" si="8"/>
        <v>NC_000001.10:g.[37449595C&gt;T];[37449595C&gt;T]</v>
      </c>
      <c r="M198" s="3" t="e">
        <f t="shared" si="8"/>
        <v>#REF!</v>
      </c>
    </row>
    <row r="199" spans="1:13" x14ac:dyDescent="0.25">
      <c r="A199" s="26"/>
      <c r="J199" s="3" t="str">
        <f t="shared" si="8"/>
        <v>Wildtype</v>
      </c>
      <c r="K199" s="3" t="str">
        <f t="shared" si="8"/>
        <v>NC_000001.10:g.[37325477=];[37325477=]</v>
      </c>
      <c r="L199" s="3" t="str">
        <f t="shared" si="8"/>
        <v>NC_000001.10:g.[37449595=];[37449595=]</v>
      </c>
      <c r="M199" s="3" t="e">
        <f t="shared" si="8"/>
        <v>#REF!</v>
      </c>
    </row>
    <row r="200" spans="1:13" x14ac:dyDescent="0.25">
      <c r="A200" s="26"/>
      <c r="J200" s="3" t="str">
        <f t="shared" si="8"/>
        <v>Het%</v>
      </c>
      <c r="K200" s="3">
        <f t="shared" si="8"/>
        <v>43</v>
      </c>
      <c r="L200" s="3">
        <f t="shared" si="8"/>
        <v>1.8</v>
      </c>
      <c r="M200" s="3">
        <f t="shared" si="8"/>
        <v>15.8</v>
      </c>
    </row>
    <row r="201" spans="1:13" x14ac:dyDescent="0.25">
      <c r="A201" s="26"/>
      <c r="J201" s="3" t="str">
        <f t="shared" si="8"/>
        <v>Homo%</v>
      </c>
      <c r="K201" s="3">
        <f t="shared" si="8"/>
        <v>19.899999999999999</v>
      </c>
      <c r="L201" s="3">
        <f t="shared" si="8"/>
        <v>0.5</v>
      </c>
      <c r="M201" s="3">
        <f t="shared" si="8"/>
        <v>4.7</v>
      </c>
    </row>
    <row r="202" spans="1:13" x14ac:dyDescent="0.25">
      <c r="A202" s="14"/>
      <c r="J202" s="3" t="str">
        <f t="shared" si="8"/>
        <v>Wildtype%</v>
      </c>
      <c r="K202" s="3">
        <f t="shared" si="8"/>
        <v>37.1</v>
      </c>
      <c r="L202" s="3">
        <f t="shared" si="8"/>
        <v>97.8</v>
      </c>
      <c r="M202" s="3">
        <f t="shared" si="8"/>
        <v>79.5</v>
      </c>
    </row>
    <row r="203" spans="1:13" x14ac:dyDescent="0.25">
      <c r="A203" s="14"/>
    </row>
    <row r="204" spans="1:13" x14ac:dyDescent="0.25">
      <c r="A204" s="14"/>
    </row>
    <row r="205" spans="1:13" x14ac:dyDescent="0.25">
      <c r="A205" s="14"/>
    </row>
    <row r="206" spans="1:13" x14ac:dyDescent="0.25">
      <c r="A206" s="14"/>
    </row>
    <row r="207" spans="1:13" x14ac:dyDescent="0.25">
      <c r="A207" s="26"/>
    </row>
    <row r="208" spans="1:13" x14ac:dyDescent="0.25">
      <c r="A208" s="26"/>
    </row>
    <row r="209" spans="1:13" x14ac:dyDescent="0.25">
      <c r="A209" s="26"/>
    </row>
    <row r="210" spans="1:13" x14ac:dyDescent="0.25">
      <c r="A210" s="26"/>
    </row>
    <row r="211" spans="1:13" x14ac:dyDescent="0.25">
      <c r="A211" s="26"/>
    </row>
    <row r="212" spans="1:13" x14ac:dyDescent="0.25">
      <c r="A212" s="26"/>
    </row>
    <row r="213" spans="1:13" x14ac:dyDescent="0.25">
      <c r="A213" s="26"/>
    </row>
    <row r="214" spans="1:13" x14ac:dyDescent="0.25">
      <c r="A214" s="26"/>
      <c r="K214" s="3" t="str">
        <f t="shared" ref="K214:M216" si="9">K192</f>
        <v>rs6691840</v>
      </c>
      <c r="L214" s="3" t="str">
        <f t="shared" si="9"/>
        <v>rs3913434</v>
      </c>
      <c r="M214" s="3" t="str">
        <f t="shared" si="9"/>
        <v>rs270838</v>
      </c>
    </row>
    <row r="215" spans="1:13" s="21" customFormat="1" x14ac:dyDescent="0.25">
      <c r="A215" s="28" t="s">
        <v>70</v>
      </c>
      <c r="B215" s="20" t="str">
        <f>CONCATENATE(B61," and ",B83)</f>
        <v>T928G (G;G) and C36983994T (C;T)</v>
      </c>
      <c r="C215" s="21" t="str">
        <f>CONCATENATE("&lt;# ",B215," #&gt;")</f>
        <v>&lt;# T928G (G;G) and C36983994T (C;T) #&gt;</v>
      </c>
      <c r="K215" s="21" t="str">
        <f t="shared" si="9"/>
        <v>T928G</v>
      </c>
      <c r="L215" s="21" t="str">
        <f t="shared" si="9"/>
        <v>C36983994T</v>
      </c>
      <c r="M215" s="21" t="e">
        <f t="shared" si="9"/>
        <v>#REF!</v>
      </c>
    </row>
    <row r="216" spans="1:13" x14ac:dyDescent="0.25">
      <c r="A216" s="14" t="s">
        <v>21</v>
      </c>
      <c r="B216" s="15" t="str">
        <f>K131</f>
        <v>NC_000001.10:g.[37325477A&gt;G];[37325477=]</v>
      </c>
      <c r="K216" s="3" t="str">
        <f t="shared" si="9"/>
        <v>NC_000001.10:g.</v>
      </c>
      <c r="L216" s="3" t="str">
        <f t="shared" si="9"/>
        <v>NC_000001.10:g.</v>
      </c>
      <c r="M216" s="3" t="e">
        <f t="shared" si="9"/>
        <v>#REF!</v>
      </c>
    </row>
    <row r="217" spans="1:13" x14ac:dyDescent="0.25">
      <c r="A217" s="14" t="s">
        <v>72</v>
      </c>
      <c r="C217" s="3" t="str">
        <f>CONCATENATE("  &lt;Analysis name=",CHAR(34),B215,CHAR(34))</f>
        <v xml:space="preserve">  &lt;Analysis name="T928G (G;G) and C36983994T (C;T)"</v>
      </c>
      <c r="J217" s="3" t="str">
        <f t="shared" ref="J217:M224" si="10">J195</f>
        <v>Variant</v>
      </c>
      <c r="K217" s="3" t="str">
        <f t="shared" si="10"/>
        <v>[37325477A&gt;G]</v>
      </c>
      <c r="L217" s="3" t="str">
        <f t="shared" si="10"/>
        <v>[37449595C&gt;T]</v>
      </c>
      <c r="M217" s="3" t="e">
        <f t="shared" si="10"/>
        <v>#REF!</v>
      </c>
    </row>
    <row r="218" spans="1:13" x14ac:dyDescent="0.25">
      <c r="A218" s="26" t="s">
        <v>75</v>
      </c>
      <c r="B218" s="15" t="str">
        <f>CONCATENATE("People with this variant have two copies of the ",B22," variant and one copy of the ",B31," variant. This substitution of a single nucleotide is known as a missense mutation.")</f>
        <v>People with this variant have two copies of the [T928G](https://www.ncbi.nlm.nih.gov/projects/SNP/snp_ref.cgi?rs=6691840)[(Ser310Ala)](https://www.ncbi.nlm.nih.gov/pubmed/11986986) variant and one copy of the [C36983994T](https://www.ncbi.nlm.nih.gov/projects/SNP/snp_ref.cgi?rs=3913434) variant. This substitution of a single nucleotide is known as a missense mutation.</v>
      </c>
      <c r="C218" s="3" t="str">
        <f>CONCATENATE("            case={  variantCall ",CHAR(40),CHAR(34),K219,CHAR(34),CHAR(41))</f>
        <v xml:space="preserve">            case={  variantCall ("NC_000001.10:g.[37325477A&gt;G];[37325477=]")</v>
      </c>
      <c r="J218" s="3" t="str">
        <f t="shared" si="10"/>
        <v>Wildtype</v>
      </c>
      <c r="K218" s="3" t="str">
        <f t="shared" si="10"/>
        <v>[37325477=]</v>
      </c>
      <c r="L218" s="3" t="str">
        <f t="shared" si="10"/>
        <v>[37449595=]</v>
      </c>
      <c r="M218" s="3" t="e">
        <f t="shared" si="10"/>
        <v>#REF!</v>
      </c>
    </row>
    <row r="219" spans="1:13" x14ac:dyDescent="0.25">
      <c r="A219" s="26" t="s">
        <v>28</v>
      </c>
      <c r="B219" s="3" t="s">
        <v>117</v>
      </c>
      <c r="C219" s="3" t="s">
        <v>71</v>
      </c>
      <c r="J219" s="3" t="str">
        <f t="shared" si="10"/>
        <v>Het</v>
      </c>
      <c r="K219" s="3" t="str">
        <f t="shared" si="10"/>
        <v>NC_000001.10:g.[37325477A&gt;G];[37325477=]</v>
      </c>
      <c r="L219" s="3" t="str">
        <f t="shared" si="10"/>
        <v>NC_000001.10:g.[37449595C&gt;T];[37449595=]</v>
      </c>
      <c r="M219" s="3" t="e">
        <f t="shared" si="10"/>
        <v>#REF!</v>
      </c>
    </row>
    <row r="220" spans="1:13" x14ac:dyDescent="0.25">
      <c r="A220" s="26" t="s">
        <v>73</v>
      </c>
      <c r="C220" s="3" t="str">
        <f>CONCATENATE("                    variantCall ",CHAR(40),CHAR(34),L219,CHAR(34),CHAR(41))</f>
        <v xml:space="preserve">                    variantCall ("NC_000001.10:g.[37449595C&gt;T];[37449595=]")</v>
      </c>
      <c r="J220" s="3" t="str">
        <f t="shared" si="10"/>
        <v>Homo</v>
      </c>
      <c r="K220" s="3" t="str">
        <f t="shared" si="10"/>
        <v>NC_000001.10:g.[37325477A&gt;G];[37325477A&gt;G]</v>
      </c>
      <c r="L220" s="3" t="str">
        <f t="shared" si="10"/>
        <v>NC_000001.10:g.[37449595C&gt;T];[37449595C&gt;T]</v>
      </c>
      <c r="M220" s="3" t="e">
        <f t="shared" si="10"/>
        <v>#REF!</v>
      </c>
    </row>
    <row r="221" spans="1:13" x14ac:dyDescent="0.25">
      <c r="A221" s="26"/>
      <c r="J221" s="3" t="str">
        <f t="shared" si="10"/>
        <v>Wildtype</v>
      </c>
      <c r="K221" s="3" t="str">
        <f t="shared" si="10"/>
        <v>NC_000001.10:g.[37325477=];[37325477=]</v>
      </c>
      <c r="L221" s="3" t="str">
        <f t="shared" si="10"/>
        <v>NC_000001.10:g.[37449595=];[37449595=]</v>
      </c>
      <c r="M221" s="3" t="e">
        <f t="shared" si="10"/>
        <v>#REF!</v>
      </c>
    </row>
    <row r="222" spans="1:13" x14ac:dyDescent="0.25">
      <c r="A222" s="26"/>
      <c r="J222" s="3" t="str">
        <f t="shared" si="10"/>
        <v>Het%</v>
      </c>
      <c r="K222" s="3">
        <f t="shared" si="10"/>
        <v>43</v>
      </c>
      <c r="L222" s="3">
        <f t="shared" si="10"/>
        <v>1.8</v>
      </c>
      <c r="M222" s="3">
        <f t="shared" si="10"/>
        <v>15.8</v>
      </c>
    </row>
    <row r="223" spans="1:13" x14ac:dyDescent="0.25">
      <c r="A223" s="26"/>
      <c r="C223" s="3" t="str">
        <f>CONCATENATE("                  } &gt; ")</f>
        <v xml:space="preserve">                  } &gt; </v>
      </c>
      <c r="J223" s="3" t="str">
        <f t="shared" si="10"/>
        <v>Homo%</v>
      </c>
      <c r="K223" s="3">
        <f t="shared" si="10"/>
        <v>19.899999999999999</v>
      </c>
      <c r="L223" s="3">
        <f t="shared" si="10"/>
        <v>0.5</v>
      </c>
      <c r="M223" s="3">
        <f t="shared" si="10"/>
        <v>4.7</v>
      </c>
    </row>
    <row r="224" spans="1:13" x14ac:dyDescent="0.25">
      <c r="A224" s="14"/>
      <c r="J224" s="3" t="str">
        <f t="shared" si="10"/>
        <v>Wildtype%</v>
      </c>
      <c r="K224" s="3">
        <f t="shared" si="10"/>
        <v>37.1</v>
      </c>
      <c r="L224" s="3">
        <f t="shared" si="10"/>
        <v>97.8</v>
      </c>
      <c r="M224" s="3">
        <f t="shared" si="10"/>
        <v>79.5</v>
      </c>
    </row>
    <row r="225" spans="1:13" x14ac:dyDescent="0.25">
      <c r="A225" s="14"/>
      <c r="C225" s="3" t="s">
        <v>26</v>
      </c>
    </row>
    <row r="226" spans="1:13" x14ac:dyDescent="0.25">
      <c r="A226" s="14"/>
    </row>
    <row r="227" spans="1:13" x14ac:dyDescent="0.25">
      <c r="A227" s="14"/>
      <c r="C227" s="3" t="str">
        <f>CONCATENATE("    ",B218)</f>
        <v xml:space="preserve">    People with this variant have two copies of the [T928G](https://www.ncbi.nlm.nih.gov/projects/SNP/snp_ref.cgi?rs=6691840)[(Ser310Ala)](https://www.ncbi.nlm.nih.gov/pubmed/11986986) variant and one copy of the [C36983994T](https://www.ncbi.nlm.nih.gov/projects/SNP/snp_ref.cgi?rs=3913434) variant. This substitution of a single nucleotide is known as a missense mutation.</v>
      </c>
    </row>
    <row r="228" spans="1:13" x14ac:dyDescent="0.25">
      <c r="A228" s="14"/>
    </row>
    <row r="229" spans="1:13" x14ac:dyDescent="0.25">
      <c r="A229" s="26"/>
      <c r="C229" s="3" t="s">
        <v>29</v>
      </c>
    </row>
    <row r="230" spans="1:13" x14ac:dyDescent="0.25">
      <c r="A230" s="26"/>
    </row>
    <row r="231" spans="1:13" x14ac:dyDescent="0.25">
      <c r="A231" s="26"/>
      <c r="C231" s="3" t="str">
        <f>CONCATENATE(B219)</f>
        <v xml:space="preserve">    There is currently no data on the interaction between these variants.  However, some information exists on the individual variants. 
    # What is the effect of T928G?
Two copies of T928G is linked to increasing the risk of [schizophrenia](https://www.ncbi.nlm.nih.gov/pubmed/19921975/) by [30%](https://www.ncbi.nlm.nih.gov/pubmed/25054019?dopt=Abstract) and [recurrent major depressive disorder](https://www.ncbi.nlm.nih.gov/pubmed/16958029). Having two copies of this variant is associated with personality differences.  These include higher scores in [harm avoidance, anxiety, and shyness, and lower scores in novelty seeking, responsibility, resourcefulness, helpfulness, compassion, self motivation, and cooperativeness](https://www.ncbi.nlm.nih.gov/pubmed/19221446/). This pattern of scores is similar to that observed in [depressed patients](https://www.ncbi.nlm.nih.gov/pubmed/19221446/).
    # What should I do about this?
    Patients should be aware of their greater risk of depression, and consult with their physician regarding medication, including [Glutamic Acid](https://www.drugbank.ca/drugs/DB00142). Treatments include psychotherapy, light therapy (being in bright sunlight for 20-30 minutes), art therapy, and animal therapy.
    # What is the effect of C36983994T?
C36983994T was found was found in [90.5% of ME/CFS patients](https://www.ncbi.nlm.nih.gov/pubmed/27835969), compared with 21.1% of healthy patients. Changes to the glutamate receptor caused by this variant may impair [electrical flow among brain cells and reduce glutamate binding ability.](https://www.nimh.nih.gov/health/educational-resources/brain-basics/brain-basics.shtml) Elevated levels of glutamate outside of cells ([extracellular glutamate](https://www.ncbi.nlm.nih.gov/pmc/articles/PMC5314655/)) causes [excitotoxicity](https://www.ncbi.nlm.nih.gov/books/NBK10807/), a process when nerve cells are damaged or killed by excessive stimulation. For ME/CFS patients, sustained exposure to excess [extracellular glutamate](https://www.ncbi.nlm.nih.gov/pmc/articles/PMC5314655/) causes [sickness behavior, neurotoxicity, stress, and peripheral nervous sensitivity, including weakness, numbness and pain.](https://www.ncbi.nlm.nih.gov/pmc/articles/PMC5314655/) ME/CFS is also linked to an incorrect ratio of[glutamate to GABA](https://www.ncbi.nlm.nih.gov/pmc/articles/PMC5314655/). Excess glutamate and low GABA may cause increased pain, anxiety, and an inability to focus. 
    # What should I do about this?
    For elevated glutamate levels:
    - Medications may include: [Glutamic Acid](https://www.drugbank.ca/drugs/DB00142), [Ketamine, Riluzole, Lamotrigine, and Memantine](http://web.stanford.edu/group/hopes/cgi-bin/hopes_test/glossary/anti-glutamate/). 
    - Dietary supplements may include: [Omega-3 PUFAs, CoQ10, N-acetylcysteine, vitamin B12, curcumin, zinc, magnesium, L-Taurine, and L-carnitine.](https://www.ncbi.nlm.nih.gov/pmc/articles/PMC5314655/) 
    For low GABA levels:
    - Medications may include: benzodiazepines, such as clonazepam and Xanax, and sleep medications, including Ambien and Lunesta. 
    - Dietary supplements may include: 5-HTP (a synthetic form of tryptophan), glutamine (found in meat, fish, eggs, dairy, and wheat), and Taurine (found in meat and seafood).  
    Lifestyle changes to improve anxiety, stress, and pain include [meditation, tai-chi, yoga, and stretching](https://medlineplus.gov/stress.html#cat_78).</v>
      </c>
    </row>
    <row r="232" spans="1:13" x14ac:dyDescent="0.25">
      <c r="A232" s="26"/>
    </row>
    <row r="233" spans="1:13" x14ac:dyDescent="0.25">
      <c r="A233" s="26"/>
      <c r="C233" s="3" t="s">
        <v>30</v>
      </c>
    </row>
    <row r="234" spans="1:13" x14ac:dyDescent="0.25">
      <c r="A234" s="26"/>
    </row>
    <row r="235" spans="1:13" x14ac:dyDescent="0.25">
      <c r="A235" s="26"/>
      <c r="C235" s="3" t="str">
        <f>CONCATENATE( "    &lt;piechart percentage=",B220," /&gt;")</f>
        <v xml:space="preserve">    &lt;piechart percentage= /&gt;</v>
      </c>
    </row>
    <row r="236" spans="1:13" x14ac:dyDescent="0.25">
      <c r="A236" s="26"/>
      <c r="C236" s="3" t="str">
        <f>"  &lt;/Analysis&gt;"</f>
        <v xml:space="preserve">  &lt;/Analysis&gt;</v>
      </c>
      <c r="K236" s="3" t="str">
        <f t="shared" ref="K236:M238" si="11">K214</f>
        <v>rs6691840</v>
      </c>
      <c r="L236" s="3" t="str">
        <f t="shared" si="11"/>
        <v>rs3913434</v>
      </c>
      <c r="M236" s="3" t="str">
        <f t="shared" si="11"/>
        <v>rs270838</v>
      </c>
    </row>
    <row r="237" spans="1:13" s="21" customFormat="1" x14ac:dyDescent="0.25">
      <c r="A237" s="28"/>
      <c r="B237" s="20"/>
      <c r="K237" s="21" t="str">
        <f t="shared" si="11"/>
        <v>T928G</v>
      </c>
      <c r="L237" s="21" t="str">
        <f t="shared" si="11"/>
        <v>C36983994T</v>
      </c>
      <c r="M237" s="21" t="e">
        <f t="shared" si="11"/>
        <v>#REF!</v>
      </c>
    </row>
    <row r="238" spans="1:13" x14ac:dyDescent="0.25">
      <c r="A238" s="14"/>
      <c r="K238" s="3" t="str">
        <f t="shared" si="11"/>
        <v>NC_000001.10:g.</v>
      </c>
      <c r="L238" s="3" t="str">
        <f t="shared" si="11"/>
        <v>NC_000001.10:g.</v>
      </c>
      <c r="M238" s="3" t="e">
        <f t="shared" si="11"/>
        <v>#REF!</v>
      </c>
    </row>
    <row r="239" spans="1:13" x14ac:dyDescent="0.25">
      <c r="A239" s="14"/>
      <c r="J239" s="3" t="str">
        <f t="shared" ref="J239:M246" si="12">J217</f>
        <v>Variant</v>
      </c>
      <c r="K239" s="3" t="str">
        <f t="shared" si="12"/>
        <v>[37325477A&gt;G]</v>
      </c>
      <c r="L239" s="3" t="str">
        <f t="shared" si="12"/>
        <v>[37449595C&gt;T]</v>
      </c>
      <c r="M239" s="3" t="e">
        <f t="shared" si="12"/>
        <v>#REF!</v>
      </c>
    </row>
    <row r="240" spans="1:13" x14ac:dyDescent="0.25">
      <c r="A240" s="26"/>
      <c r="J240" s="3" t="str">
        <f t="shared" si="12"/>
        <v>Wildtype</v>
      </c>
      <c r="K240" s="3" t="str">
        <f t="shared" si="12"/>
        <v>[37325477=]</v>
      </c>
      <c r="L240" s="3" t="str">
        <f t="shared" si="12"/>
        <v>[37449595=]</v>
      </c>
      <c r="M240" s="3" t="e">
        <f t="shared" si="12"/>
        <v>#REF!</v>
      </c>
    </row>
    <row r="241" spans="1:13" x14ac:dyDescent="0.25">
      <c r="A241" s="26"/>
      <c r="J241" s="3" t="str">
        <f t="shared" si="12"/>
        <v>Het</v>
      </c>
      <c r="K241" s="3" t="str">
        <f t="shared" si="12"/>
        <v>NC_000001.10:g.[37325477A&gt;G];[37325477=]</v>
      </c>
      <c r="L241" s="3" t="str">
        <f t="shared" si="12"/>
        <v>NC_000001.10:g.[37449595C&gt;T];[37449595=]</v>
      </c>
      <c r="M241" s="3" t="e">
        <f t="shared" si="12"/>
        <v>#REF!</v>
      </c>
    </row>
    <row r="242" spans="1:13" x14ac:dyDescent="0.25">
      <c r="A242" s="26"/>
      <c r="J242" s="3" t="str">
        <f t="shared" si="12"/>
        <v>Homo</v>
      </c>
      <c r="K242" s="3" t="str">
        <f t="shared" si="12"/>
        <v>NC_000001.10:g.[37325477A&gt;G];[37325477A&gt;G]</v>
      </c>
      <c r="L242" s="3" t="str">
        <f t="shared" si="12"/>
        <v>NC_000001.10:g.[37449595C&gt;T];[37449595C&gt;T]</v>
      </c>
      <c r="M242" s="3" t="e">
        <f t="shared" si="12"/>
        <v>#REF!</v>
      </c>
    </row>
    <row r="243" spans="1:13" x14ac:dyDescent="0.25">
      <c r="A243" s="26"/>
      <c r="J243" s="3" t="str">
        <f t="shared" si="12"/>
        <v>Wildtype</v>
      </c>
      <c r="K243" s="3" t="str">
        <f t="shared" si="12"/>
        <v>NC_000001.10:g.[37325477=];[37325477=]</v>
      </c>
      <c r="L243" s="3" t="str">
        <f t="shared" si="12"/>
        <v>NC_000001.10:g.[37449595=];[37449595=]</v>
      </c>
      <c r="M243" s="3" t="e">
        <f t="shared" si="12"/>
        <v>#REF!</v>
      </c>
    </row>
    <row r="244" spans="1:13" x14ac:dyDescent="0.25">
      <c r="A244" s="26"/>
      <c r="J244" s="3" t="str">
        <f t="shared" si="12"/>
        <v>Het%</v>
      </c>
      <c r="K244" s="3">
        <f t="shared" si="12"/>
        <v>43</v>
      </c>
      <c r="L244" s="3">
        <f t="shared" si="12"/>
        <v>1.8</v>
      </c>
      <c r="M244" s="3">
        <f t="shared" si="12"/>
        <v>15.8</v>
      </c>
    </row>
    <row r="245" spans="1:13" x14ac:dyDescent="0.25">
      <c r="A245" s="26"/>
      <c r="J245" s="3" t="str">
        <f t="shared" si="12"/>
        <v>Homo%</v>
      </c>
      <c r="K245" s="3">
        <f t="shared" si="12"/>
        <v>19.899999999999999</v>
      </c>
      <c r="L245" s="3">
        <f t="shared" si="12"/>
        <v>0.5</v>
      </c>
      <c r="M245" s="3">
        <f t="shared" si="12"/>
        <v>4.7</v>
      </c>
    </row>
    <row r="246" spans="1:13" x14ac:dyDescent="0.25">
      <c r="A246" s="14"/>
      <c r="J246" s="3" t="str">
        <f t="shared" si="12"/>
        <v>Wildtype%</v>
      </c>
      <c r="K246" s="3">
        <f t="shared" si="12"/>
        <v>37.1</v>
      </c>
      <c r="L246" s="3">
        <f t="shared" si="12"/>
        <v>97.8</v>
      </c>
      <c r="M246" s="3">
        <f t="shared" si="12"/>
        <v>79.5</v>
      </c>
    </row>
    <row r="247" spans="1:13" x14ac:dyDescent="0.25">
      <c r="A247" s="14"/>
    </row>
    <row r="248" spans="1:13" x14ac:dyDescent="0.25">
      <c r="A248" s="14"/>
    </row>
    <row r="249" spans="1:13" x14ac:dyDescent="0.25">
      <c r="A249" s="14"/>
    </row>
    <row r="250" spans="1:13" x14ac:dyDescent="0.25">
      <c r="A250" s="14"/>
    </row>
    <row r="251" spans="1:13" x14ac:dyDescent="0.25">
      <c r="A251" s="26"/>
    </row>
    <row r="252" spans="1:13" x14ac:dyDescent="0.25">
      <c r="A252" s="26"/>
    </row>
    <row r="253" spans="1:13" x14ac:dyDescent="0.25">
      <c r="A253" s="26"/>
    </row>
    <row r="254" spans="1:13" x14ac:dyDescent="0.25">
      <c r="A254" s="26"/>
    </row>
    <row r="255" spans="1:13" x14ac:dyDescent="0.25">
      <c r="A255" s="26"/>
    </row>
    <row r="256" spans="1:13" x14ac:dyDescent="0.25">
      <c r="A256" s="26"/>
    </row>
    <row r="257" spans="1:13" x14ac:dyDescent="0.25">
      <c r="A257" s="26"/>
    </row>
    <row r="258" spans="1:13" x14ac:dyDescent="0.25">
      <c r="A258" s="26"/>
      <c r="K258" s="3" t="str">
        <f t="shared" ref="K258:M260" si="13">K236</f>
        <v>rs6691840</v>
      </c>
      <c r="L258" s="3" t="str">
        <f t="shared" si="13"/>
        <v>rs3913434</v>
      </c>
      <c r="M258" s="3" t="str">
        <f t="shared" si="13"/>
        <v>rs270838</v>
      </c>
    </row>
    <row r="259" spans="1:13" s="21" customFormat="1" x14ac:dyDescent="0.25">
      <c r="A259" s="28"/>
      <c r="B259" s="20"/>
      <c r="K259" s="21" t="str">
        <f t="shared" si="13"/>
        <v>T928G</v>
      </c>
      <c r="L259" s="21" t="str">
        <f t="shared" si="13"/>
        <v>C36983994T</v>
      </c>
      <c r="M259" s="21" t="e">
        <f t="shared" si="13"/>
        <v>#REF!</v>
      </c>
    </row>
    <row r="260" spans="1:13" x14ac:dyDescent="0.25">
      <c r="A260" s="14"/>
      <c r="K260" s="3" t="str">
        <f t="shared" si="13"/>
        <v>NC_000001.10:g.</v>
      </c>
      <c r="L260" s="3" t="str">
        <f t="shared" si="13"/>
        <v>NC_000001.10:g.</v>
      </c>
      <c r="M260" s="3" t="e">
        <f t="shared" si="13"/>
        <v>#REF!</v>
      </c>
    </row>
    <row r="261" spans="1:13" x14ac:dyDescent="0.25">
      <c r="A261" s="14"/>
      <c r="J261" s="3" t="str">
        <f t="shared" ref="J261:M268" si="14">J239</f>
        <v>Variant</v>
      </c>
      <c r="K261" s="3" t="str">
        <f t="shared" si="14"/>
        <v>[37325477A&gt;G]</v>
      </c>
      <c r="L261" s="3" t="str">
        <f t="shared" si="14"/>
        <v>[37449595C&gt;T]</v>
      </c>
      <c r="M261" s="3" t="e">
        <f t="shared" si="14"/>
        <v>#REF!</v>
      </c>
    </row>
    <row r="262" spans="1:13" x14ac:dyDescent="0.25">
      <c r="A262" s="26"/>
      <c r="J262" s="3" t="str">
        <f t="shared" si="14"/>
        <v>Wildtype</v>
      </c>
      <c r="K262" s="3" t="str">
        <f t="shared" si="14"/>
        <v>[37325477=]</v>
      </c>
      <c r="L262" s="3" t="str">
        <f t="shared" si="14"/>
        <v>[37449595=]</v>
      </c>
      <c r="M262" s="3" t="e">
        <f t="shared" si="14"/>
        <v>#REF!</v>
      </c>
    </row>
    <row r="263" spans="1:13" x14ac:dyDescent="0.25">
      <c r="A263" s="26"/>
      <c r="J263" s="3" t="str">
        <f t="shared" si="14"/>
        <v>Het</v>
      </c>
      <c r="K263" s="3" t="str">
        <f t="shared" si="14"/>
        <v>NC_000001.10:g.[37325477A&gt;G];[37325477=]</v>
      </c>
      <c r="L263" s="3" t="str">
        <f t="shared" si="14"/>
        <v>NC_000001.10:g.[37449595C&gt;T];[37449595=]</v>
      </c>
      <c r="M263" s="3" t="e">
        <f t="shared" si="14"/>
        <v>#REF!</v>
      </c>
    </row>
    <row r="264" spans="1:13" x14ac:dyDescent="0.25">
      <c r="A264" s="26"/>
      <c r="J264" s="3" t="str">
        <f t="shared" si="14"/>
        <v>Homo</v>
      </c>
      <c r="K264" s="3" t="str">
        <f t="shared" si="14"/>
        <v>NC_000001.10:g.[37325477A&gt;G];[37325477A&gt;G]</v>
      </c>
      <c r="L264" s="3" t="str">
        <f t="shared" si="14"/>
        <v>NC_000001.10:g.[37449595C&gt;T];[37449595C&gt;T]</v>
      </c>
      <c r="M264" s="3" t="e">
        <f t="shared" si="14"/>
        <v>#REF!</v>
      </c>
    </row>
    <row r="265" spans="1:13" x14ac:dyDescent="0.25">
      <c r="A265" s="26"/>
      <c r="J265" s="3" t="str">
        <f t="shared" si="14"/>
        <v>Wildtype</v>
      </c>
      <c r="K265" s="3" t="str">
        <f t="shared" si="14"/>
        <v>NC_000001.10:g.[37325477=];[37325477=]</v>
      </c>
      <c r="L265" s="3" t="str">
        <f t="shared" si="14"/>
        <v>NC_000001.10:g.[37449595=];[37449595=]</v>
      </c>
      <c r="M265" s="3" t="e">
        <f t="shared" si="14"/>
        <v>#REF!</v>
      </c>
    </row>
    <row r="266" spans="1:13" x14ac:dyDescent="0.25">
      <c r="A266" s="26"/>
      <c r="J266" s="3" t="str">
        <f t="shared" si="14"/>
        <v>Het%</v>
      </c>
      <c r="K266" s="3">
        <f t="shared" si="14"/>
        <v>43</v>
      </c>
      <c r="L266" s="3">
        <f t="shared" si="14"/>
        <v>1.8</v>
      </c>
      <c r="M266" s="3">
        <f t="shared" si="14"/>
        <v>15.8</v>
      </c>
    </row>
    <row r="267" spans="1:13" x14ac:dyDescent="0.25">
      <c r="A267" s="26"/>
      <c r="J267" s="3" t="str">
        <f t="shared" si="14"/>
        <v>Homo%</v>
      </c>
      <c r="K267" s="3">
        <f t="shared" si="14"/>
        <v>19.899999999999999</v>
      </c>
      <c r="L267" s="3">
        <f t="shared" si="14"/>
        <v>0.5</v>
      </c>
      <c r="M267" s="3">
        <f t="shared" si="14"/>
        <v>4.7</v>
      </c>
    </row>
    <row r="268" spans="1:13" x14ac:dyDescent="0.25">
      <c r="A268" s="14"/>
      <c r="J268" s="3" t="str">
        <f t="shared" si="14"/>
        <v>Wildtype%</v>
      </c>
      <c r="K268" s="3">
        <f t="shared" si="14"/>
        <v>37.1</v>
      </c>
      <c r="L268" s="3">
        <f t="shared" si="14"/>
        <v>97.8</v>
      </c>
      <c r="M268" s="3">
        <f t="shared" si="14"/>
        <v>79.5</v>
      </c>
    </row>
    <row r="269" spans="1:13" x14ac:dyDescent="0.25">
      <c r="A269" s="14"/>
    </row>
    <row r="270" spans="1:13" x14ac:dyDescent="0.25">
      <c r="A270" s="14"/>
    </row>
    <row r="271" spans="1:13" x14ac:dyDescent="0.25">
      <c r="A271" s="14"/>
    </row>
    <row r="272" spans="1:13" x14ac:dyDescent="0.25">
      <c r="A272" s="14"/>
    </row>
    <row r="273" spans="1:13" x14ac:dyDescent="0.25">
      <c r="A273" s="26"/>
    </row>
    <row r="274" spans="1:13" x14ac:dyDescent="0.25">
      <c r="A274" s="26"/>
    </row>
    <row r="275" spans="1:13" x14ac:dyDescent="0.25">
      <c r="A275" s="26"/>
    </row>
    <row r="276" spans="1:13" x14ac:dyDescent="0.25">
      <c r="A276" s="26"/>
    </row>
    <row r="277" spans="1:13" x14ac:dyDescent="0.25">
      <c r="A277" s="26"/>
    </row>
    <row r="278" spans="1:13" x14ac:dyDescent="0.25">
      <c r="A278" s="26"/>
    </row>
    <row r="279" spans="1:13" x14ac:dyDescent="0.25">
      <c r="A279" s="26"/>
    </row>
    <row r="280" spans="1:13" x14ac:dyDescent="0.25">
      <c r="A280" s="26"/>
      <c r="K280" s="3" t="str">
        <f>K126</f>
        <v>rs6691840</v>
      </c>
      <c r="L280" s="3" t="str">
        <f>L126</f>
        <v>rs3913434</v>
      </c>
      <c r="M280" s="3" t="str">
        <f>M126</f>
        <v>rs270838</v>
      </c>
    </row>
    <row r="281" spans="1:13" s="21" customFormat="1" x14ac:dyDescent="0.25">
      <c r="A281" s="28" t="s">
        <v>70</v>
      </c>
      <c r="B281" s="20" t="s">
        <v>85</v>
      </c>
      <c r="C281" s="21" t="str">
        <f>CONCATENATE("&lt;# ",B281," #&gt;")</f>
        <v>&lt;# Wild type #&gt;</v>
      </c>
      <c r="K281" s="21" t="str">
        <f>K127</f>
        <v>T928G</v>
      </c>
      <c r="L281" s="21" t="str">
        <f>L127</f>
        <v>C36983994T</v>
      </c>
      <c r="M281" s="21" t="e">
        <f>M127</f>
        <v>#REF!</v>
      </c>
    </row>
    <row r="282" spans="1:13" x14ac:dyDescent="0.25">
      <c r="A282" s="14" t="s">
        <v>21</v>
      </c>
      <c r="B282" s="15" t="str">
        <f>K45</f>
        <v>NC_000001.10:g.[37325477=];[37325477=]</v>
      </c>
      <c r="K282" s="3" t="str">
        <f>K128</f>
        <v>NC_000001.10:g.</v>
      </c>
      <c r="L282" s="3" t="str">
        <f>L128</f>
        <v>NC_000001.10:g.</v>
      </c>
      <c r="M282" s="3" t="e">
        <f>M128</f>
        <v>#REF!</v>
      </c>
    </row>
    <row r="283" spans="1:13" x14ac:dyDescent="0.25">
      <c r="A283" s="14" t="s">
        <v>72</v>
      </c>
      <c r="B283" s="15" t="str">
        <f>L45</f>
        <v>NC_000001.10:g.[37449595=];[37449595=]</v>
      </c>
      <c r="C283" s="3" t="str">
        <f>CONCATENATE("  &lt;Analysis name=",CHAR(34),B281,CHAR(34))</f>
        <v xml:space="preserve">  &lt;Analysis name="Wild type"</v>
      </c>
      <c r="J283" s="3" t="str">
        <f>J129</f>
        <v>Variant</v>
      </c>
      <c r="K283" s="3" t="str">
        <f>K129</f>
        <v>[37325477A&gt;G]</v>
      </c>
      <c r="L283" s="3" t="str">
        <f>L129</f>
        <v>[37449595C&gt;T]</v>
      </c>
      <c r="M283" s="3" t="e">
        <f>M129</f>
        <v>#REF!</v>
      </c>
    </row>
    <row r="284" spans="1:13" x14ac:dyDescent="0.25">
      <c r="A284" s="26" t="s">
        <v>75</v>
      </c>
      <c r="B284" s="15" t="str">
        <f>CONCATENATE("Your ",B12," gene has no variants. A normal gene is referred to as a ",CHAR(34),"wild-type",CHAR(34)," gene.")</f>
        <v>Your GRIK3 gene has no variants. A normal gene is referred to as a "wild-type" gene.</v>
      </c>
      <c r="C284" s="3" t="str">
        <f>CONCATENATE("            case={  variantCall ",CHAR(40),CHAR(34),B282,CHAR(34),CHAR(41))</f>
        <v xml:space="preserve">            case={  variantCall ("NC_000001.10:g.[37325477=];[37325477=]")</v>
      </c>
      <c r="J284" s="3" t="str">
        <f>J130</f>
        <v>Wildtype</v>
      </c>
      <c r="K284" s="3" t="str">
        <f>K130</f>
        <v>[37325477=]</v>
      </c>
      <c r="L284" s="3" t="str">
        <f>L130</f>
        <v>[37449595=]</v>
      </c>
      <c r="M284" s="3" t="e">
        <f>M130</f>
        <v>#REF!</v>
      </c>
    </row>
    <row r="285" spans="1:13" x14ac:dyDescent="0.25">
      <c r="A285" s="26" t="s">
        <v>28</v>
      </c>
      <c r="C285" s="3" t="s">
        <v>71</v>
      </c>
      <c r="J285" s="3" t="str">
        <f t="shared" ref="J285:M290" si="15">J131</f>
        <v>Het</v>
      </c>
      <c r="K285" s="3" t="str">
        <f t="shared" si="15"/>
        <v>NC_000001.10:g.[37325477A&gt;G];[37325477=]</v>
      </c>
      <c r="L285" s="3" t="str">
        <f t="shared" si="15"/>
        <v>NC_000001.10:g.[37449595C&gt;T];[37449595=]</v>
      </c>
      <c r="M285" s="3" t="e">
        <f t="shared" si="15"/>
        <v>#REF!</v>
      </c>
    </row>
    <row r="286" spans="1:13" x14ac:dyDescent="0.25">
      <c r="A286" s="26" t="s">
        <v>73</v>
      </c>
      <c r="C286" s="3" t="str">
        <f>CONCATENATE("                    ",CHAR(40),"variantCall ",CHAR(40),CHAR(34),L286,CHAR(34),CHAR(41)," or variantCall ",CHAR(40),CHAR(34),L287,CHAR(34),CHAR(41),CHAR(41))</f>
        <v xml:space="preserve">                    (variantCall ("NC_000001.10:g.[37449595C&gt;T];[37449595C&gt;T]") or variantCall ("NC_000001.10:g.[37449595=];[37449595=]"))</v>
      </c>
      <c r="J286" s="3" t="str">
        <f t="shared" si="15"/>
        <v>Homo</v>
      </c>
      <c r="K286" s="3" t="str">
        <f t="shared" si="15"/>
        <v>NC_000001.10:g.[37325477A&gt;G];[37325477A&gt;G]</v>
      </c>
      <c r="L286" s="3" t="str">
        <f t="shared" si="15"/>
        <v>NC_000001.10:g.[37449595C&gt;T];[37449595C&gt;T]</v>
      </c>
      <c r="M286" s="3" t="e">
        <f t="shared" si="15"/>
        <v>#REF!</v>
      </c>
    </row>
    <row r="287" spans="1:13" x14ac:dyDescent="0.25">
      <c r="A287" s="26"/>
      <c r="J287" s="3" t="str">
        <f t="shared" si="15"/>
        <v>Wildtype</v>
      </c>
      <c r="K287" s="3" t="str">
        <f t="shared" si="15"/>
        <v>NC_000001.10:g.[37325477=];[37325477=]</v>
      </c>
      <c r="L287" s="3" t="str">
        <f t="shared" si="15"/>
        <v>NC_000001.10:g.[37449595=];[37449595=]</v>
      </c>
      <c r="M287" s="3" t="e">
        <f t="shared" si="15"/>
        <v>#REF!</v>
      </c>
    </row>
    <row r="288" spans="1:13" x14ac:dyDescent="0.25">
      <c r="A288" s="26"/>
      <c r="J288" s="3" t="str">
        <f t="shared" si="15"/>
        <v>Het%</v>
      </c>
      <c r="K288" s="3">
        <f t="shared" si="15"/>
        <v>43</v>
      </c>
      <c r="L288" s="3">
        <f t="shared" si="15"/>
        <v>1.8</v>
      </c>
      <c r="M288" s="3">
        <f t="shared" si="15"/>
        <v>15.8</v>
      </c>
    </row>
    <row r="289" spans="1:13" x14ac:dyDescent="0.25">
      <c r="A289" s="26"/>
      <c r="C289" s="3" t="str">
        <f>CONCATENATE("                  } &gt; ")</f>
        <v xml:space="preserve">                  } &gt; </v>
      </c>
      <c r="J289" s="3" t="str">
        <f t="shared" si="15"/>
        <v>Homo%</v>
      </c>
      <c r="K289" s="3">
        <f t="shared" si="15"/>
        <v>19.899999999999999</v>
      </c>
      <c r="L289" s="3">
        <f t="shared" si="15"/>
        <v>0.5</v>
      </c>
      <c r="M289" s="3">
        <f t="shared" si="15"/>
        <v>4.7</v>
      </c>
    </row>
    <row r="290" spans="1:13" x14ac:dyDescent="0.25">
      <c r="A290" s="14"/>
      <c r="J290" s="3" t="str">
        <f t="shared" si="15"/>
        <v>Wildtype%</v>
      </c>
      <c r="K290" s="3">
        <f t="shared" si="15"/>
        <v>37.1</v>
      </c>
      <c r="L290" s="3">
        <f t="shared" si="15"/>
        <v>97.8</v>
      </c>
      <c r="M290" s="3">
        <f t="shared" si="15"/>
        <v>79.5</v>
      </c>
    </row>
    <row r="291" spans="1:13" x14ac:dyDescent="0.25">
      <c r="A291" s="14"/>
      <c r="C291" s="3" t="s">
        <v>26</v>
      </c>
    </row>
    <row r="292" spans="1:13" x14ac:dyDescent="0.25">
      <c r="A292" s="14"/>
    </row>
    <row r="293" spans="1:13" x14ac:dyDescent="0.25">
      <c r="A293" s="26"/>
      <c r="C293" s="3" t="str">
        <f>CONCATENATE("    ",B284)</f>
        <v xml:space="preserve">    Your GRIK3 gene has no variants. A normal gene is referred to as a "wild-type" gene.</v>
      </c>
    </row>
    <row r="294" spans="1:13" x14ac:dyDescent="0.25">
      <c r="A294" s="26"/>
    </row>
    <row r="295" spans="1:13" x14ac:dyDescent="0.25">
      <c r="A295" s="26"/>
      <c r="C295" s="3" t="s">
        <v>30</v>
      </c>
    </row>
    <row r="296" spans="1:13" x14ac:dyDescent="0.25">
      <c r="A296" s="26"/>
    </row>
    <row r="297" spans="1:13" x14ac:dyDescent="0.25">
      <c r="A297" s="26"/>
      <c r="C297" s="3" t="str">
        <f>CONCATENATE( "    &lt;piechart percentage=",B286," /&gt;")</f>
        <v xml:space="preserve">    &lt;piechart percentage= /&gt;</v>
      </c>
    </row>
    <row r="298" spans="1:13" x14ac:dyDescent="0.25">
      <c r="A298" s="26"/>
      <c r="C298" s="3" t="str">
        <f>"  &lt;/Analysis&gt;"</f>
        <v xml:space="preserve">  &lt;/Analysis&gt;</v>
      </c>
    </row>
    <row r="299" spans="1:13" s="21" customFormat="1" x14ac:dyDescent="0.25">
      <c r="A299" s="28" t="s">
        <v>70</v>
      </c>
      <c r="B299" s="20" t="s">
        <v>86</v>
      </c>
      <c r="C299" s="21" t="str">
        <f>CONCATENATE("&lt;# ",B299," #&gt;")</f>
        <v>&lt;# Unknown #&gt;</v>
      </c>
    </row>
    <row r="300" spans="1:13" x14ac:dyDescent="0.25">
      <c r="A300" s="14" t="s">
        <v>21</v>
      </c>
      <c r="B300" s="15" t="str">
        <f>K63</f>
        <v>[37325477A&gt;G]</v>
      </c>
    </row>
    <row r="301" spans="1:13" x14ac:dyDescent="0.25">
      <c r="A301" s="14" t="s">
        <v>72</v>
      </c>
      <c r="C301" s="3" t="str">
        <f>CONCATENATE("  &lt;Analysis name=",CHAR(34),B299,CHAR(34), " case=true&gt;")</f>
        <v xml:space="preserve">  &lt;Analysis name="Unknown" case=true&gt;</v>
      </c>
    </row>
    <row r="302" spans="1:13" x14ac:dyDescent="0.25">
      <c r="A302" s="26" t="s">
        <v>75</v>
      </c>
      <c r="B302" s="15" t="s">
        <v>31</v>
      </c>
    </row>
    <row r="303" spans="1:13" x14ac:dyDescent="0.25">
      <c r="A303" s="26" t="s">
        <v>73</v>
      </c>
      <c r="B303" s="15">
        <v>0</v>
      </c>
      <c r="C303" s="3" t="s">
        <v>26</v>
      </c>
    </row>
    <row r="304" spans="1:13" x14ac:dyDescent="0.25">
      <c r="A304" s="26"/>
    </row>
    <row r="305" spans="1:3" x14ac:dyDescent="0.25">
      <c r="A305" s="14"/>
      <c r="C305" s="3" t="str">
        <f>CONCATENATE("    ",B302)</f>
        <v xml:space="preserve">    The effect is unknown.</v>
      </c>
    </row>
    <row r="306" spans="1:3" x14ac:dyDescent="0.25">
      <c r="A306" s="14"/>
    </row>
    <row r="307" spans="1:3" x14ac:dyDescent="0.25">
      <c r="A307" s="14"/>
      <c r="C307" s="3" t="s">
        <v>30</v>
      </c>
    </row>
    <row r="308" spans="1:3" x14ac:dyDescent="0.25">
      <c r="A308" s="26"/>
    </row>
    <row r="309" spans="1:3" x14ac:dyDescent="0.25">
      <c r="A309" s="26"/>
      <c r="C309" s="3" t="str">
        <f>CONCATENATE( "    &lt;piechart percentage=",B303," /&gt;")</f>
        <v xml:space="preserve">    &lt;piechart percentage=0 /&gt;</v>
      </c>
    </row>
    <row r="310" spans="1:3" x14ac:dyDescent="0.25">
      <c r="A310" s="26"/>
      <c r="C310" s="3" t="str">
        <f>"  &lt;/Analysis&gt;"</f>
        <v xml:space="preserve">  &lt;/Analysis&gt;</v>
      </c>
    </row>
    <row r="311" spans="1:3" x14ac:dyDescent="0.25">
      <c r="A311" s="14"/>
      <c r="C311" s="31" t="s">
        <v>78</v>
      </c>
    </row>
    <row r="312" spans="1:3" s="21" customFormat="1" x14ac:dyDescent="0.25">
      <c r="A312" s="19"/>
      <c r="B312" s="20"/>
      <c r="C312" s="35"/>
    </row>
    <row r="313" spans="1:3" x14ac:dyDescent="0.25">
      <c r="A313" s="14" t="s">
        <v>79</v>
      </c>
      <c r="B313" s="15" t="s">
        <v>125</v>
      </c>
      <c r="C313" s="10" t="str">
        <f>CONCATENATE("&lt;# ",A313," ",B313," #&gt;")</f>
        <v>&lt;# Tissues brain D001921 #&gt;</v>
      </c>
    </row>
    <row r="314" spans="1:3" x14ac:dyDescent="0.25">
      <c r="A314" s="14"/>
    </row>
    <row r="315" spans="1:3" x14ac:dyDescent="0.25">
      <c r="A315" s="14"/>
      <c r="B315" s="15" t="s">
        <v>126</v>
      </c>
      <c r="C315" s="31" t="str">
        <f>CONCATENATE("&lt;TopicBar ",B315," /&gt;")</f>
        <v>&lt;TopicBar brain /&gt;</v>
      </c>
    </row>
    <row r="316" spans="1:3" x14ac:dyDescent="0.25">
      <c r="A316" s="14"/>
    </row>
    <row r="317" spans="1:3" x14ac:dyDescent="0.25">
      <c r="A317" s="14" t="s">
        <v>32</v>
      </c>
      <c r="B317" s="15" t="s">
        <v>121</v>
      </c>
      <c r="C317" s="10" t="str">
        <f>CONCATENATE("&lt;# ",A317," ",B317," #&gt;")</f>
        <v>&lt;# Symptoms depression, stress, problems with thinking or memory, brain fog, pain #&gt;</v>
      </c>
    </row>
    <row r="318" spans="1:3" x14ac:dyDescent="0.25">
      <c r="A318" s="14"/>
    </row>
    <row r="319" spans="1:3" x14ac:dyDescent="0.25">
      <c r="A319" s="14"/>
      <c r="B319" s="15" t="s">
        <v>122</v>
      </c>
      <c r="C319" s="31" t="str">
        <f>CONCATENATE("&lt;TopicBar ",B319," /&gt;")</f>
        <v>&lt;TopicBar mesh_D003863 mesh_D040701 mesh_D008569 mesh_D010146 /&gt;</v>
      </c>
    </row>
    <row r="320" spans="1:3" x14ac:dyDescent="0.25">
      <c r="A320" s="14"/>
      <c r="C320" s="31"/>
    </row>
    <row r="321" spans="1:3" x14ac:dyDescent="0.25">
      <c r="A321" s="14" t="s">
        <v>48</v>
      </c>
      <c r="B321" s="15" t="s">
        <v>123</v>
      </c>
      <c r="C321" s="10" t="str">
        <f>CONCATENATE("&lt;# ",A321," ",B321," #&gt;")</f>
        <v>&lt;# Diseases schizophrenia D012559; major depressive disorder D003866; ME/CFS D015673;  #&gt;</v>
      </c>
    </row>
    <row r="322" spans="1:3" x14ac:dyDescent="0.25">
      <c r="A322" s="14"/>
    </row>
    <row r="323" spans="1:3" x14ac:dyDescent="0.25">
      <c r="A323" s="14"/>
      <c r="B323" s="15" t="s">
        <v>124</v>
      </c>
      <c r="C323" s="31" t="str">
        <f>CONCATENATE("&lt;TopicBar ",B323," /&gt;")</f>
        <v>&lt;TopicBar mesh_D012559 mesh_D003866 mesh_D015673 /&gt;</v>
      </c>
    </row>
    <row r="324" spans="1:3" x14ac:dyDescent="0.25">
      <c r="A324" s="14"/>
    </row>
    <row r="325" spans="1:3" s="21" customFormat="1" x14ac:dyDescent="0.25">
      <c r="A325" s="28"/>
      <c r="B325" s="20"/>
    </row>
    <row r="326" spans="1:3" x14ac:dyDescent="0.25">
      <c r="B326" s="30"/>
    </row>
    <row r="328" spans="1:3" x14ac:dyDescent="0.25">
      <c r="B328" s="30"/>
    </row>
    <row r="330" spans="1:3" x14ac:dyDescent="0.25">
      <c r="B330" s="30"/>
    </row>
    <row r="332" spans="1:3" x14ac:dyDescent="0.25">
      <c r="B332" s="30"/>
    </row>
    <row r="334" spans="1:3" x14ac:dyDescent="0.25">
      <c r="B334" s="3"/>
    </row>
    <row r="336" spans="1:3" x14ac:dyDescent="0.25">
      <c r="B336" s="3"/>
    </row>
    <row r="1008" spans="3:3" x14ac:dyDescent="0.25">
      <c r="C1008" s="3" t="str">
        <f>CONCATENATE("    This variant is a change at a specific point in the ",B999," gene from ",B1008," to ",B1009," resulting in incorrect ",B1002,"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014" spans="3:3" x14ac:dyDescent="0.25">
      <c r="C1014" s="3" t="str">
        <f>CONCATENATE("    This variant is a change at a specific point in the ",B999," gene from ",B1014," to ",B1015," resulting in incorrect ",B1002,"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144" spans="3:3" x14ac:dyDescent="0.25">
      <c r="C1144" s="3" t="str">
        <f>CONCATENATE("    This variant is a change at a specific point in the ",B1135," gene from ",B1144," to ",B1145," resulting in incorrect ",B1138,"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150" spans="3:3" x14ac:dyDescent="0.25">
      <c r="C1150" s="3" t="str">
        <f>CONCATENATE("    This variant is a change at a specific point in the ",B1135," gene from ",B1150," to ",B1151," resulting in incorrect ",B1138,"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552" spans="3:3" x14ac:dyDescent="0.25">
      <c r="C1552" s="3" t="str">
        <f>CONCATENATE("    This variant is a change at a specific point in the ",B1543," gene from ",B1552," to ",B1553," resulting in incorrect ",B1546,"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558" spans="3:3" x14ac:dyDescent="0.25">
      <c r="C1558" s="3" t="str">
        <f>CONCATENATE("    This variant is a change at a specific point in the ",B1543," gene from ",B1558," to ",B1559," resulting in incorrect ",B1546,"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88" spans="3:3" x14ac:dyDescent="0.25">
      <c r="C1688" s="3" t="str">
        <f>CONCATENATE("    This variant is a change at a specific point in the ",B1679," gene from ",B1688," to ",B1689," resulting in incorrect ",B1682,"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94" spans="3:3" x14ac:dyDescent="0.25">
      <c r="C1694" s="3" t="str">
        <f>CONCATENATE("    This variant is a change at a specific point in the ",B1679," gene from ",B1694," to ",B1695," resulting in incorrect ",B1682,"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24" spans="3:3" x14ac:dyDescent="0.25">
      <c r="C1824" s="3" t="str">
        <f>CONCATENATE("    This variant is a change at a specific point in the ",B1815," gene from ",B1824," to ",B1825," resulting in incorrect ",B1818,"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30" spans="3:3" x14ac:dyDescent="0.25">
      <c r="C1830" s="3" t="str">
        <f>CONCATENATE("    This variant is a change at a specific point in the ",B1815," gene from ",B1830," to ",B1831," resulting in incorrect ",B1818,"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960" spans="3:3" x14ac:dyDescent="0.25">
      <c r="C1960" s="3" t="str">
        <f>CONCATENATE("    This variant is a change at a specific point in the ",B1951," gene from ",B1960," to ",B1961," resulting in incorrect ",B1954,"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966" spans="3:3" x14ac:dyDescent="0.25">
      <c r="C1966" s="3" t="str">
        <f>CONCATENATE("    This variant is a change at a specific point in the ",B1951," gene from ",B1966," to ",B1967," resulting in incorrect ",B1954,"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96" spans="3:3" x14ac:dyDescent="0.25">
      <c r="C2096" s="3" t="str">
        <f>CONCATENATE("    This variant is a change at a specific point in the ",B2087," gene from ",B2096," to ",B2097," resulting in incorrect ",B2090,"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02" spans="3:3" x14ac:dyDescent="0.25">
      <c r="C2102" s="3" t="str">
        <f>CONCATENATE("    This variant is a change at a specific point in the ",B2087," gene from ",B2102," to ",B2103," resulting in incorrect ",B2090,"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32" spans="3:3" x14ac:dyDescent="0.25">
      <c r="C2232" s="3" t="str">
        <f>CONCATENATE("    This variant is a change at a specific point in the ",B2223," gene from ",B2232," to ",B2233," resulting in incorrect ",B2226,"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38" spans="3:3" x14ac:dyDescent="0.25">
      <c r="C2238" s="3" t="str">
        <f>CONCATENATE("    This variant is a change at a specific point in the ",B2223," gene from ",B2238," to ",B2239," resulting in incorrect ",B2226,"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368" spans="3:3" x14ac:dyDescent="0.25">
      <c r="C2368" s="3" t="str">
        <f>CONCATENATE("    This variant is a change at a specific point in the ",B2359," gene from ",B2368," to ",B2369," resulting in incorrect ",B2362,"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374" spans="3:3" x14ac:dyDescent="0.25">
      <c r="C2374" s="3" t="str">
        <f>CONCATENATE("    This variant is a change at a specific point in the ",B2359," gene from ",B2374," to ",B2375," resulting in incorrect ",B2362,"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504" spans="3:3" x14ac:dyDescent="0.25">
      <c r="C2504" s="3" t="str">
        <f>CONCATENATE("    This variant is a change at a specific point in the ",B2495," gene from ",B2504," to ",B2505," resulting in incorrect ",B2498,"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510" spans="3:3" x14ac:dyDescent="0.25">
      <c r="C2510" s="3" t="str">
        <f>CONCATENATE("    This variant is a change at a specific point in the ",B2495," gene from ",B2510," to ",B2511," resulting in incorrect ",B2498," function. This substitution of a single nucleotide is known as a missense variant.")</f>
        <v xml:space="preserve">    This variant is a change at a specific point in the  gene from  to  resulting in incorrect  function. This substitution of a single nucleotide is known as a missense variant.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44087-EF93-4A10-9A69-0588EA669690}">
  <dimension ref="A1:AJ2297"/>
  <sheetViews>
    <sheetView topLeftCell="A16" workbookViewId="0">
      <selection activeCell="C17" sqref="C17"/>
    </sheetView>
  </sheetViews>
  <sheetFormatPr defaultRowHeight="15.75" x14ac:dyDescent="0.25"/>
  <cols>
    <col min="1" max="1" width="16.28515625" style="3" customWidth="1"/>
    <col min="2" max="2" width="58.28515625" style="15" customWidth="1"/>
    <col min="3" max="6" width="9.140625" style="3"/>
    <col min="7" max="7" width="10.28515625" style="3" bestFit="1" customWidth="1"/>
    <col min="8" max="8" width="13" style="3" customWidth="1"/>
    <col min="9" max="9" width="13.42578125" style="3" customWidth="1"/>
    <col min="10" max="10" width="11.85546875" style="3" customWidth="1"/>
    <col min="11" max="11" width="12.85546875" style="3" customWidth="1"/>
    <col min="12" max="12" width="13.5703125" style="3" customWidth="1"/>
    <col min="13" max="13" width="12" style="3" customWidth="1"/>
    <col min="14" max="14" width="12.85546875" style="3" customWidth="1"/>
    <col min="15" max="16" width="9.140625" style="3"/>
    <col min="17" max="17" width="17.42578125" style="3" customWidth="1"/>
    <col min="18" max="18" width="15.5703125" style="3" customWidth="1"/>
    <col min="19" max="23" width="15.42578125" style="3" bestFit="1" customWidth="1"/>
    <col min="24" max="24" width="14.85546875" style="3" customWidth="1"/>
    <col min="25" max="25" width="16.7109375" style="3" customWidth="1"/>
    <col min="26" max="26" width="19.42578125" style="3" customWidth="1"/>
    <col min="27" max="27" width="18" style="3" customWidth="1"/>
    <col min="28" max="28" width="17.85546875" style="3" customWidth="1"/>
    <col min="29" max="29" width="16" style="3" customWidth="1"/>
    <col min="30" max="30" width="9.140625" style="3"/>
    <col min="31" max="31" width="12.85546875" style="3" bestFit="1" customWidth="1"/>
    <col min="32" max="32" width="11.7109375" style="3" bestFit="1" customWidth="1"/>
    <col min="33" max="16384" width="9.140625" style="3"/>
  </cols>
  <sheetData>
    <row r="1" spans="1:36" x14ac:dyDescent="0.25">
      <c r="A1" s="8" t="s">
        <v>0</v>
      </c>
      <c r="B1" s="9" t="s">
        <v>1</v>
      </c>
      <c r="C1" s="8" t="s">
        <v>2</v>
      </c>
      <c r="H1" s="10"/>
      <c r="I1" s="11"/>
      <c r="J1" s="10"/>
      <c r="K1" s="10"/>
      <c r="L1" s="10"/>
      <c r="Y1" s="12"/>
      <c r="AC1" s="12"/>
      <c r="AF1" s="13"/>
      <c r="AG1" s="13"/>
      <c r="AJ1" s="13"/>
    </row>
    <row r="2" spans="1:36" x14ac:dyDescent="0.25">
      <c r="A2" s="14" t="s">
        <v>35</v>
      </c>
      <c r="B2" t="s">
        <v>127</v>
      </c>
      <c r="C2" s="3" t="str">
        <f>CONCATENATE("&lt;",A2," ",B2," /&gt;")</f>
        <v>&lt;Gene_Name CLYBL /&gt;</v>
      </c>
      <c r="D2" s="15"/>
      <c r="H2" s="10"/>
      <c r="I2" s="11"/>
      <c r="J2" s="10"/>
      <c r="K2" s="10"/>
      <c r="L2" s="10"/>
      <c r="Y2" s="12"/>
      <c r="AC2" s="12"/>
      <c r="AF2" s="13"/>
      <c r="AG2" s="13"/>
      <c r="AJ2" s="13"/>
    </row>
    <row r="3" spans="1:36" x14ac:dyDescent="0.25">
      <c r="A3" s="8"/>
      <c r="B3" s="9"/>
      <c r="C3" s="8"/>
      <c r="D3" s="15"/>
      <c r="H3" s="10"/>
      <c r="I3" s="11"/>
      <c r="J3" s="10"/>
      <c r="K3" s="10"/>
      <c r="L3" s="10"/>
      <c r="Y3" s="12"/>
      <c r="AC3" s="12"/>
      <c r="AF3" s="13"/>
      <c r="AG3" s="13"/>
      <c r="AJ3" s="13"/>
    </row>
    <row r="4" spans="1:36" x14ac:dyDescent="0.25">
      <c r="A4" s="14" t="s">
        <v>37</v>
      </c>
      <c r="B4" s="15" t="s">
        <v>128</v>
      </c>
      <c r="C4" s="3" t="str">
        <f>CONCATENATE("&lt;",A4," ",B4," /&gt;")</f>
        <v>&lt;GeneName_full Citramalyl-CoA lyase, mitochondrial /&gt;</v>
      </c>
      <c r="D4" s="15"/>
      <c r="H4" s="10"/>
      <c r="I4" s="11"/>
      <c r="J4" s="10"/>
      <c r="K4" s="10"/>
      <c r="L4" s="10"/>
      <c r="Y4" s="12"/>
      <c r="AC4" s="12"/>
      <c r="AF4" s="13"/>
      <c r="AG4" s="13"/>
      <c r="AJ4" s="13"/>
    </row>
    <row r="5" spans="1:36" x14ac:dyDescent="0.25">
      <c r="A5" s="14"/>
      <c r="B5" s="9"/>
      <c r="C5" s="8"/>
      <c r="D5" s="15"/>
      <c r="H5" s="10"/>
      <c r="I5" s="11"/>
      <c r="J5" s="10"/>
      <c r="K5" s="10"/>
      <c r="L5" s="10"/>
      <c r="Y5" s="12"/>
      <c r="AC5" s="12"/>
      <c r="AF5" s="13"/>
      <c r="AG5" s="13"/>
      <c r="AJ5" s="13"/>
    </row>
    <row r="6" spans="1:36" x14ac:dyDescent="0.25">
      <c r="A6" s="14"/>
      <c r="B6" s="3"/>
      <c r="C6" s="3" t="str">
        <f>CONCATENATE("# What does the ",B2," gene do?")</f>
        <v># What does the CLYBL gene do?</v>
      </c>
      <c r="H6" s="10"/>
      <c r="I6" s="11"/>
      <c r="J6" s="10"/>
      <c r="K6" s="10"/>
      <c r="L6" s="10"/>
      <c r="Y6" s="16"/>
      <c r="Z6" s="16"/>
      <c r="AA6" s="16"/>
      <c r="AC6" s="16"/>
      <c r="AF6" s="13"/>
      <c r="AJ6" s="13"/>
    </row>
    <row r="7" spans="1:36" x14ac:dyDescent="0.25">
      <c r="A7" s="14"/>
      <c r="I7" s="17"/>
      <c r="Y7" s="16"/>
      <c r="Z7" s="16"/>
      <c r="AA7" s="16"/>
      <c r="AC7" s="16"/>
      <c r="AF7" s="13"/>
      <c r="AJ7" s="13"/>
    </row>
    <row r="8" spans="1:36" x14ac:dyDescent="0.25">
      <c r="A8" s="14" t="s">
        <v>5</v>
      </c>
      <c r="B8" s="37" t="s">
        <v>129</v>
      </c>
      <c r="C8" s="3" t="str">
        <f>CONCATENATE(B8," This gene is located on chromosome ",B9,".")</f>
        <v>[CLYBL](http://www.uniprot.org/uniprot/Q8N0X4) creates an energy production enzyme involved in the metabolism of vitamin B12 . It also involved in removing metals like magnesium and the citric acid cycle, which controls energy production and biosynthesis. Vitamin B12 is required for red blood cell formation, protein metabolism, neurological function, homocysteine conversion, and replicating DNA. Vitamin B12 plays a fundamental role in [detoxification](https://www.ncbi.nlm.nih.gov/pubmed/19409980) due to its substantial [antioxidant](https://www.ncbi.nlm.nih.gov/pubmed/19799418) properties. Vitamin B12 deficiency is linked with [anemia, neurodegenerative disorder, cardiovascular disease, gastrointestinal disease](https://www.ncbi.nlm.nih.gov/pubmed/22367966), and [ME/CFS](https://www.ncbi.nlm.nih.gov/pubmed/29100069). This gene is located on chromosome 13.</v>
      </c>
      <c r="I8" s="17"/>
      <c r="X8" s="18"/>
      <c r="Y8" s="16"/>
      <c r="Z8" s="16"/>
      <c r="AA8" s="16"/>
      <c r="AC8" s="16"/>
    </row>
    <row r="9" spans="1:36" x14ac:dyDescent="0.25">
      <c r="A9" s="14" t="s">
        <v>6</v>
      </c>
      <c r="B9" s="2">
        <v>13</v>
      </c>
      <c r="I9" s="17"/>
      <c r="Y9" s="16"/>
      <c r="Z9" s="16"/>
      <c r="AA9" s="16"/>
      <c r="AC9" s="16"/>
    </row>
    <row r="10" spans="1:36" x14ac:dyDescent="0.25">
      <c r="A10" s="14" t="s">
        <v>7</v>
      </c>
      <c r="B10" s="2" t="s">
        <v>130</v>
      </c>
      <c r="Y10" s="12"/>
      <c r="AC10" s="16"/>
    </row>
    <row r="11" spans="1:36" s="21" customFormat="1" ht="16.5" thickBot="1" x14ac:dyDescent="0.3">
      <c r="A11" s="19"/>
      <c r="B11" s="20"/>
    </row>
    <row r="12" spans="1:36" ht="16.5" thickBot="1" x14ac:dyDescent="0.3">
      <c r="A12" s="14" t="s">
        <v>3</v>
      </c>
      <c r="B12" t="s">
        <v>127</v>
      </c>
      <c r="C12" s="3" t="str">
        <f>CONCATENATE("&lt;GeneMap name= ",CHAR(34),B12,CHAR(34)," interval=",CHAR(34),B13,"=",CHAR(34),"&gt;")</f>
        <v>&lt;GeneMap name= "CLYBL" interval="NC_000013.10:g.100258919_100549388="&gt;</v>
      </c>
      <c r="J12" s="23"/>
      <c r="K12" s="23"/>
      <c r="L12" s="23"/>
      <c r="M12" s="23"/>
      <c r="N12" s="23"/>
      <c r="O12" s="24"/>
      <c r="P12" s="25"/>
      <c r="Q12" s="24"/>
      <c r="R12" s="24"/>
      <c r="S12" s="25"/>
      <c r="T12" s="25"/>
      <c r="U12" s="24"/>
      <c r="V12" s="24"/>
      <c r="W12" s="25"/>
      <c r="X12" s="25"/>
      <c r="Y12" s="25"/>
      <c r="Z12" s="25"/>
    </row>
    <row r="13" spans="1:36" x14ac:dyDescent="0.25">
      <c r="A13" s="14" t="s">
        <v>9</v>
      </c>
      <c r="B13" t="s">
        <v>134</v>
      </c>
      <c r="J13" s="15"/>
      <c r="K13" s="15"/>
      <c r="L13" s="15"/>
      <c r="M13" s="15"/>
      <c r="N13" s="15"/>
      <c r="O13" s="15"/>
      <c r="P13" s="15"/>
      <c r="Q13" s="15"/>
      <c r="R13" s="15"/>
      <c r="S13" s="15"/>
      <c r="T13" s="15"/>
      <c r="U13" s="15"/>
      <c r="V13" s="15"/>
      <c r="W13" s="15"/>
      <c r="X13" s="15"/>
      <c r="Y13" s="15"/>
      <c r="Z13" s="15"/>
    </row>
    <row r="14" spans="1:36" x14ac:dyDescent="0.25">
      <c r="A14" s="14" t="s">
        <v>11</v>
      </c>
      <c r="B14" t="s">
        <v>131</v>
      </c>
      <c r="C14" s="3" t="str">
        <f>CONCATENATE("# What are some common variants of ",B12,"?")</f>
        <v># What are some common variants of CLYBL?</v>
      </c>
      <c r="J14" s="15"/>
      <c r="K14" s="15"/>
      <c r="L14" s="15"/>
      <c r="M14" s="15"/>
      <c r="N14" s="15"/>
      <c r="O14" s="15"/>
      <c r="P14" s="15"/>
      <c r="Q14" s="15"/>
      <c r="R14" s="15"/>
      <c r="S14" s="15"/>
      <c r="T14" s="15"/>
      <c r="U14" s="15"/>
      <c r="V14" s="15"/>
      <c r="W14" s="15"/>
      <c r="X14" s="15"/>
      <c r="Y14" s="15"/>
      <c r="Z14" s="15"/>
    </row>
    <row r="15" spans="1:36" x14ac:dyDescent="0.25">
      <c r="A15" s="14"/>
      <c r="B15"/>
      <c r="C15" s="3" t="s">
        <v>13</v>
      </c>
      <c r="J15" s="15"/>
      <c r="K15" s="15"/>
      <c r="L15" s="15"/>
      <c r="M15" s="15"/>
      <c r="N15" s="15"/>
      <c r="O15" s="15"/>
      <c r="P15" s="15"/>
      <c r="Q15" s="15"/>
      <c r="R15" s="15"/>
      <c r="S15" s="15"/>
      <c r="T15" s="15"/>
      <c r="U15" s="15"/>
      <c r="V15" s="15"/>
      <c r="W15" s="15"/>
      <c r="X15" s="15"/>
      <c r="Y15" s="15"/>
      <c r="Z15" s="15"/>
    </row>
    <row r="16" spans="1:36" x14ac:dyDescent="0.25">
      <c r="B16"/>
      <c r="C16" s="3" t="str">
        <f>CONCATENATE("A variant is a change at a specific point in the gene from the expected nucleotide sequence to another, resulting in incorrect ", B10," function. There is ",B14," common variant in ",B12,": ",B22,".")</f>
        <v>A variant is a change at a specific point in the gene from the expected nucleotide sequence to another, resulting in incorrect mitochondrial enzyme function. There is one common variant in CLYBL: [C775T (Arg259Ter)](https://www.ncbi.nlm.nih.gov/pubmed/29100069).</v>
      </c>
      <c r="J16" s="15"/>
      <c r="K16" s="15"/>
      <c r="L16" s="15"/>
      <c r="M16" s="15"/>
      <c r="N16" s="15"/>
      <c r="O16" s="15"/>
      <c r="P16" s="15"/>
      <c r="Q16" s="15"/>
      <c r="R16" s="15"/>
      <c r="S16" s="15"/>
      <c r="T16" s="15"/>
      <c r="U16" s="15"/>
      <c r="V16" s="15"/>
      <c r="W16" s="15"/>
      <c r="X16" s="15"/>
      <c r="Y16" s="15"/>
      <c r="Z16" s="15"/>
    </row>
    <row r="17" spans="1:26" x14ac:dyDescent="0.25">
      <c r="B17"/>
      <c r="J17" s="15"/>
      <c r="K17" s="15"/>
      <c r="L17" s="15"/>
      <c r="M17" s="15"/>
      <c r="N17" s="15"/>
      <c r="O17" s="15"/>
      <c r="P17" s="15"/>
      <c r="Q17" s="15"/>
      <c r="R17" s="15"/>
      <c r="S17" s="15"/>
      <c r="T17" s="15"/>
      <c r="U17" s="15"/>
      <c r="V17" s="15"/>
      <c r="W17" s="15"/>
      <c r="X17" s="15"/>
      <c r="Y17" s="15"/>
      <c r="Z17" s="15"/>
    </row>
    <row r="18" spans="1:26" x14ac:dyDescent="0.25">
      <c r="A18" s="14" t="s">
        <v>14</v>
      </c>
      <c r="B18" t="s">
        <v>136</v>
      </c>
      <c r="C18" s="3" t="str">
        <f>CONCATENATE("&lt;# ",B19," #&gt;")</f>
        <v>&lt;# C775T #&gt;</v>
      </c>
      <c r="J18" s="15"/>
      <c r="K18" s="15"/>
      <c r="L18" s="15"/>
      <c r="M18" s="15"/>
      <c r="N18" s="15"/>
      <c r="O18" s="15"/>
      <c r="P18" s="15"/>
      <c r="Q18" s="15"/>
      <c r="R18" s="15"/>
      <c r="S18" s="15"/>
      <c r="T18" s="15"/>
      <c r="U18" s="15"/>
      <c r="V18" s="15"/>
      <c r="W18" s="15"/>
      <c r="X18" s="15"/>
      <c r="Y18" s="15"/>
      <c r="Z18" s="15"/>
    </row>
    <row r="19" spans="1:26" x14ac:dyDescent="0.25">
      <c r="A19" s="26" t="s">
        <v>15</v>
      </c>
      <c r="B19" t="s">
        <v>132</v>
      </c>
      <c r="J19" s="6"/>
      <c r="K19" s="15"/>
      <c r="L19" s="15"/>
      <c r="M19" s="15"/>
      <c r="N19" s="15"/>
      <c r="O19" s="15"/>
      <c r="P19" s="15"/>
      <c r="Q19" s="15"/>
      <c r="R19" s="15"/>
      <c r="S19" s="15"/>
      <c r="T19" s="15"/>
      <c r="U19" s="15"/>
      <c r="V19" s="15"/>
      <c r="W19" s="15"/>
      <c r="X19" s="15"/>
      <c r="Y19" s="15"/>
      <c r="Z19" s="15"/>
    </row>
    <row r="20" spans="1:26" x14ac:dyDescent="0.25">
      <c r="A20" s="26" t="s">
        <v>17</v>
      </c>
      <c r="B20" t="s">
        <v>18</v>
      </c>
      <c r="C20" s="3" t="str">
        <f>CONCATENATE("  &lt;Variant hgvs=",CHAR(34),B18,CHAR(34)," name=",CHAR(34),B19,CHAR(34),"&gt; ")</f>
        <v xml:space="preserve">  &lt;Variant hgvs="NC_000013.10:g.100518634C&gt;T" name="C775T"&gt; </v>
      </c>
      <c r="J20" s="2"/>
      <c r="K20" s="15"/>
      <c r="L20" s="15"/>
      <c r="M20" s="15"/>
      <c r="N20" s="15"/>
      <c r="O20" s="15"/>
      <c r="P20" s="15"/>
      <c r="Q20" s="15"/>
      <c r="R20" s="15"/>
      <c r="S20" s="15"/>
      <c r="T20" s="15"/>
      <c r="U20" s="15"/>
      <c r="V20" s="15"/>
      <c r="W20" s="15"/>
      <c r="X20" s="15"/>
      <c r="Y20" s="15"/>
      <c r="Z20" s="15"/>
    </row>
    <row r="21" spans="1:26" x14ac:dyDescent="0.25">
      <c r="A21" s="26" t="s">
        <v>19</v>
      </c>
      <c r="B21" t="s">
        <v>20</v>
      </c>
      <c r="H21" s="15"/>
      <c r="I21" s="15"/>
      <c r="J21" s="2"/>
      <c r="K21" s="15"/>
      <c r="L21" s="15"/>
      <c r="M21" s="15"/>
      <c r="N21" s="15"/>
      <c r="O21" s="15"/>
      <c r="P21" s="15"/>
      <c r="Q21" s="15"/>
      <c r="R21" s="15"/>
      <c r="S21" s="15"/>
      <c r="T21" s="15"/>
      <c r="U21" s="15"/>
      <c r="V21" s="15"/>
      <c r="W21" s="15"/>
      <c r="X21" s="15"/>
      <c r="Y21" s="15"/>
      <c r="Z21" s="15"/>
    </row>
    <row r="22" spans="1:26" x14ac:dyDescent="0.25">
      <c r="A22" s="26" t="s">
        <v>21</v>
      </c>
      <c r="B22" t="s">
        <v>133</v>
      </c>
      <c r="C22" s="3" t="str">
        <f>CONCATENATE("    Instead of ",B20,", there is a ",B21," nucleotide.")</f>
        <v xml:space="preserve">    Instead of cytosine (C), there is a thymine (T) nucleotide.</v>
      </c>
      <c r="H22" s="15"/>
      <c r="I22" s="15"/>
      <c r="J22" s="7"/>
      <c r="K22" s="15"/>
      <c r="L22" s="15"/>
      <c r="M22" s="15"/>
      <c r="N22" s="15"/>
      <c r="O22" s="15"/>
      <c r="P22" s="15"/>
      <c r="Q22" s="15"/>
      <c r="R22" s="15"/>
      <c r="S22" s="15"/>
      <c r="T22" s="15"/>
      <c r="U22" s="15"/>
      <c r="V22" s="15"/>
      <c r="W22" s="15"/>
      <c r="X22" s="15"/>
      <c r="Y22" s="15"/>
      <c r="Z22" s="15"/>
    </row>
    <row r="23" spans="1:26" x14ac:dyDescent="0.25">
      <c r="A23" s="3" t="s">
        <v>65</v>
      </c>
      <c r="B23" t="s">
        <v>137</v>
      </c>
      <c r="H23" s="2"/>
      <c r="I23" s="2"/>
      <c r="J23" s="15"/>
      <c r="K23" s="15"/>
      <c r="L23" s="15"/>
      <c r="M23" s="15"/>
      <c r="N23" s="15"/>
      <c r="O23" s="15"/>
      <c r="P23" s="15"/>
      <c r="Q23" s="15"/>
      <c r="R23" s="15"/>
      <c r="S23" s="15"/>
      <c r="T23" s="15"/>
      <c r="U23" s="15"/>
      <c r="V23" s="15"/>
      <c r="W23" s="15"/>
      <c r="X23" s="15"/>
      <c r="Y23" s="15"/>
      <c r="Z23" s="15"/>
    </row>
    <row r="24" spans="1:26" x14ac:dyDescent="0.25">
      <c r="A24" s="3" t="s">
        <v>51</v>
      </c>
      <c r="B24" s="7" t="s">
        <v>138</v>
      </c>
      <c r="C24" s="3" t="str">
        <f>"  &lt;/Variant&gt;"</f>
        <v xml:space="preserve">  &lt;/Variant&gt;</v>
      </c>
      <c r="H24" s="2"/>
      <c r="I24" s="2"/>
      <c r="J24" s="15"/>
      <c r="K24" s="15"/>
      <c r="L24" s="15"/>
      <c r="M24" s="15"/>
      <c r="N24" s="15"/>
      <c r="O24" s="15"/>
      <c r="P24" s="15"/>
      <c r="Q24" s="15"/>
      <c r="R24" s="15"/>
      <c r="S24" s="15"/>
      <c r="T24" s="15"/>
      <c r="U24" s="15"/>
      <c r="V24" s="15"/>
      <c r="W24" s="15"/>
      <c r="X24" s="15"/>
      <c r="Y24" s="15"/>
      <c r="Z24" s="15"/>
    </row>
    <row r="25" spans="1:26" x14ac:dyDescent="0.25">
      <c r="A25" s="26" t="s">
        <v>52</v>
      </c>
      <c r="B25" s="7" t="s">
        <v>139</v>
      </c>
      <c r="J25" s="6"/>
    </row>
    <row r="26" spans="1:26" x14ac:dyDescent="0.25">
      <c r="B26" s="3"/>
    </row>
    <row r="27" spans="1:26" s="21" customFormat="1" x14ac:dyDescent="0.25">
      <c r="A27" s="28"/>
      <c r="B27" s="20"/>
    </row>
    <row r="28" spans="1:26" s="10" customFormat="1" x14ac:dyDescent="0.25">
      <c r="A28" s="32"/>
      <c r="B28" s="33"/>
      <c r="C28" s="34" t="s">
        <v>62</v>
      </c>
      <c r="L28" s="38"/>
    </row>
    <row r="29" spans="1:26" s="10" customFormat="1" x14ac:dyDescent="0.25">
      <c r="A29" s="32"/>
      <c r="B29" s="33"/>
      <c r="K29" s="39" t="s">
        <v>135</v>
      </c>
      <c r="L29" s="38"/>
      <c r="M29" s="11"/>
    </row>
    <row r="30" spans="1:26" s="21" customFormat="1" x14ac:dyDescent="0.25">
      <c r="A30" s="28" t="s">
        <v>70</v>
      </c>
      <c r="B30" s="20" t="str">
        <f>CONCATENATE(B19," (C;T)")</f>
        <v>C775T (C;T)</v>
      </c>
      <c r="C30" s="21" t="str">
        <f>CONCATENATE("&lt;# ",B30," #&gt;")</f>
        <v>&lt;# C775T (C;T) #&gt;</v>
      </c>
      <c r="K30" s="21" t="str">
        <f>B19</f>
        <v>C775T</v>
      </c>
    </row>
    <row r="31" spans="1:26" s="10" customFormat="1" x14ac:dyDescent="0.25">
      <c r="A31" s="3" t="s">
        <v>21</v>
      </c>
      <c r="B31" s="29" t="str">
        <f>K34</f>
        <v>NC_000013.10:g.[100518634C&gt;T];[100518634=]</v>
      </c>
      <c r="J31" s="3"/>
      <c r="K31" s="22" t="str">
        <f>B23</f>
        <v>NC_000013.10:g.</v>
      </c>
      <c r="L31" s="22"/>
    </row>
    <row r="32" spans="1:26" x14ac:dyDescent="0.25">
      <c r="B32" s="29"/>
      <c r="C32" s="3" t="str">
        <f>CONCATENATE("  &lt;Analysis name=",CHAR(34),B30,CHAR(34))</f>
        <v xml:space="preserve">  &lt;Analysis name="C775T (C;T)"</v>
      </c>
      <c r="J32" s="3" t="s">
        <v>21</v>
      </c>
      <c r="K32" s="15" t="str">
        <f>B24</f>
        <v>[100518634C&gt;T]</v>
      </c>
      <c r="L32" s="22"/>
      <c r="M32" s="10"/>
    </row>
    <row r="33" spans="1:13" x14ac:dyDescent="0.25">
      <c r="A33" s="5" t="s">
        <v>27</v>
      </c>
      <c r="B33" s="29" t="str">
        <f>CONCATENATE("People with this variant have one copy of the ",B22," variant. This substitution of a single nucleotide is known as a missense mutation.")</f>
        <v>People with this variant have one copy of the [C775T (Arg259Ter)](https://www.ncbi.nlm.nih.gov/pubmed/29100069) variant. This substitution of a single nucleotide is known as a missense mutation.</v>
      </c>
      <c r="C33" s="3" t="str">
        <f>CONCATENATE("            case={  variantCall ",CHAR(40),CHAR(34),K34,CHAR(34),CHAR(41))</f>
        <v xml:space="preserve">            case={  variantCall ("NC_000013.10:g.[100518634C&gt;T];[100518634=]")</v>
      </c>
      <c r="J33" s="3" t="s">
        <v>52</v>
      </c>
      <c r="K33" s="15" t="str">
        <f>B25</f>
        <v>[100518634=]</v>
      </c>
      <c r="L33" s="22"/>
      <c r="M33" s="10"/>
    </row>
    <row r="34" spans="1:13" x14ac:dyDescent="0.25">
      <c r="A34" s="1" t="s">
        <v>28</v>
      </c>
      <c r="B34" s="29" t="s">
        <v>141</v>
      </c>
      <c r="C34" s="3" t="s">
        <v>71</v>
      </c>
      <c r="J34" s="3" t="s">
        <v>63</v>
      </c>
      <c r="K34" s="15" t="str">
        <f>CONCATENATE(K31,K32,";",K33)</f>
        <v>NC_000013.10:g.[100518634C&gt;T];[100518634=]</v>
      </c>
      <c r="L34" s="15"/>
      <c r="M34" s="15"/>
    </row>
    <row r="35" spans="1:13" x14ac:dyDescent="0.25">
      <c r="A35" s="3" t="s">
        <v>73</v>
      </c>
      <c r="B35" s="29">
        <f>K37</f>
        <v>5.3</v>
      </c>
      <c r="C35" s="3" t="str">
        <f>CONCATENATE("                    ",CHAR(40),"variantCall ",CHAR(40),CHAR(34),L35,CHAR(34),CHAR(41)," or variantCall ",CHAR(40),CHAR(34),L36,CHAR(34),CHAR(41),CHAR(41))</f>
        <v xml:space="preserve">                    (variantCall ("") or variantCall (""))</v>
      </c>
      <c r="J35" s="3" t="s">
        <v>64</v>
      </c>
      <c r="K35" s="15" t="str">
        <f>CONCATENATE(K31,K32,";",K32)</f>
        <v>NC_000013.10:g.[100518634C&gt;T];[100518634C&gt;T]</v>
      </c>
      <c r="L35" s="15"/>
      <c r="M35" s="15"/>
    </row>
    <row r="36" spans="1:13" x14ac:dyDescent="0.25">
      <c r="J36" s="3" t="s">
        <v>52</v>
      </c>
      <c r="K36" s="2" t="str">
        <f>CONCATENATE(K31,K33,";",K33)</f>
        <v>NC_000013.10:g.[100518634=];[100518634=]</v>
      </c>
      <c r="L36" s="2"/>
      <c r="M36" s="2"/>
    </row>
    <row r="37" spans="1:13" x14ac:dyDescent="0.25">
      <c r="J37" s="3" t="s">
        <v>67</v>
      </c>
      <c r="K37" s="3">
        <v>5.3</v>
      </c>
      <c r="L37" s="2"/>
      <c r="M37" s="2"/>
    </row>
    <row r="38" spans="1:13" x14ac:dyDescent="0.25">
      <c r="A38" s="14"/>
      <c r="C38" s="3" t="str">
        <f>CONCATENATE("                  } &gt; ")</f>
        <v xml:space="preserve">                  } &gt; </v>
      </c>
      <c r="J38" s="3" t="s">
        <v>68</v>
      </c>
      <c r="K38" s="3">
        <v>0.9</v>
      </c>
      <c r="L38" s="2"/>
      <c r="M38" s="2"/>
    </row>
    <row r="39" spans="1:13" x14ac:dyDescent="0.25">
      <c r="A39" s="26"/>
      <c r="J39" s="3" t="s">
        <v>69</v>
      </c>
      <c r="K39" s="3">
        <v>93.8</v>
      </c>
      <c r="L39" s="2"/>
      <c r="M39" s="2"/>
    </row>
    <row r="40" spans="1:13" x14ac:dyDescent="0.25">
      <c r="A40" s="14"/>
      <c r="C40" s="3" t="s">
        <v>26</v>
      </c>
      <c r="K40"/>
      <c r="L40" s="2"/>
      <c r="M40" s="2"/>
    </row>
    <row r="41" spans="1:13" x14ac:dyDescent="0.25">
      <c r="A41" s="14"/>
      <c r="K41" s="15"/>
      <c r="L41" s="15"/>
      <c r="M41" s="15"/>
    </row>
    <row r="42" spans="1:13" x14ac:dyDescent="0.25">
      <c r="A42" s="26"/>
      <c r="C42" s="3" t="str">
        <f>CONCATENATE("    ",B33)</f>
        <v xml:space="preserve">    People with this variant have one copy of the [C775T (Arg259Ter)](https://www.ncbi.nlm.nih.gov/pubmed/29100069) variant. This substitution of a single nucleotide is known as a missense mutation.</v>
      </c>
      <c r="K42" s="15"/>
      <c r="L42" s="15"/>
      <c r="M42" s="15"/>
    </row>
    <row r="43" spans="1:13" x14ac:dyDescent="0.25">
      <c r="A43" s="14"/>
      <c r="K43" s="2"/>
      <c r="L43" s="2"/>
      <c r="M43" s="2"/>
    </row>
    <row r="44" spans="1:13" x14ac:dyDescent="0.25">
      <c r="A44" s="14"/>
      <c r="C44" s="3" t="s">
        <v>29</v>
      </c>
    </row>
    <row r="45" spans="1:13" x14ac:dyDescent="0.25">
      <c r="A45" s="14"/>
    </row>
    <row r="46" spans="1:13" x14ac:dyDescent="0.25">
      <c r="A46" s="14"/>
      <c r="C46" s="3" t="str">
        <f>CONCATENATE(B34)</f>
        <v xml:space="preserve">    This variant [shortens the protein](https://www.ncbi.nlm.nih.gov/pubmed/22367966), which may lead to [malabsorption of B12 and mental fatigue](https://www.ncbi.nlm.nih.gov/pubmed/25902009) due to improper binding between the protein and ions (electrically charged particles) or metals. People with this variant have blood serum vitamin B12 levels [88.9% lower](https://www.ncbi.nlm.nih.gov/pubmed/22367966) than normal and may have higher homocysteine levels. 
    This variant is also more common in people with [ME/CFS](https://www.ncbi.nlm.nih.gov/pubmed/29100069). In ME/CFS, [hypomethylation](http://dx.doi.org/10.4172/2155-9899.1000228), or reduced gene expression and protein expression, is seen in a majority of certain [immune cells](https://www.ncbi.nlm.nih.gov/pubmed/25111603/). Hypomethylation is greatly affected by the vitamins B12 and folate (B9), suggesting a blockage of B12 across the blood brain barrier. The reduction of circulating vitamin B12 also causes increased levels of [itaconate](https://www.ncbi.nlm.nih.gov/pubmed/29056341), an anti-microbial and immune regulating metabolic compound, which in turn deactivates vitamin B12. 
    # What should I do about this?
    - Check blood serum vitamin B12 levels. If too low, consider an [oral or injectable B12](https://www.ncbi.nlm.nih.gov/pubmed/25902009) supplement if low. 
    - Be cautious when taking [opioids, duloxetine, pregabalin](https://www.ncbi.nlm.nih.gov/pubmed/25902009), and [metformin](https://www.ncbi.nlm.nih.gov/pubmed/20488910?dopt=Abstract), which lower B12 levels.</v>
      </c>
    </row>
    <row r="47" spans="1:13" x14ac:dyDescent="0.25">
      <c r="A47" s="26"/>
    </row>
    <row r="48" spans="1:13" x14ac:dyDescent="0.25">
      <c r="A48" s="26"/>
      <c r="C48" s="3" t="s">
        <v>30</v>
      </c>
    </row>
    <row r="49" spans="1:13" x14ac:dyDescent="0.25">
      <c r="A49" s="26"/>
    </row>
    <row r="50" spans="1:13" x14ac:dyDescent="0.25">
      <c r="A50" s="26"/>
      <c r="C50" s="3" t="str">
        <f>CONCATENATE( "    &lt;piechart percentage=",B35," /&gt;")</f>
        <v xml:space="preserve">    &lt;piechart percentage=5.3 /&gt;</v>
      </c>
    </row>
    <row r="51" spans="1:13" x14ac:dyDescent="0.25">
      <c r="A51" s="26"/>
      <c r="C51" s="3" t="str">
        <f>"  &lt;/Analysis&gt;"</f>
        <v xml:space="preserve">  &lt;/Analysis&gt;</v>
      </c>
      <c r="K51" s="3" t="str">
        <f t="shared" ref="K51:M51" si="0">K29</f>
        <v>rs41281112 </v>
      </c>
      <c r="L51" s="3">
        <f t="shared" si="0"/>
        <v>0</v>
      </c>
      <c r="M51" s="3">
        <f t="shared" si="0"/>
        <v>0</v>
      </c>
    </row>
    <row r="52" spans="1:13" s="21" customFormat="1" x14ac:dyDescent="0.25">
      <c r="A52" s="28" t="s">
        <v>70</v>
      </c>
      <c r="B52" s="20" t="str">
        <f>CONCATENATE(B19," (T;T)")</f>
        <v>C775T (T;T)</v>
      </c>
      <c r="C52" s="21" t="str">
        <f>CONCATENATE("&lt;# ",B52," #&gt;")</f>
        <v>&lt;# C775T (T;T) #&gt;</v>
      </c>
      <c r="K52" s="21" t="str">
        <f>K30</f>
        <v>C775T</v>
      </c>
      <c r="L52" s="21">
        <f>L30</f>
        <v>0</v>
      </c>
      <c r="M52" s="21">
        <f>M30</f>
        <v>0</v>
      </c>
    </row>
    <row r="53" spans="1:13" x14ac:dyDescent="0.25">
      <c r="A53" s="3" t="s">
        <v>21</v>
      </c>
      <c r="B53" s="29" t="str">
        <f>K35</f>
        <v>NC_000013.10:g.[100518634C&gt;T];[100518634C&gt;T]</v>
      </c>
      <c r="C53" s="10"/>
      <c r="K53" s="3" t="str">
        <f>K31</f>
        <v>NC_000013.10:g.</v>
      </c>
      <c r="L53" s="3">
        <f>L31</f>
        <v>0</v>
      </c>
      <c r="M53" s="3">
        <f>M31</f>
        <v>0</v>
      </c>
    </row>
    <row r="54" spans="1:13" x14ac:dyDescent="0.25">
      <c r="B54" s="29"/>
      <c r="C54" s="3" t="str">
        <f>CONCATENATE("  &lt;Analysis name=",CHAR(34),B52,CHAR(34))</f>
        <v xml:space="preserve">  &lt;Analysis name="C775T (T;T)"</v>
      </c>
      <c r="J54" s="3" t="str">
        <f t="shared" ref="J54:M61" si="1">J32</f>
        <v>Variant</v>
      </c>
      <c r="K54" s="3" t="str">
        <f t="shared" si="1"/>
        <v>[100518634C&gt;T]</v>
      </c>
      <c r="L54" s="3">
        <f t="shared" si="1"/>
        <v>0</v>
      </c>
      <c r="M54" s="3">
        <f t="shared" si="1"/>
        <v>0</v>
      </c>
    </row>
    <row r="55" spans="1:13" x14ac:dyDescent="0.25">
      <c r="A55" s="5" t="s">
        <v>75</v>
      </c>
      <c r="B55" s="2" t="str">
        <f>CONCATENATE("People with this variant have two copies of the ",B22," variant. This substitution of a single nucleotide is known as a missense mutation.")</f>
        <v>People with this variant have two copies of the [C775T (Arg259Ter)](https://www.ncbi.nlm.nih.gov/pubmed/29100069) variant. This substitution of a single nucleotide is known as a missense mutation.</v>
      </c>
      <c r="C55" s="3" t="str">
        <f>CONCATENATE("            case={  variantCall ",CHAR(40),CHAR(34),B53,CHAR(34),CHAR(41))</f>
        <v xml:space="preserve">            case={  variantCall ("NC_000013.10:g.[100518634C&gt;T];[100518634C&gt;T]")</v>
      </c>
      <c r="J55" s="3" t="str">
        <f t="shared" si="1"/>
        <v>Wildtype</v>
      </c>
      <c r="K55" s="3" t="str">
        <f t="shared" si="1"/>
        <v>[100518634=]</v>
      </c>
      <c r="L55" s="3">
        <f t="shared" si="1"/>
        <v>0</v>
      </c>
      <c r="M55" s="3">
        <f t="shared" si="1"/>
        <v>0</v>
      </c>
    </row>
    <row r="56" spans="1:13" x14ac:dyDescent="0.25">
      <c r="A56" s="1" t="s">
        <v>28</v>
      </c>
      <c r="B56" s="29" t="s">
        <v>140</v>
      </c>
      <c r="C56" s="3" t="str">
        <f>CONCATENATE("                  } &gt; ")</f>
        <v xml:space="preserve">                  } &gt; </v>
      </c>
      <c r="J56" s="3" t="str">
        <f t="shared" si="1"/>
        <v>Het</v>
      </c>
      <c r="K56" s="3" t="str">
        <f t="shared" si="1"/>
        <v>NC_000013.10:g.[100518634C&gt;T];[100518634=]</v>
      </c>
      <c r="L56" s="3">
        <f t="shared" si="1"/>
        <v>0</v>
      </c>
      <c r="M56" s="3">
        <f t="shared" si="1"/>
        <v>0</v>
      </c>
    </row>
    <row r="57" spans="1:13" x14ac:dyDescent="0.25">
      <c r="A57" s="3" t="s">
        <v>73</v>
      </c>
      <c r="B57" s="29">
        <f>K38</f>
        <v>0.9</v>
      </c>
      <c r="J57" s="3" t="str">
        <f t="shared" si="1"/>
        <v>Homo</v>
      </c>
      <c r="K57" s="3" t="str">
        <f t="shared" si="1"/>
        <v>NC_000013.10:g.[100518634C&gt;T];[100518634C&gt;T]</v>
      </c>
      <c r="L57" s="3">
        <f t="shared" si="1"/>
        <v>0</v>
      </c>
      <c r="M57" s="3">
        <f t="shared" si="1"/>
        <v>0</v>
      </c>
    </row>
    <row r="58" spans="1:13" x14ac:dyDescent="0.25">
      <c r="C58" s="3" t="s">
        <v>26</v>
      </c>
      <c r="J58" s="3" t="str">
        <f t="shared" si="1"/>
        <v>Wildtype</v>
      </c>
      <c r="K58" s="3" t="str">
        <f t="shared" si="1"/>
        <v>NC_000013.10:g.[100518634=];[100518634=]</v>
      </c>
      <c r="L58" s="3">
        <f t="shared" si="1"/>
        <v>0</v>
      </c>
      <c r="M58" s="3">
        <f t="shared" si="1"/>
        <v>0</v>
      </c>
    </row>
    <row r="59" spans="1:13" x14ac:dyDescent="0.25">
      <c r="J59" s="3" t="str">
        <f t="shared" si="1"/>
        <v>Het%</v>
      </c>
      <c r="K59" s="3">
        <f t="shared" ref="K59" si="2">K37</f>
        <v>5.3</v>
      </c>
      <c r="L59" s="3">
        <f t="shared" si="1"/>
        <v>0</v>
      </c>
      <c r="M59" s="3">
        <f t="shared" si="1"/>
        <v>0</v>
      </c>
    </row>
    <row r="60" spans="1:13" x14ac:dyDescent="0.25">
      <c r="A60" s="14"/>
      <c r="C60" s="3" t="str">
        <f>CONCATENATE("    ",B55)</f>
        <v xml:space="preserve">    People with this variant have two copies of the [C775T (Arg259Ter)](https://www.ncbi.nlm.nih.gov/pubmed/29100069) variant. This substitution of a single nucleotide is known as a missense mutation.</v>
      </c>
      <c r="J60" s="3" t="str">
        <f t="shared" si="1"/>
        <v>Homo%</v>
      </c>
      <c r="K60" s="3">
        <f t="shared" ref="K60" si="3">K38</f>
        <v>0.9</v>
      </c>
      <c r="L60" s="3">
        <f t="shared" si="1"/>
        <v>0</v>
      </c>
      <c r="M60" s="3">
        <f t="shared" si="1"/>
        <v>0</v>
      </c>
    </row>
    <row r="61" spans="1:13" x14ac:dyDescent="0.25">
      <c r="A61" s="26"/>
      <c r="J61" s="3" t="str">
        <f t="shared" si="1"/>
        <v>Wildtype%</v>
      </c>
      <c r="K61" s="3">
        <f t="shared" ref="K61" si="4">K39</f>
        <v>93.8</v>
      </c>
      <c r="L61" s="3">
        <f t="shared" si="1"/>
        <v>0</v>
      </c>
      <c r="M61" s="3">
        <f t="shared" si="1"/>
        <v>0</v>
      </c>
    </row>
    <row r="62" spans="1:13" x14ac:dyDescent="0.25">
      <c r="A62" s="14"/>
      <c r="C62" s="3" t="s">
        <v>29</v>
      </c>
    </row>
    <row r="63" spans="1:13" x14ac:dyDescent="0.25">
      <c r="A63" s="14"/>
    </row>
    <row r="64" spans="1:13" x14ac:dyDescent="0.25">
      <c r="A64" s="26"/>
      <c r="C64" s="3" t="str">
        <f>CONCATENATE(B56)</f>
        <v xml:space="preserve">    This variant [shortens the protein](https://www.ncbi.nlm.nih.gov/pubmed/22367966), which may lead to [malabsorption of B12](https://www.ncbi.nlm.nih.gov/pubmed/25902009) due to improper binding with ions (electrically charged particles) and metals. People with this variant have blood serum vitamin B12 levels [36.2% lower](https://www.ncbi.nlm.nih.gov/pubmed/22367966) than normal. Vitamin B12 deficiency is linked to [anemia, loss of balance, numbness or tingling in the arms and legs, and weakness](https://medlineplus.gov/ency/article/002403.htm). Low levels of B12 may also cause increased levels of homocysteine, increasing the chance of [coronary heart disease, stroke, peripheral vascular disease, hardening of the arteries](https://labtestsonline.org/tests/homocysteine), and [mental fatigue](https://www.ncbi.nlm.nih.gov/pubmed/25902009).
    This variant is much more common in people with [ME/CFS](https://www.ncbi.nlm.nih.gov/pubmed/29100069). In ME/CFS, [hypomethylation](http://dx.doi.org/10.4172/2155-9899.1000228), or reduced gene expression and protein expression, is seen in a majority of certain [immune cells](https://www.ncbi.nlm.nih.gov/pubmed/25111603/). Hypomethylation is greatly affected by the vitamins B12 and folate (B9), suggesting a blockage of B12 across the blood brain barrier. The reduction of circulating vitamin B12 also causes increased levels of [itaconate](https://www.ncbi.nlm.nih.gov/pubmed/29056341), an anti-microbial and immune regulating metabolic compound, which in turn deactivates vitamin B12. 
    # What should I do about this?
    - Consider a daily [oral folic acid](https://www.ncbi.nlm.nih.gov/pubmed/25902009) supplement combined with oral or injectable B12. 
    - Avoid [opioids, duloxetine, pregabalin](https://www.ncbi.nlm.nih.gov/pubmed/25902009), [metformin](https://www.ncbi.nlm.nih.gov/pubmed/20488910?dopt=Abstract), and other anti-epilectic drugs. 
    - Check homocysteine levels. If elevated, consider taking [folate](https://medlineplus.gov/druginfo/natural/1017.html). 
    - If [homocysteine is elevated](https://www.ncbi.nlm.nih.gov/pubmed/18709886), watch for eye lens dislocations, “Marfan type” body shape, stroke, blood clotting issues, and low thyroid hormones (hypothyroidism).</v>
      </c>
    </row>
    <row r="65" spans="1:11" x14ac:dyDescent="0.25">
      <c r="A65" s="14"/>
    </row>
    <row r="66" spans="1:11" x14ac:dyDescent="0.25">
      <c r="A66" s="14"/>
      <c r="C66" s="3" t="s">
        <v>30</v>
      </c>
    </row>
    <row r="67" spans="1:11" x14ac:dyDescent="0.25">
      <c r="A67" s="14"/>
    </row>
    <row r="68" spans="1:11" x14ac:dyDescent="0.25">
      <c r="A68" s="14"/>
      <c r="C68" s="3" t="str">
        <f>CONCATENATE( "    &lt;piechart percentage=",B57," /&gt;")</f>
        <v xml:space="preserve">    &lt;piechart percentage=0.9 /&gt;</v>
      </c>
    </row>
    <row r="69" spans="1:11" x14ac:dyDescent="0.25">
      <c r="A69" s="26"/>
      <c r="C69" s="3" t="str">
        <f>"  &lt;/Analysis&gt;"</f>
        <v xml:space="preserve">  &lt;/Analysis&gt;</v>
      </c>
    </row>
    <row r="70" spans="1:11" x14ac:dyDescent="0.25">
      <c r="A70" s="26"/>
      <c r="K70" s="3" t="str">
        <f>K51</f>
        <v>rs41281112 </v>
      </c>
    </row>
    <row r="71" spans="1:11" s="21" customFormat="1" x14ac:dyDescent="0.25">
      <c r="A71" s="28" t="s">
        <v>70</v>
      </c>
      <c r="B71" s="20" t="s">
        <v>85</v>
      </c>
      <c r="C71" s="21" t="str">
        <f>CONCATENATE("&lt;# ",B71," #&gt;")</f>
        <v>&lt;# Wild type #&gt;</v>
      </c>
      <c r="K71" s="21" t="str">
        <f>K30</f>
        <v>C775T</v>
      </c>
    </row>
    <row r="72" spans="1:11" x14ac:dyDescent="0.25">
      <c r="A72" s="14" t="s">
        <v>21</v>
      </c>
      <c r="B72" s="15" t="str">
        <f>K36</f>
        <v>NC_000013.10:g.[100518634=];[100518634=]</v>
      </c>
      <c r="K72" s="21" t="str">
        <f t="shared" ref="J72:K80" si="5">K31</f>
        <v>NC_000013.10:g.</v>
      </c>
    </row>
    <row r="73" spans="1:11" x14ac:dyDescent="0.25">
      <c r="A73" s="14" t="s">
        <v>72</v>
      </c>
      <c r="B73" s="15">
        <f>L36</f>
        <v>0</v>
      </c>
      <c r="C73" s="3" t="str">
        <f>CONCATENATE("  &lt;Analysis name=",CHAR(34),B71,CHAR(34))</f>
        <v xml:space="preserve">  &lt;Analysis name="Wild type"</v>
      </c>
      <c r="J73" s="21" t="str">
        <f t="shared" si="5"/>
        <v>Variant</v>
      </c>
      <c r="K73" s="21" t="str">
        <f t="shared" si="5"/>
        <v>[100518634C&gt;T]</v>
      </c>
    </row>
    <row r="74" spans="1:11" x14ac:dyDescent="0.25">
      <c r="A74" s="26" t="s">
        <v>75</v>
      </c>
      <c r="B74" s="15" t="str">
        <f>CONCATENATE("Your ",B12," gene has no variants. A normal gene is referred to as a ",CHAR(34),"wild-type",CHAR(34)," gene.")</f>
        <v>Your CLYBL gene has no variants. A normal gene is referred to as a "wild-type" gene.</v>
      </c>
      <c r="C74" s="3" t="str">
        <f>CONCATENATE("            case={  variantCall ",CHAR(40),CHAR(34),B72,CHAR(34),CHAR(41))</f>
        <v xml:space="preserve">            case={  variantCall ("NC_000013.10:g.[100518634=];[100518634=]")</v>
      </c>
      <c r="J74" s="21" t="str">
        <f t="shared" ref="J74" si="6">J33</f>
        <v>Wildtype</v>
      </c>
      <c r="K74" s="21" t="str">
        <f t="shared" si="5"/>
        <v>[100518634=]</v>
      </c>
    </row>
    <row r="75" spans="1:11" x14ac:dyDescent="0.25">
      <c r="A75" s="26" t="s">
        <v>28</v>
      </c>
      <c r="C75" s="3" t="str">
        <f>CONCATENATE("                  } &gt; ")</f>
        <v xml:space="preserve">                  } &gt; </v>
      </c>
      <c r="J75" s="21" t="str">
        <f t="shared" ref="J75" si="7">J34</f>
        <v>Het</v>
      </c>
      <c r="K75" s="21" t="str">
        <f t="shared" si="5"/>
        <v>NC_000013.10:g.[100518634C&gt;T];[100518634=]</v>
      </c>
    </row>
    <row r="76" spans="1:11" x14ac:dyDescent="0.25">
      <c r="A76" s="26" t="s">
        <v>73</v>
      </c>
      <c r="J76" s="21" t="str">
        <f t="shared" ref="J76" si="8">J35</f>
        <v>Homo</v>
      </c>
      <c r="K76" s="21" t="str">
        <f t="shared" si="5"/>
        <v>NC_000013.10:g.[100518634C&gt;T];[100518634C&gt;T]</v>
      </c>
    </row>
    <row r="77" spans="1:11" x14ac:dyDescent="0.25">
      <c r="A77" s="26"/>
      <c r="C77" s="3" t="s">
        <v>26</v>
      </c>
      <c r="J77" s="21" t="str">
        <f t="shared" ref="J77" si="9">J36</f>
        <v>Wildtype</v>
      </c>
      <c r="K77" s="21" t="str">
        <f t="shared" si="5"/>
        <v>NC_000013.10:g.[100518634=];[100518634=]</v>
      </c>
    </row>
    <row r="78" spans="1:11" x14ac:dyDescent="0.25">
      <c r="A78" s="26"/>
      <c r="J78" s="21" t="str">
        <f t="shared" ref="J78" si="10">J37</f>
        <v>Het%</v>
      </c>
      <c r="K78" s="21">
        <f t="shared" si="5"/>
        <v>5.3</v>
      </c>
    </row>
    <row r="79" spans="1:11" x14ac:dyDescent="0.25">
      <c r="A79" s="26"/>
      <c r="C79" s="3" t="str">
        <f>CONCATENATE("    ",B74)</f>
        <v xml:space="preserve">    Your CLYBL gene has no variants. A normal gene is referred to as a "wild-type" gene.</v>
      </c>
      <c r="J79" s="21" t="str">
        <f t="shared" ref="J79" si="11">J38</f>
        <v>Homo%</v>
      </c>
      <c r="K79" s="21">
        <f t="shared" si="5"/>
        <v>0.9</v>
      </c>
    </row>
    <row r="80" spans="1:11" x14ac:dyDescent="0.25">
      <c r="A80" s="14"/>
      <c r="J80" s="21" t="str">
        <f t="shared" ref="J80" si="12">J39</f>
        <v>Wildtype%</v>
      </c>
      <c r="K80" s="21">
        <f t="shared" si="5"/>
        <v>93.8</v>
      </c>
    </row>
    <row r="81" spans="1:3" x14ac:dyDescent="0.25">
      <c r="A81" s="14"/>
      <c r="C81" s="3" t="s">
        <v>30</v>
      </c>
    </row>
    <row r="82" spans="1:3" x14ac:dyDescent="0.25">
      <c r="A82" s="14"/>
    </row>
    <row r="83" spans="1:3" x14ac:dyDescent="0.25">
      <c r="A83" s="26"/>
      <c r="C83" s="3" t="str">
        <f>CONCATENATE( "    &lt;piechart percentage=",B76," /&gt;")</f>
        <v xml:space="preserve">    &lt;piechart percentage= /&gt;</v>
      </c>
    </row>
    <row r="84" spans="1:3" x14ac:dyDescent="0.25">
      <c r="A84" s="26"/>
      <c r="C84" s="3" t="str">
        <f>"  &lt;/Analysis&gt;"</f>
        <v xml:space="preserve">  &lt;/Analysis&gt;</v>
      </c>
    </row>
    <row r="85" spans="1:3" x14ac:dyDescent="0.25">
      <c r="A85" s="26"/>
    </row>
    <row r="86" spans="1:3" s="21" customFormat="1" x14ac:dyDescent="0.25">
      <c r="A86" s="28" t="s">
        <v>70</v>
      </c>
      <c r="B86" s="20" t="s">
        <v>86</v>
      </c>
      <c r="C86" s="21" t="str">
        <f>CONCATENATE("&lt;# ",B86," #&gt;")</f>
        <v>&lt;# Unknown #&gt;</v>
      </c>
    </row>
    <row r="87" spans="1:3" x14ac:dyDescent="0.25">
      <c r="A87" s="14" t="s">
        <v>21</v>
      </c>
      <c r="B87" s="15" t="str">
        <f>K54</f>
        <v>[100518634C&gt;T]</v>
      </c>
    </row>
    <row r="88" spans="1:3" x14ac:dyDescent="0.25">
      <c r="A88" s="14" t="s">
        <v>72</v>
      </c>
      <c r="C88" s="3" t="str">
        <f>CONCATENATE("  &lt;Analysis name=",CHAR(34),B86,CHAR(34), " case=true&gt;")</f>
        <v xml:space="preserve">  &lt;Analysis name="Unknown" case=true&gt;</v>
      </c>
    </row>
    <row r="89" spans="1:3" x14ac:dyDescent="0.25">
      <c r="A89" s="26" t="s">
        <v>75</v>
      </c>
      <c r="B89" s="15" t="s">
        <v>31</v>
      </c>
    </row>
    <row r="90" spans="1:3" x14ac:dyDescent="0.25">
      <c r="A90" s="26" t="s">
        <v>73</v>
      </c>
      <c r="B90" s="15">
        <v>0</v>
      </c>
      <c r="C90" s="3" t="s">
        <v>26</v>
      </c>
    </row>
    <row r="91" spans="1:3" x14ac:dyDescent="0.25">
      <c r="A91" s="26"/>
    </row>
    <row r="92" spans="1:3" x14ac:dyDescent="0.25">
      <c r="A92" s="14"/>
      <c r="C92" s="3" t="str">
        <f>CONCATENATE("    ",B89)</f>
        <v xml:space="preserve">    The effect is unknown.</v>
      </c>
    </row>
    <row r="93" spans="1:3" x14ac:dyDescent="0.25">
      <c r="A93" s="14"/>
    </row>
    <row r="94" spans="1:3" x14ac:dyDescent="0.25">
      <c r="A94" s="14"/>
      <c r="C94" s="3" t="s">
        <v>30</v>
      </c>
    </row>
    <row r="95" spans="1:3" x14ac:dyDescent="0.25">
      <c r="A95" s="26"/>
    </row>
    <row r="96" spans="1:3" x14ac:dyDescent="0.25">
      <c r="A96" s="26"/>
      <c r="C96" s="3" t="str">
        <f>CONCATENATE( "    &lt;piechart percentage=",B90," /&gt;")</f>
        <v xml:space="preserve">    &lt;piechart percentage=0 /&gt;</v>
      </c>
    </row>
    <row r="97" spans="1:3" x14ac:dyDescent="0.25">
      <c r="A97" s="26"/>
      <c r="C97" s="3" t="str">
        <f>"  &lt;/Analysis&gt;"</f>
        <v xml:space="preserve">  &lt;/Analysis&gt;</v>
      </c>
    </row>
    <row r="98" spans="1:3" x14ac:dyDescent="0.25">
      <c r="A98" s="14"/>
      <c r="C98" s="31" t="s">
        <v>78</v>
      </c>
    </row>
    <row r="99" spans="1:3" s="21" customFormat="1" x14ac:dyDescent="0.25">
      <c r="A99" s="19"/>
      <c r="B99" s="20"/>
      <c r="C99" s="35"/>
    </row>
    <row r="100" spans="1:3" x14ac:dyDescent="0.25">
      <c r="A100" s="14" t="s">
        <v>79</v>
      </c>
      <c r="B100" s="40" t="s">
        <v>143</v>
      </c>
      <c r="C100" s="10" t="str">
        <f>CONCATENATE("&lt;# ",A100," ",B100," #&gt;")</f>
        <v>&lt;# Tissues [kidney, liver](https://www.ncbi.nlm.nih.gov/gene/171425#gene-expression), and blood; circulatory and cardiovascular system D002319 Kidney and urinary bladder D005221 liver D008099  #&gt;</v>
      </c>
    </row>
    <row r="101" spans="1:3" x14ac:dyDescent="0.25">
      <c r="A101" s="14"/>
    </row>
    <row r="102" spans="1:3" x14ac:dyDescent="0.25">
      <c r="A102" s="14"/>
      <c r="B102" s="40" t="s">
        <v>147</v>
      </c>
      <c r="C102" s="31" t="str">
        <f>CONCATENATE("&lt;TopicBar ",B102," /&gt;")</f>
        <v>&lt;TopicBar mesh_D002319 mesh_D005221 mesh_D008099  /&gt;</v>
      </c>
    </row>
    <row r="103" spans="1:3" x14ac:dyDescent="0.25">
      <c r="A103" s="14"/>
    </row>
    <row r="104" spans="1:3" x14ac:dyDescent="0.25">
      <c r="A104" s="14" t="s">
        <v>32</v>
      </c>
      <c r="B104" s="40" t="s">
        <v>142</v>
      </c>
      <c r="C104" s="10" t="str">
        <f>CONCATENATE("&lt;# ",A104," ",B104," #&gt;")</f>
        <v>&lt;# Symptoms fatigue D005221 memory problems D008569 inflamation D007249 muscle aches and pain D063806 #&gt;</v>
      </c>
    </row>
    <row r="105" spans="1:3" x14ac:dyDescent="0.25">
      <c r="A105" s="14"/>
    </row>
    <row r="106" spans="1:3" x14ac:dyDescent="0.25">
      <c r="A106" s="14"/>
      <c r="B106" s="40" t="s">
        <v>146</v>
      </c>
      <c r="C106" s="31" t="str">
        <f>CONCATENATE("&lt;TopicBar ",B106," /&gt;")</f>
        <v>&lt;TopicBar mesh_D005221 mesh_D008569 mesh_D007249 mesh_D063806 /&gt;</v>
      </c>
    </row>
    <row r="107" spans="1:3" x14ac:dyDescent="0.25">
      <c r="A107" s="14"/>
      <c r="C107" s="31"/>
    </row>
    <row r="108" spans="1:3" x14ac:dyDescent="0.25">
      <c r="A108" s="14" t="s">
        <v>48</v>
      </c>
      <c r="B108" s="40" t="s">
        <v>144</v>
      </c>
      <c r="C108" s="10" t="str">
        <f>CONCATENATE("&lt;# ",A108," ",B108," #&gt;")</f>
        <v>&lt;# Diseases anemia D000740 neurodegenerative disorder D000752 cardiovascular disease D002318 gastrointestinal disease D005767 ME/CFS D015673 coronary heart disease D003327 stroke  D016491 #&gt;</v>
      </c>
    </row>
    <row r="109" spans="1:3" x14ac:dyDescent="0.25">
      <c r="A109" s="14"/>
    </row>
    <row r="110" spans="1:3" x14ac:dyDescent="0.25">
      <c r="A110" s="14"/>
      <c r="B110" s="40" t="s">
        <v>145</v>
      </c>
      <c r="C110" s="31" t="str">
        <f>CONCATENATE("&lt;TopicBar ",B110," /&gt;")</f>
        <v>&lt;TopicBar mesh_D000740 mesh_D000752 mesh_D002318 mesh_D005767 mesh_D015673 mesh_D003327 mesh_D016491 /&gt;</v>
      </c>
    </row>
    <row r="111" spans="1:3" x14ac:dyDescent="0.25">
      <c r="A111" s="14"/>
    </row>
    <row r="112" spans="1:3" s="21" customFormat="1" x14ac:dyDescent="0.25">
      <c r="A112" s="28"/>
      <c r="B112" s="20"/>
    </row>
    <row r="113" spans="2:2" x14ac:dyDescent="0.25">
      <c r="B113" s="30"/>
    </row>
    <row r="115" spans="2:2" x14ac:dyDescent="0.25">
      <c r="B115" s="30"/>
    </row>
    <row r="117" spans="2:2" x14ac:dyDescent="0.25">
      <c r="B117" s="30"/>
    </row>
    <row r="119" spans="2:2" x14ac:dyDescent="0.25">
      <c r="B119" s="30"/>
    </row>
    <row r="121" spans="2:2" x14ac:dyDescent="0.25">
      <c r="B121" s="3"/>
    </row>
    <row r="123" spans="2:2" x14ac:dyDescent="0.25">
      <c r="B123" s="3"/>
    </row>
    <row r="795" spans="3:3" x14ac:dyDescent="0.25">
      <c r="C795" s="3" t="str">
        <f>CONCATENATE("    This variant is a change at a specific point in the ",B786," gene from ",B795," to ",B796," resulting in incorrect ",B789,"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801" spans="3:3" x14ac:dyDescent="0.25">
      <c r="C801" s="3" t="str">
        <f>CONCATENATE("    This variant is a change at a specific point in the ",B786," gene from ",B801," to ",B802," resulting in incorrect ",B789,"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931" spans="3:3" x14ac:dyDescent="0.25">
      <c r="C931" s="3" t="str">
        <f>CONCATENATE("    This variant is a change at a specific point in the ",B922," gene from ",B931," to ",B932," resulting in incorrect ",B925,"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937" spans="3:3" x14ac:dyDescent="0.25">
      <c r="C937" s="3" t="str">
        <f>CONCATENATE("    This variant is a change at a specific point in the ",B922," gene from ",B937," to ",B938," resulting in incorrect ",B925,"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339" spans="3:3" x14ac:dyDescent="0.25">
      <c r="C1339" s="3" t="str">
        <f>CONCATENATE("    This variant is a change at a specific point in the ",B1330," gene from ",B1339," to ",B1340," resulting in incorrect ",B1333,"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345" spans="3:3" x14ac:dyDescent="0.25">
      <c r="C1345" s="3" t="str">
        <f>CONCATENATE("    This variant is a change at a specific point in the ",B1330," gene from ",B1345," to ",B1346," resulting in incorrect ",B1333,"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475" spans="3:3" x14ac:dyDescent="0.25">
      <c r="C1475" s="3" t="str">
        <f>CONCATENATE("    This variant is a change at a specific point in the ",B1466," gene from ",B1475," to ",B1476," resulting in incorrect ",B1469,"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481" spans="3:3" x14ac:dyDescent="0.25">
      <c r="C1481" s="3" t="str">
        <f>CONCATENATE("    This variant is a change at a specific point in the ",B1466," gene from ",B1481," to ",B1482," resulting in incorrect ",B1469,"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11" spans="3:3" x14ac:dyDescent="0.25">
      <c r="C1611" s="3" t="str">
        <f>CONCATENATE("    This variant is a change at a specific point in the ",B1602," gene from ",B1611," to ",B1612," resulting in incorrect ",B1605,"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17" spans="3:3" x14ac:dyDescent="0.25">
      <c r="C1617" s="3" t="str">
        <f>CONCATENATE("    This variant is a change at a specific point in the ",B1602," gene from ",B1617," to ",B1618," resulting in incorrect ",B1605,"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747" spans="3:3" x14ac:dyDescent="0.25">
      <c r="C1747" s="3" t="str">
        <f>CONCATENATE("    This variant is a change at a specific point in the ",B1738," gene from ",B1747," to ",B1748," resulting in incorrect ",B1741,"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753" spans="3:3" x14ac:dyDescent="0.25">
      <c r="C1753" s="3" t="str">
        <f>CONCATENATE("    This variant is a change at a specific point in the ",B1738," gene from ",B1753," to ",B1754," resulting in incorrect ",B1741,"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83" spans="3:3" x14ac:dyDescent="0.25">
      <c r="C1883" s="3" t="str">
        <f>CONCATENATE("    This variant is a change at a specific point in the ",B1874," gene from ",B1883," to ",B1884," resulting in incorrect ",B1877,"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89" spans="3:3" x14ac:dyDescent="0.25">
      <c r="C1889" s="3" t="str">
        <f>CONCATENATE("    This variant is a change at a specific point in the ",B1874," gene from ",B1889," to ",B1890," resulting in incorrect ",B1877,"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19" spans="3:3" x14ac:dyDescent="0.25">
      <c r="C2019" s="3" t="str">
        <f>CONCATENATE("    This variant is a change at a specific point in the ",B2010," gene from ",B2019," to ",B2020," resulting in incorrect ",B2013,"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25" spans="3:3" x14ac:dyDescent="0.25">
      <c r="C2025" s="3" t="str">
        <f>CONCATENATE("    This variant is a change at a specific point in the ",B2010," gene from ",B2025," to ",B2026," resulting in incorrect ",B2013,"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55" spans="3:3" x14ac:dyDescent="0.25">
      <c r="C2155" s="3" t="str">
        <f>CONCATENATE("    This variant is a change at a specific point in the ",B2146," gene from ",B2155," to ",B2156," resulting in incorrect ",B2149,"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61" spans="3:3" x14ac:dyDescent="0.25">
      <c r="C2161" s="3" t="str">
        <f>CONCATENATE("    This variant is a change at a specific point in the ",B2146," gene from ",B2161," to ",B2162," resulting in incorrect ",B2149,"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91" spans="3:3" x14ac:dyDescent="0.25">
      <c r="C2291" s="3" t="str">
        <f>CONCATENATE("    This variant is a change at a specific point in the ",B2282," gene from ",B2291," to ",B2292," resulting in incorrect ",B2285,"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97" spans="3:3" x14ac:dyDescent="0.25">
      <c r="C2297" s="3" t="str">
        <f>CONCATENATE("    This variant is a change at a specific point in the ",B2282," gene from ",B2297," to ",B2298," resulting in incorrect ",B2285," function. This substitution of a single nucleotide is known as a missense variant.")</f>
        <v xml:space="preserve">    This variant is a change at a specific point in the  gene from  to  resulting in incorrect  function. This substitution of a single nucleotide is known as a missense variant.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3C06-3F47-41E4-AA51-5E837A06BA0E}">
  <dimension ref="A1:AJ2365"/>
  <sheetViews>
    <sheetView topLeftCell="A31" workbookViewId="0">
      <selection activeCell="A31" sqref="A1:XFD1048576"/>
    </sheetView>
  </sheetViews>
  <sheetFormatPr defaultRowHeight="15.75" x14ac:dyDescent="0.25"/>
  <cols>
    <col min="1" max="1" width="16.28515625" style="3" customWidth="1"/>
    <col min="2" max="2" width="42.7109375" style="15" customWidth="1"/>
    <col min="3" max="6" width="9.140625" style="3"/>
    <col min="7" max="7" width="10.28515625" style="3" bestFit="1" customWidth="1"/>
    <col min="8" max="8" width="13" style="3" customWidth="1"/>
    <col min="9" max="9" width="12.7109375" style="3" customWidth="1"/>
    <col min="10" max="10" width="11.85546875" style="3" customWidth="1"/>
    <col min="11" max="11" width="12.85546875" style="3" customWidth="1"/>
    <col min="12" max="12" width="13.5703125" style="3" customWidth="1"/>
    <col min="13" max="13" width="12" style="3" customWidth="1"/>
    <col min="14" max="14" width="12.85546875" style="3" customWidth="1"/>
    <col min="15" max="16" width="9.140625" style="3"/>
    <col min="17" max="17" width="17.42578125" style="3" customWidth="1"/>
    <col min="18" max="18" width="15.5703125" style="3" customWidth="1"/>
    <col min="19" max="23" width="15.42578125" style="3" bestFit="1" customWidth="1"/>
    <col min="24" max="24" width="14.85546875" style="3" customWidth="1"/>
    <col min="25" max="25" width="16.7109375" style="3" customWidth="1"/>
    <col min="26" max="26" width="19.42578125" style="3" customWidth="1"/>
    <col min="27" max="27" width="18" style="3" customWidth="1"/>
    <col min="28" max="28" width="17.85546875" style="3" customWidth="1"/>
    <col min="29" max="29" width="16" style="3" customWidth="1"/>
    <col min="30" max="30" width="9.140625" style="3"/>
    <col min="31" max="31" width="12.85546875" style="3" bestFit="1" customWidth="1"/>
    <col min="32" max="32" width="11.7109375" style="3" bestFit="1" customWidth="1"/>
    <col min="33" max="16384" width="9.140625" style="3"/>
  </cols>
  <sheetData>
    <row r="1" spans="1:36" x14ac:dyDescent="0.25">
      <c r="A1" s="8" t="s">
        <v>0</v>
      </c>
      <c r="B1" s="9" t="s">
        <v>1</v>
      </c>
      <c r="C1" s="8" t="s">
        <v>2</v>
      </c>
      <c r="H1" s="10"/>
      <c r="I1" s="11"/>
      <c r="J1" s="10"/>
      <c r="K1" s="10"/>
      <c r="L1" s="10"/>
      <c r="Y1" s="12"/>
      <c r="AC1" s="12"/>
      <c r="AF1" s="13"/>
      <c r="AG1" s="13"/>
      <c r="AJ1" s="13"/>
    </row>
    <row r="2" spans="1:36" x14ac:dyDescent="0.25">
      <c r="A2" s="14" t="s">
        <v>35</v>
      </c>
      <c r="B2" s="2" t="s">
        <v>4</v>
      </c>
      <c r="C2" s="3" t="str">
        <f>CONCATENATE("&lt;",A2," ",B2," /&gt;")</f>
        <v>&lt;Gene_Name MTHFR /&gt;</v>
      </c>
      <c r="D2" s="15"/>
      <c r="H2" s="10"/>
      <c r="I2" s="11"/>
      <c r="J2" s="10"/>
      <c r="K2" s="10"/>
      <c r="L2" s="10"/>
      <c r="Y2" s="12"/>
      <c r="AC2" s="12"/>
      <c r="AF2" s="13"/>
      <c r="AG2" s="13"/>
      <c r="AJ2" s="13"/>
    </row>
    <row r="3" spans="1:36" x14ac:dyDescent="0.25">
      <c r="A3" s="8"/>
      <c r="B3" s="2"/>
      <c r="C3" s="8"/>
      <c r="D3" s="15"/>
      <c r="H3" s="10"/>
      <c r="I3" s="11"/>
      <c r="J3" s="10"/>
      <c r="K3" s="10"/>
      <c r="L3" s="10"/>
      <c r="Y3" s="12"/>
      <c r="AC3" s="12"/>
      <c r="AF3" s="13"/>
      <c r="AG3" s="13"/>
      <c r="AJ3" s="13"/>
    </row>
    <row r="4" spans="1:36" ht="17.25" x14ac:dyDescent="0.3">
      <c r="A4" s="14" t="s">
        <v>37</v>
      </c>
      <c r="B4" s="4" t="s">
        <v>50</v>
      </c>
      <c r="C4" s="3" t="str">
        <f>CONCATENATE("&lt;",A4," ",B4," /&gt;")</f>
        <v>&lt;GeneName_full Methylenetetrahydrofolate reductase /&gt;</v>
      </c>
      <c r="D4" s="15"/>
      <c r="H4" s="10"/>
      <c r="I4" s="11"/>
      <c r="J4" s="10"/>
      <c r="K4" s="10"/>
      <c r="L4" s="10"/>
      <c r="Y4" s="12"/>
      <c r="AC4" s="12"/>
      <c r="AF4" s="13"/>
      <c r="AG4" s="13"/>
      <c r="AJ4" s="13"/>
    </row>
    <row r="5" spans="1:36" x14ac:dyDescent="0.25">
      <c r="A5" s="14"/>
      <c r="B5" s="9"/>
      <c r="C5" s="8"/>
      <c r="D5" s="15"/>
      <c r="H5" s="10"/>
      <c r="I5" s="11"/>
      <c r="J5" s="10"/>
      <c r="K5" s="10"/>
      <c r="L5" s="10"/>
      <c r="Y5" s="12"/>
      <c r="AC5" s="12"/>
      <c r="AF5" s="13"/>
      <c r="AG5" s="13"/>
      <c r="AJ5" s="13"/>
    </row>
    <row r="6" spans="1:36" x14ac:dyDescent="0.25">
      <c r="A6" s="14"/>
      <c r="B6" s="3"/>
      <c r="C6" s="3" t="str">
        <f>CONCATENATE("# What does the ",B2," gene do?")</f>
        <v># What does the MTHFR gene do?</v>
      </c>
      <c r="H6" s="10"/>
      <c r="I6" s="11"/>
      <c r="J6" s="10"/>
      <c r="K6" s="10"/>
      <c r="L6" s="10"/>
      <c r="Y6" s="16"/>
      <c r="Z6" s="16"/>
      <c r="AA6" s="16"/>
      <c r="AC6" s="16"/>
      <c r="AF6" s="13"/>
      <c r="AJ6" s="13"/>
    </row>
    <row r="7" spans="1:36" x14ac:dyDescent="0.25">
      <c r="A7" s="14"/>
      <c r="I7" s="17"/>
      <c r="Y7" s="16"/>
      <c r="Z7" s="16"/>
      <c r="AA7" s="16"/>
      <c r="AC7" s="16"/>
      <c r="AF7" s="13"/>
      <c r="AJ7" s="13"/>
    </row>
    <row r="8" spans="1:36" ht="17.25" x14ac:dyDescent="0.3">
      <c r="A8" s="14" t="s">
        <v>5</v>
      </c>
      <c r="B8" s="4" t="s">
        <v>34</v>
      </c>
      <c r="C8" s="3" t="str">
        <f>CONCATENATE(B8," This gene is located on chromosome ",B9,".")</f>
        <v>MTHFR is involved in the production of folate (also known as B9). Folate is a precursor to the amino acid
methionine. The body uses [methionine](https://ghr.nlm.nih.gov/condition/hypermethioninemia) to make proteins, red and white blood cells, DNA, and other important compounds, including neurotransmitters such as serotonin, dopamine, and norepinephrine. Folate deficiency may cause [fatigue, pins and needles (paraesthesia), muscle weakness, disturbed vision, depression, confusion, and memory problems](https://medlineplus.gov/ency/article/000354.htm). This gene is located on chromosome 1.</v>
      </c>
      <c r="I8" s="17"/>
      <c r="X8" s="18"/>
      <c r="Y8" s="16"/>
      <c r="Z8" s="16"/>
      <c r="AA8" s="16"/>
      <c r="AC8" s="16"/>
    </row>
    <row r="9" spans="1:36" x14ac:dyDescent="0.25">
      <c r="A9" s="14" t="s">
        <v>6</v>
      </c>
      <c r="B9" s="2">
        <v>1</v>
      </c>
      <c r="I9" s="17"/>
      <c r="Y9" s="16"/>
      <c r="Z9" s="16"/>
      <c r="AA9" s="16"/>
      <c r="AC9" s="16"/>
    </row>
    <row r="10" spans="1:36" x14ac:dyDescent="0.25">
      <c r="A10" s="14" t="s">
        <v>7</v>
      </c>
      <c r="B10" s="2" t="s">
        <v>8</v>
      </c>
      <c r="Y10" s="12"/>
      <c r="AC10" s="16"/>
    </row>
    <row r="11" spans="1:36" s="21" customFormat="1" ht="16.5" thickBot="1" x14ac:dyDescent="0.3">
      <c r="A11" s="19"/>
      <c r="B11" s="20"/>
    </row>
    <row r="12" spans="1:36" ht="16.5" thickBot="1" x14ac:dyDescent="0.3">
      <c r="A12" s="14" t="s">
        <v>3</v>
      </c>
      <c r="B12" s="2" t="str">
        <f>B2</f>
        <v>MTHFR</v>
      </c>
      <c r="C12" s="3" t="str">
        <f>CONCATENATE("&lt;GeneMap name= ",CHAR(34),B12,CHAR(34)," interval=",CHAR(34),B13,"=",CHAR(34),"&gt;")</f>
        <v>&lt;GeneMap name= "MTHFR" interval="NC_000001.11 :g.11785730_11806103="&gt;</v>
      </c>
      <c r="J12" s="23"/>
      <c r="K12" s="23"/>
      <c r="L12" s="23"/>
      <c r="M12" s="23"/>
      <c r="N12" s="23"/>
      <c r="O12" s="24"/>
      <c r="P12" s="25"/>
      <c r="Q12" s="24"/>
      <c r="R12" s="24"/>
      <c r="S12" s="25"/>
      <c r="T12" s="25"/>
      <c r="U12" s="24"/>
      <c r="V12" s="24"/>
      <c r="W12" s="25"/>
      <c r="X12" s="25"/>
      <c r="Y12" s="25"/>
      <c r="Z12" s="25"/>
    </row>
    <row r="13" spans="1:36" x14ac:dyDescent="0.25">
      <c r="A13" s="14" t="s">
        <v>9</v>
      </c>
      <c r="B13" s="2" t="s">
        <v>10</v>
      </c>
      <c r="J13" s="15"/>
      <c r="K13" s="15"/>
      <c r="L13" s="15"/>
      <c r="M13" s="15"/>
      <c r="N13" s="15"/>
      <c r="O13" s="15"/>
      <c r="P13" s="15"/>
      <c r="Q13" s="15"/>
      <c r="R13" s="15"/>
      <c r="S13" s="15"/>
      <c r="T13" s="15"/>
      <c r="U13" s="15"/>
      <c r="V13" s="15"/>
      <c r="W13" s="15"/>
      <c r="X13" s="15"/>
      <c r="Y13" s="15"/>
      <c r="Z13" s="15"/>
    </row>
    <row r="14" spans="1:36" x14ac:dyDescent="0.25">
      <c r="A14" s="14" t="s">
        <v>11</v>
      </c>
      <c r="B14" s="2" t="s">
        <v>12</v>
      </c>
      <c r="C14" s="3" t="str">
        <f>CONCATENATE("# What are some common variants of ",B12,"?")</f>
        <v># What are some common variants of MTHFR?</v>
      </c>
      <c r="J14" s="15"/>
      <c r="K14" s="15"/>
      <c r="L14" s="15"/>
      <c r="M14" s="15"/>
      <c r="N14" s="15"/>
      <c r="O14" s="15"/>
      <c r="P14" s="15"/>
      <c r="Q14" s="15"/>
      <c r="R14" s="15"/>
      <c r="S14" s="15"/>
      <c r="T14" s="15"/>
      <c r="U14" s="15"/>
      <c r="V14" s="15"/>
      <c r="W14" s="15"/>
      <c r="X14" s="15"/>
      <c r="Y14" s="15"/>
      <c r="Z14" s="15"/>
    </row>
    <row r="15" spans="1:36" x14ac:dyDescent="0.25">
      <c r="A15" s="14"/>
      <c r="B15" s="2"/>
      <c r="C15" s="3" t="s">
        <v>13</v>
      </c>
      <c r="J15" s="15"/>
      <c r="K15" s="15"/>
      <c r="L15" s="15"/>
      <c r="M15" s="15"/>
      <c r="N15" s="15"/>
      <c r="O15" s="15"/>
      <c r="P15" s="15"/>
      <c r="Q15" s="15"/>
      <c r="R15" s="15"/>
      <c r="S15" s="15"/>
      <c r="T15" s="15"/>
      <c r="U15" s="15"/>
      <c r="V15" s="15"/>
      <c r="W15" s="15"/>
      <c r="X15" s="15"/>
      <c r="Y15" s="15"/>
      <c r="Z15" s="15"/>
    </row>
    <row r="16" spans="1:36" x14ac:dyDescent="0.25">
      <c r="B16" s="2"/>
      <c r="C16" s="3" t="str">
        <f>CONCATENATE("A variant is a change at a specific point in the gene from the expected nucleotide sequence to another, resulting in incorrect ", B10," function. There are ",B14," common variants in ",B12,": ",B22," and ",B31,".")</f>
        <v>A variant is a change at a specific point in the gene from the expected nucleotide sequence to another, resulting in incorrect enzyme function. There are two common variants in MTHFR: [C677T](http://gnomad.broadinstitute.org/variant/1-11856378-G-A) and [A1298C](https://www.ncbi.nlm.nih.gov/projects/SNP/snp_ref.cgi?rs=1801131).</v>
      </c>
      <c r="J16" s="15"/>
      <c r="K16" s="15"/>
      <c r="L16" s="15"/>
      <c r="M16" s="15"/>
      <c r="N16" s="15"/>
      <c r="O16" s="15"/>
      <c r="P16" s="15"/>
      <c r="Q16" s="15"/>
      <c r="R16" s="15"/>
      <c r="S16" s="15"/>
      <c r="T16" s="15"/>
      <c r="U16" s="15"/>
      <c r="V16" s="15"/>
      <c r="W16" s="15"/>
      <c r="X16" s="15"/>
      <c r="Y16" s="15"/>
      <c r="Z16" s="15"/>
    </row>
    <row r="17" spans="1:26" x14ac:dyDescent="0.25">
      <c r="B17" s="2"/>
      <c r="J17" s="15"/>
      <c r="K17" s="15"/>
      <c r="L17" s="15"/>
      <c r="M17" s="15"/>
      <c r="N17" s="15"/>
      <c r="O17" s="15"/>
      <c r="P17" s="15"/>
      <c r="Q17" s="15"/>
      <c r="R17" s="15"/>
      <c r="S17" s="15"/>
      <c r="T17" s="15"/>
      <c r="U17" s="15"/>
      <c r="V17" s="15"/>
      <c r="W17" s="15"/>
      <c r="X17" s="15"/>
      <c r="Y17" s="15"/>
      <c r="Z17" s="15"/>
    </row>
    <row r="18" spans="1:26" x14ac:dyDescent="0.25">
      <c r="A18" s="14" t="s">
        <v>14</v>
      </c>
      <c r="B18" s="6" t="s">
        <v>58</v>
      </c>
      <c r="C18" s="3" t="str">
        <f>CONCATENATE("&lt;# ",B19," #&gt;")</f>
        <v>&lt;# C677T #&gt;</v>
      </c>
      <c r="J18" s="15"/>
      <c r="K18" s="15"/>
      <c r="L18" s="15"/>
      <c r="M18" s="15"/>
      <c r="N18" s="15"/>
      <c r="O18" s="15"/>
      <c r="P18" s="15"/>
      <c r="Q18" s="15"/>
      <c r="R18" s="15"/>
      <c r="S18" s="15"/>
      <c r="T18" s="15"/>
      <c r="U18" s="15"/>
      <c r="V18" s="15"/>
      <c r="W18" s="15"/>
      <c r="X18" s="15"/>
      <c r="Y18" s="15"/>
      <c r="Z18" s="15"/>
    </row>
    <row r="19" spans="1:26" x14ac:dyDescent="0.25">
      <c r="A19" s="26" t="s">
        <v>15</v>
      </c>
      <c r="B19" s="6" t="s">
        <v>16</v>
      </c>
      <c r="J19" s="6"/>
      <c r="K19" s="15"/>
      <c r="L19" s="15"/>
      <c r="M19" s="15"/>
      <c r="N19" s="15"/>
      <c r="O19" s="15"/>
      <c r="P19" s="15"/>
      <c r="Q19" s="15"/>
      <c r="R19" s="15"/>
      <c r="S19" s="15"/>
      <c r="T19" s="15"/>
      <c r="U19" s="15"/>
      <c r="V19" s="15"/>
      <c r="W19" s="15"/>
      <c r="X19" s="15"/>
      <c r="Y19" s="15"/>
      <c r="Z19" s="15"/>
    </row>
    <row r="20" spans="1:26" x14ac:dyDescent="0.25">
      <c r="A20" s="26" t="s">
        <v>17</v>
      </c>
      <c r="B20" s="2" t="s">
        <v>18</v>
      </c>
      <c r="C20" s="3" t="str">
        <f>CONCATENATE("  &lt;Variant hgvs=",CHAR(34),B18,CHAR(34)," name=",CHAR(34),B19,CHAR(34),"&gt; ")</f>
        <v xml:space="preserve">  &lt;Variant hgvs="NC_000001.10:g.11856378G&gt;A" name="C677T"&gt; </v>
      </c>
      <c r="J20" s="2"/>
      <c r="K20" s="15"/>
      <c r="L20" s="15"/>
      <c r="M20" s="15"/>
      <c r="N20" s="15"/>
      <c r="O20" s="15"/>
      <c r="P20" s="15"/>
      <c r="Q20" s="15"/>
      <c r="R20" s="15"/>
      <c r="S20" s="15"/>
      <c r="T20" s="15"/>
      <c r="U20" s="15"/>
      <c r="V20" s="15"/>
      <c r="W20" s="15"/>
      <c r="X20" s="15"/>
      <c r="Y20" s="15"/>
      <c r="Z20" s="15"/>
    </row>
    <row r="21" spans="1:26" x14ac:dyDescent="0.25">
      <c r="A21" s="26" t="s">
        <v>19</v>
      </c>
      <c r="B21" s="2" t="s">
        <v>20</v>
      </c>
      <c r="H21" s="15"/>
      <c r="I21" s="15"/>
      <c r="J21" s="2"/>
      <c r="K21" s="15"/>
      <c r="L21" s="15"/>
      <c r="M21" s="15"/>
      <c r="N21" s="15"/>
      <c r="O21" s="15"/>
      <c r="P21" s="15"/>
      <c r="Q21" s="15"/>
      <c r="R21" s="15"/>
      <c r="S21" s="15"/>
      <c r="T21" s="15"/>
      <c r="U21" s="15"/>
      <c r="V21" s="15"/>
      <c r="W21" s="15"/>
      <c r="X21" s="15"/>
      <c r="Y21" s="15"/>
      <c r="Z21" s="15"/>
    </row>
    <row r="22" spans="1:26" x14ac:dyDescent="0.25">
      <c r="A22" s="26" t="s">
        <v>21</v>
      </c>
      <c r="B22" s="7" t="s">
        <v>22</v>
      </c>
      <c r="C22" s="3" t="str">
        <f>CONCATENATE("    Instead of ",B20,", there is a ",B21," nucleotide.")</f>
        <v xml:space="preserve">    Instead of cytosine (C), there is a thymine (T) nucleotide.</v>
      </c>
      <c r="H22" s="15"/>
      <c r="I22" s="15"/>
      <c r="J22" s="7"/>
      <c r="K22" s="15"/>
      <c r="L22" s="15"/>
      <c r="M22" s="15"/>
      <c r="N22" s="15"/>
      <c r="O22" s="15"/>
      <c r="P22" s="15"/>
      <c r="Q22" s="15"/>
      <c r="R22" s="15"/>
      <c r="S22" s="15"/>
      <c r="T22" s="15"/>
      <c r="U22" s="15"/>
      <c r="V22" s="15"/>
      <c r="W22" s="15"/>
      <c r="X22" s="15"/>
      <c r="Y22" s="15"/>
      <c r="Z22" s="15"/>
    </row>
    <row r="23" spans="1:26" x14ac:dyDescent="0.25">
      <c r="A23" s="3" t="s">
        <v>65</v>
      </c>
      <c r="B23" s="3" t="s">
        <v>66</v>
      </c>
      <c r="H23" s="2"/>
      <c r="I23" s="2"/>
      <c r="J23" s="15"/>
      <c r="K23" s="15"/>
      <c r="L23" s="15"/>
      <c r="M23" s="15"/>
      <c r="N23" s="15"/>
      <c r="O23" s="15"/>
      <c r="P23" s="15"/>
      <c r="Q23" s="15"/>
      <c r="R23" s="15"/>
      <c r="S23" s="15"/>
      <c r="T23" s="15"/>
      <c r="U23" s="15"/>
      <c r="V23" s="15"/>
      <c r="W23" s="15"/>
      <c r="X23" s="15"/>
      <c r="Y23" s="15"/>
      <c r="Z23" s="15"/>
    </row>
    <row r="24" spans="1:26" x14ac:dyDescent="0.25">
      <c r="A24" s="3" t="s">
        <v>51</v>
      </c>
      <c r="B24" s="7" t="s">
        <v>59</v>
      </c>
      <c r="C24" s="3" t="str">
        <f>"  &lt;/Variant&gt;"</f>
        <v xml:space="preserve">  &lt;/Variant&gt;</v>
      </c>
      <c r="H24" s="2"/>
      <c r="I24" s="2"/>
      <c r="J24" s="15"/>
      <c r="K24" s="15"/>
      <c r="L24" s="15"/>
      <c r="M24" s="15"/>
      <c r="N24" s="15"/>
      <c r="O24" s="15"/>
      <c r="P24" s="15"/>
      <c r="Q24" s="15"/>
      <c r="R24" s="15"/>
      <c r="S24" s="15"/>
      <c r="T24" s="15"/>
      <c r="U24" s="15"/>
      <c r="V24" s="15"/>
      <c r="W24" s="15"/>
      <c r="X24" s="15"/>
      <c r="Y24" s="15"/>
      <c r="Z24" s="15"/>
    </row>
    <row r="25" spans="1:26" x14ac:dyDescent="0.25">
      <c r="A25" s="26" t="s">
        <v>52</v>
      </c>
      <c r="B25" s="7" t="s">
        <v>60</v>
      </c>
      <c r="J25" s="6"/>
    </row>
    <row r="26" spans="1:26" x14ac:dyDescent="0.25">
      <c r="B26" s="3"/>
      <c r="C26" s="3" t="str">
        <f>CONCATENATE("&lt;# ",B28," #&gt;")</f>
        <v>&lt;# A1298C #&gt;</v>
      </c>
      <c r="J26" s="6"/>
    </row>
    <row r="27" spans="1:26" x14ac:dyDescent="0.25">
      <c r="A27" s="14" t="s">
        <v>14</v>
      </c>
      <c r="B27" s="6" t="s">
        <v>55</v>
      </c>
      <c r="J27" s="2"/>
    </row>
    <row r="28" spans="1:26" x14ac:dyDescent="0.25">
      <c r="A28" s="26" t="s">
        <v>15</v>
      </c>
      <c r="B28" s="7" t="s">
        <v>23</v>
      </c>
      <c r="C28" s="3" t="str">
        <f>CONCATENATE("  &lt;Variant hgvs=",CHAR(34),B27,CHAR(34)," name=",CHAR(34),B28,CHAR(34),"&gt; ")</f>
        <v xml:space="preserve">  &lt;Variant hgvs="NC_000001.10:g.11854476T&gt;G" name="A1298C"&gt; </v>
      </c>
      <c r="J28" s="2"/>
    </row>
    <row r="29" spans="1:26" x14ac:dyDescent="0.25">
      <c r="A29" s="26" t="s">
        <v>17</v>
      </c>
      <c r="B29" s="2" t="s">
        <v>24</v>
      </c>
      <c r="J29" s="7"/>
    </row>
    <row r="30" spans="1:26" x14ac:dyDescent="0.25">
      <c r="A30" s="26" t="s">
        <v>19</v>
      </c>
      <c r="B30" s="2" t="str">
        <f>"cytosine (C)"</f>
        <v>cytosine (C)</v>
      </c>
      <c r="C30" s="3" t="str">
        <f>CONCATENATE("    Instead of ",B29,", there is a ",B30," nucleotide.")</f>
        <v xml:space="preserve">    Instead of adenine (A), there is a cytosine (C) nucleotide.</v>
      </c>
    </row>
    <row r="31" spans="1:26" x14ac:dyDescent="0.25">
      <c r="A31" s="26" t="s">
        <v>21</v>
      </c>
      <c r="B31" s="7" t="s">
        <v>25</v>
      </c>
      <c r="J31" s="7"/>
    </row>
    <row r="32" spans="1:26" x14ac:dyDescent="0.25">
      <c r="A32" s="3" t="s">
        <v>65</v>
      </c>
      <c r="B32" s="3" t="s">
        <v>66</v>
      </c>
      <c r="C32" s="3" t="str">
        <f>"  &lt;/Variant&gt;"</f>
        <v xml:space="preserve">  &lt;/Variant&gt;</v>
      </c>
      <c r="J32" s="7"/>
    </row>
    <row r="33" spans="1:12" x14ac:dyDescent="0.25">
      <c r="A33" s="3" t="s">
        <v>51</v>
      </c>
      <c r="B33" s="3" t="s">
        <v>56</v>
      </c>
    </row>
    <row r="34" spans="1:12" x14ac:dyDescent="0.25">
      <c r="A34" s="26" t="s">
        <v>52</v>
      </c>
      <c r="B34" s="7" t="s">
        <v>57</v>
      </c>
      <c r="C34" s="3" t="s">
        <v>61</v>
      </c>
    </row>
    <row r="35" spans="1:12" s="21" customFormat="1" x14ac:dyDescent="0.25">
      <c r="A35" s="28"/>
      <c r="B35" s="20"/>
    </row>
    <row r="36" spans="1:12" s="10" customFormat="1" x14ac:dyDescent="0.25">
      <c r="A36" s="32"/>
      <c r="B36" s="33"/>
      <c r="C36" s="34" t="s">
        <v>62</v>
      </c>
    </row>
    <row r="37" spans="1:12" s="10" customFormat="1" x14ac:dyDescent="0.25">
      <c r="A37" s="32"/>
      <c r="B37" s="33"/>
      <c r="K37" s="10" t="s">
        <v>53</v>
      </c>
      <c r="L37" s="11" t="s">
        <v>54</v>
      </c>
    </row>
    <row r="38" spans="1:12" s="21" customFormat="1" x14ac:dyDescent="0.25">
      <c r="A38" s="28" t="s">
        <v>70</v>
      </c>
      <c r="B38" s="20" t="str">
        <f>CONCATENATE(B19," (C;T)")</f>
        <v>C677T (C;T)</v>
      </c>
      <c r="C38" s="21" t="str">
        <f>CONCATENATE("&lt;# ",B38," #&gt;")</f>
        <v>&lt;# C677T (C;T) #&gt;</v>
      </c>
      <c r="K38" s="21" t="str">
        <f>B19</f>
        <v>C677T</v>
      </c>
      <c r="L38" s="21" t="str">
        <f>B28</f>
        <v>A1298C</v>
      </c>
    </row>
    <row r="39" spans="1:12" s="10" customFormat="1" x14ac:dyDescent="0.25">
      <c r="A39" s="3" t="s">
        <v>21</v>
      </c>
      <c r="B39" s="29" t="str">
        <f>K42</f>
        <v>NC_000001.10:g.[11856378G&gt;A];[11856378=]</v>
      </c>
      <c r="J39" s="3"/>
      <c r="K39" s="22" t="str">
        <f>B23</f>
        <v>NC_000001.10:g.</v>
      </c>
      <c r="L39" s="22" t="str">
        <f>B32</f>
        <v>NC_000001.10:g.</v>
      </c>
    </row>
    <row r="40" spans="1:12" x14ac:dyDescent="0.25">
      <c r="A40" s="3" t="s">
        <v>72</v>
      </c>
      <c r="B40" s="29" t="str">
        <f>L44</f>
        <v>NC_000001.10:g.[11854476=];[11854476=]</v>
      </c>
      <c r="C40" s="3" t="str">
        <f>CONCATENATE("  &lt;Analysis name=",CHAR(34),B38,CHAR(34))</f>
        <v xml:space="preserve">  &lt;Analysis name="C677T (C;T)"</v>
      </c>
      <c r="J40" s="3" t="s">
        <v>21</v>
      </c>
      <c r="K40" s="15" t="str">
        <f>B24</f>
        <v>[11856378G&gt;A]</v>
      </c>
      <c r="L40" s="22" t="str">
        <f>B33</f>
        <v>[11854476T&gt;G]</v>
      </c>
    </row>
    <row r="41" spans="1:12" x14ac:dyDescent="0.25">
      <c r="A41" s="5" t="s">
        <v>27</v>
      </c>
      <c r="B41" s="2" t="str">
        <f>CONCATENATE("People with this variant have one copy of the ",B22," variant. This substitution of a single nucleotide is known as a missense mutation.")</f>
        <v>People with this variant have one copy of the [C677T](http://gnomad.broadinstitute.org/variant/1-11856378-G-A) variant. This substitution of a single nucleotide is known as a missense mutation.</v>
      </c>
      <c r="C41" s="3" t="str">
        <f>CONCATENATE("            case={  variantCall ",CHAR(40),CHAR(34),B39,CHAR(34),CHAR(41))</f>
        <v xml:space="preserve">            case={  variantCall ("NC_000001.10:g.[11856378G&gt;A];[11856378=]")</v>
      </c>
      <c r="J41" s="3" t="s">
        <v>52</v>
      </c>
      <c r="K41" s="15" t="str">
        <f>B25</f>
        <v>[11856378=]</v>
      </c>
      <c r="L41" s="22" t="str">
        <f>B34</f>
        <v>[11854476=]</v>
      </c>
    </row>
    <row r="42" spans="1:12" x14ac:dyDescent="0.25">
      <c r="A42" s="1" t="s">
        <v>28</v>
      </c>
      <c r="B42" s="2" t="s">
        <v>74</v>
      </c>
      <c r="C42" s="3" t="s">
        <v>71</v>
      </c>
      <c r="J42" s="3" t="s">
        <v>63</v>
      </c>
      <c r="K42" s="15" t="str">
        <f>CONCATENATE(K39,K40,";",K41)</f>
        <v>NC_000001.10:g.[11856378G&gt;A];[11856378=]</v>
      </c>
      <c r="L42" s="15" t="str">
        <f>CONCATENATE(L39,L40,";",L41)</f>
        <v>NC_000001.10:g.[11854476T&gt;G];[11854476=]</v>
      </c>
    </row>
    <row r="43" spans="1:12" x14ac:dyDescent="0.25">
      <c r="A43" s="3" t="s">
        <v>73</v>
      </c>
      <c r="B43" s="29">
        <f>K45</f>
        <v>30</v>
      </c>
      <c r="C43" s="3" t="str">
        <f>CONCATENATE("                    variantCall ",CHAR(40),CHAR(34),B40,CHAR(34),CHAR(41))</f>
        <v xml:space="preserve">                    variantCall ("NC_000001.10:g.[11854476=];[11854476=]")</v>
      </c>
      <c r="J43" s="3" t="s">
        <v>64</v>
      </c>
      <c r="K43" s="15" t="str">
        <f>CONCATENATE(K39,K40,";",K40)</f>
        <v>NC_000001.10:g.[11856378G&gt;A];[11856378G&gt;A]</v>
      </c>
      <c r="L43" s="15" t="str">
        <f>CONCATENATE(L39,L40,";",L40)</f>
        <v>NC_000001.10:g.[11854476T&gt;G];[11854476T&gt;G]</v>
      </c>
    </row>
    <row r="44" spans="1:12" x14ac:dyDescent="0.25">
      <c r="C44" s="3" t="str">
        <f>CONCATENATE("                  } &gt; ")</f>
        <v xml:space="preserve">                  } &gt; </v>
      </c>
      <c r="J44" s="3" t="s">
        <v>52</v>
      </c>
      <c r="K44" s="2" t="str">
        <f>CONCATENATE(K39,K41,";",K41)</f>
        <v>NC_000001.10:g.[11856378=];[11856378=]</v>
      </c>
      <c r="L44" s="2" t="str">
        <f>CONCATENATE(L39,L41,";",L41)</f>
        <v>NC_000001.10:g.[11854476=];[11854476=]</v>
      </c>
    </row>
    <row r="45" spans="1:12" x14ac:dyDescent="0.25">
      <c r="J45" s="3" t="s">
        <v>67</v>
      </c>
      <c r="K45" s="15">
        <v>30</v>
      </c>
      <c r="L45" s="15">
        <v>20</v>
      </c>
    </row>
    <row r="46" spans="1:12" x14ac:dyDescent="0.25">
      <c r="A46" s="14"/>
      <c r="C46" s="3" t="s">
        <v>26</v>
      </c>
      <c r="J46" s="3" t="s">
        <v>68</v>
      </c>
      <c r="K46" s="2">
        <v>9</v>
      </c>
      <c r="L46" s="2">
        <v>4</v>
      </c>
    </row>
    <row r="47" spans="1:12" x14ac:dyDescent="0.25">
      <c r="A47" s="26"/>
      <c r="J47" s="3" t="s">
        <v>69</v>
      </c>
      <c r="K47" s="2">
        <v>61</v>
      </c>
      <c r="L47" s="2">
        <v>76</v>
      </c>
    </row>
    <row r="48" spans="1:12" x14ac:dyDescent="0.25">
      <c r="A48" s="14"/>
      <c r="C48" s="3" t="str">
        <f>CONCATENATE("    ",B41)</f>
        <v xml:space="preserve">    People with this variant have one copy of the [C677T](http://gnomad.broadinstitute.org/variant/1-11856378-G-A) variant. This substitution of a single nucleotide is known as a missense mutation.</v>
      </c>
    </row>
    <row r="49" spans="1:3" x14ac:dyDescent="0.25">
      <c r="A49" s="14"/>
    </row>
    <row r="50" spans="1:3" x14ac:dyDescent="0.25">
      <c r="A50" s="26"/>
      <c r="C50" s="3" t="s">
        <v>29</v>
      </c>
    </row>
    <row r="51" spans="1:3" x14ac:dyDescent="0.25">
      <c r="A51" s="14"/>
    </row>
    <row r="52" spans="1:3" x14ac:dyDescent="0.25">
      <c r="A52" s="14"/>
      <c r="C52" s="3" t="str">
        <f>CONCATENATE(B42)</f>
        <v xml:space="preserve">    People with the following variants have a slightly reduced efficacy of processing folate [(82% of normal function)](https://www.ncbi.nlm.nih.gov/pubmed/25902009). In ME/CFS, [hypomethylation](http://dx.doi.org/10.4172/2155-9899.1000228), which is greatly affected by the vitamins B12 and folate, is seen in a majority of certain immune cells. The low B12 and higher homocysteine levels correlate significantly with ratings of [mental fatigue](https://www.ncbi.nlm.nih.gov/pubmed/25902009).
    # What should I do about this?
    Some people with mild loss of function variant may benefit from supplementing their diets with an [oral folic acid](https://www.ncbi.nlm.nih.gov/pubmed/25902009) supplement. Consult your physician. </v>
      </c>
    </row>
    <row r="53" spans="1:3" x14ac:dyDescent="0.25">
      <c r="A53" s="14"/>
    </row>
    <row r="54" spans="1:3" x14ac:dyDescent="0.25">
      <c r="A54" s="14"/>
      <c r="C54" s="3" t="s">
        <v>30</v>
      </c>
    </row>
    <row r="55" spans="1:3" x14ac:dyDescent="0.25">
      <c r="A55" s="26"/>
    </row>
    <row r="56" spans="1:3" x14ac:dyDescent="0.25">
      <c r="A56" s="26"/>
      <c r="C56" s="3" t="str">
        <f>CONCATENATE( "    &lt;piechart percentage=",B43," /&gt;")</f>
        <v xml:space="preserve">    &lt;piechart percentage=30 /&gt;</v>
      </c>
    </row>
    <row r="57" spans="1:3" x14ac:dyDescent="0.25">
      <c r="A57" s="26"/>
      <c r="C57" s="3" t="str">
        <f>"  &lt;/Analysis&gt;"</f>
        <v xml:space="preserve">  &lt;/Analysis&gt;</v>
      </c>
    </row>
    <row r="58" spans="1:3" s="21" customFormat="1" x14ac:dyDescent="0.25">
      <c r="A58" s="28" t="s">
        <v>70</v>
      </c>
      <c r="B58" s="20" t="str">
        <f>CONCATENATE(B19," (T;T)")</f>
        <v>C677T (T;T)</v>
      </c>
      <c r="C58" s="21" t="str">
        <f>CONCATENATE("&lt;# ",B58," #&gt;")</f>
        <v>&lt;# C677T (T;T) #&gt;</v>
      </c>
    </row>
    <row r="59" spans="1:3" x14ac:dyDescent="0.25">
      <c r="A59" s="3" t="s">
        <v>21</v>
      </c>
      <c r="B59" s="29" t="str">
        <f>K43</f>
        <v>NC_000001.10:g.[11856378G&gt;A];[11856378G&gt;A]</v>
      </c>
      <c r="C59" s="10"/>
    </row>
    <row r="60" spans="1:3" x14ac:dyDescent="0.25">
      <c r="A60" s="3" t="s">
        <v>72</v>
      </c>
      <c r="B60" s="29" t="str">
        <f>L44</f>
        <v>NC_000001.10:g.[11854476=];[11854476=]</v>
      </c>
      <c r="C60" s="3" t="str">
        <f>CONCATENATE("  &lt;Analysis name=",CHAR(34),B58,CHAR(34))</f>
        <v xml:space="preserve">  &lt;Analysis name="C677T (T;T)"</v>
      </c>
    </row>
    <row r="61" spans="1:3" x14ac:dyDescent="0.25">
      <c r="A61" s="5" t="s">
        <v>75</v>
      </c>
      <c r="B61" s="2" t="str">
        <f>CONCATENATE("People with this variant have two copies of the ",B22," variant. This substitution of a single nucleotide is known as a missense mutation.")</f>
        <v>People with this variant have two copies of the [C677T](http://gnomad.broadinstitute.org/variant/1-11856378-G-A) variant. This substitution of a single nucleotide is known as a missense mutation.</v>
      </c>
      <c r="C61" s="3" t="str">
        <f>CONCATENATE("            case={  variantCall ",CHAR(40),CHAR(34),B59,CHAR(34),CHAR(41))</f>
        <v xml:space="preserve">            case={  variantCall ("NC_000001.10:g.[11856378G&gt;A];[11856378G&gt;A]")</v>
      </c>
    </row>
    <row r="62" spans="1:3" x14ac:dyDescent="0.25">
      <c r="A62" s="1" t="s">
        <v>28</v>
      </c>
      <c r="B62" s="2" t="s">
        <v>76</v>
      </c>
      <c r="C62" s="3" t="s">
        <v>71</v>
      </c>
    </row>
    <row r="63" spans="1:3" x14ac:dyDescent="0.25">
      <c r="A63" s="3" t="s">
        <v>73</v>
      </c>
      <c r="B63" s="29">
        <f>K46</f>
        <v>9</v>
      </c>
      <c r="C63" s="3" t="str">
        <f>CONCATENATE("                    variantCall ",CHAR(40),CHAR(34),B60,CHAR(34),CHAR(41))</f>
        <v xml:space="preserve">                    variantCall ("NC_000001.10:g.[11854476=];[11854476=]")</v>
      </c>
    </row>
    <row r="64" spans="1:3" x14ac:dyDescent="0.25">
      <c r="C64" s="3" t="str">
        <f>CONCATENATE("                  } &gt; ")</f>
        <v xml:space="preserve">                  } &gt; </v>
      </c>
    </row>
    <row r="66" spans="1:12" x14ac:dyDescent="0.25">
      <c r="A66" s="14"/>
      <c r="C66" s="3" t="s">
        <v>26</v>
      </c>
    </row>
    <row r="67" spans="1:12" x14ac:dyDescent="0.25">
      <c r="A67" s="26"/>
    </row>
    <row r="68" spans="1:12" x14ac:dyDescent="0.25">
      <c r="A68" s="14"/>
      <c r="C68" s="3" t="str">
        <f>CONCATENATE("    ",B61)</f>
        <v xml:space="preserve">    People with this variant have two copies of the [C677T](http://gnomad.broadinstitute.org/variant/1-11856378-G-A) variant. This substitution of a single nucleotide is known as a missense mutation.</v>
      </c>
    </row>
    <row r="69" spans="1:12" x14ac:dyDescent="0.25">
      <c r="A69" s="14"/>
    </row>
    <row r="70" spans="1:12" x14ac:dyDescent="0.25">
      <c r="A70" s="26"/>
      <c r="C70" s="3" t="s">
        <v>29</v>
      </c>
    </row>
    <row r="71" spans="1:12" x14ac:dyDescent="0.25">
      <c r="A71" s="14"/>
    </row>
    <row r="72" spans="1:12" x14ac:dyDescent="0.25">
      <c r="A72" s="14"/>
      <c r="C72" s="3" t="str">
        <f>CONCATENATE(B62)</f>
        <v xml:space="preserve">    People with the following mutations have a drastically reduced efficacy of processing folate ([30% of normal function)](https://www.ncbi.nlm.nih.gov/pubmed/25902009).  In ME/CFS, [hypomethylation](http://dx.doi.org/10.4172/2155-9899.1000228), which is greatly affected by the vitamins B12 and folate, is seen in a majority of certain immune cells. The low B12 and higher homocysteine levels correlate significantly with ratings of [mental fatigue](https://www.ncbi.nlm.nih.gov/pubmed/25902009).
    # What should I do about this?
    Most people with the moderate loss of function variant may benefit from supplementing their diets with an [oral folic acid](https://www.ncbi.nlm.nih.gov/pubmed/25902009) supplement. However, opioid analgesics and other drugs that have to be demethylated (the removal of one methyl CH3 group) as part of their metabolism negatively impact MTHFR function.  Consult your physician. </v>
      </c>
    </row>
    <row r="73" spans="1:12" x14ac:dyDescent="0.25">
      <c r="A73" s="14"/>
    </row>
    <row r="74" spans="1:12" x14ac:dyDescent="0.25">
      <c r="A74" s="14"/>
      <c r="C74" s="3" t="s">
        <v>30</v>
      </c>
    </row>
    <row r="75" spans="1:12" x14ac:dyDescent="0.25">
      <c r="A75" s="26"/>
    </row>
    <row r="76" spans="1:12" x14ac:dyDescent="0.25">
      <c r="A76" s="26"/>
      <c r="C76" s="3" t="str">
        <f>CONCATENATE( "    &lt;piechart percentage=",B63," /&gt;")</f>
        <v xml:space="preserve">    &lt;piechart percentage=9 /&gt;</v>
      </c>
    </row>
    <row r="77" spans="1:12" x14ac:dyDescent="0.25">
      <c r="A77" s="26"/>
      <c r="C77" s="3" t="str">
        <f>"  &lt;/Analysis&gt;"</f>
        <v xml:space="preserve">  &lt;/Analysis&gt;</v>
      </c>
    </row>
    <row r="78" spans="1:12" s="21" customFormat="1" x14ac:dyDescent="0.25">
      <c r="A78" s="28" t="s">
        <v>70</v>
      </c>
      <c r="B78" s="20" t="str">
        <f>CONCATENATE(B28," (A;C)")</f>
        <v>A1298C (A;C)</v>
      </c>
      <c r="C78" s="21" t="str">
        <f>CONCATENATE("&lt;# ",B78," #&gt;")</f>
        <v>&lt;# A1298C (A;C) #&gt;</v>
      </c>
    </row>
    <row r="79" spans="1:12" s="10" customFormat="1" x14ac:dyDescent="0.25">
      <c r="A79" s="3" t="s">
        <v>21</v>
      </c>
      <c r="B79" s="29" t="str">
        <f>K44</f>
        <v>NC_000001.10:g.[11856378=];[11856378=]</v>
      </c>
      <c r="J79" s="3"/>
      <c r="K79" s="22"/>
      <c r="L79" s="22"/>
    </row>
    <row r="80" spans="1:12" x14ac:dyDescent="0.25">
      <c r="A80" s="3" t="s">
        <v>72</v>
      </c>
      <c r="B80" s="29" t="str">
        <f>L42</f>
        <v>NC_000001.10:g.[11854476T&gt;G];[11854476=]</v>
      </c>
      <c r="C80" s="3" t="str">
        <f>CONCATENATE("  &lt;Analysis name=",CHAR(34),B78,CHAR(34))</f>
        <v xml:space="preserve">  &lt;Analysis name="A1298C (A;C)"</v>
      </c>
      <c r="K80" s="15"/>
      <c r="L80" s="22"/>
    </row>
    <row r="81" spans="1:12" x14ac:dyDescent="0.25">
      <c r="A81" s="5" t="s">
        <v>27</v>
      </c>
      <c r="B81" s="2" t="str">
        <f>CONCATENATE("People with this variant have one copy of the ",B31," variant. This substitution of a single nucleotide is known as a missense mutation.")</f>
        <v>People with this variant have one copy of the [A1298C](https://www.ncbi.nlm.nih.gov/projects/SNP/snp_ref.cgi?rs=1801131) variant. This substitution of a single nucleotide is known as a missense mutation.</v>
      </c>
      <c r="C81" s="3" t="str">
        <f>CONCATENATE("            case={  variantCall ",CHAR(40),CHAR(34),B79,CHAR(34),CHAR(41))</f>
        <v xml:space="preserve">            case={  variantCall ("NC_000001.10:g.[11856378=];[11856378=]")</v>
      </c>
      <c r="K81" s="15"/>
      <c r="L81" s="22"/>
    </row>
    <row r="82" spans="1:12" x14ac:dyDescent="0.25">
      <c r="A82" s="1" t="s">
        <v>28</v>
      </c>
      <c r="B82" s="2" t="s">
        <v>76</v>
      </c>
      <c r="C82" s="3" t="s">
        <v>71</v>
      </c>
      <c r="K82" s="15"/>
      <c r="L82" s="15"/>
    </row>
    <row r="83" spans="1:12" x14ac:dyDescent="0.25">
      <c r="A83" s="3" t="s">
        <v>73</v>
      </c>
      <c r="B83" s="29">
        <f>L45</f>
        <v>20</v>
      </c>
      <c r="C83" s="3" t="str">
        <f>CONCATENATE("                    variantCall ",CHAR(40),CHAR(34),B80,CHAR(34),CHAR(41))</f>
        <v xml:space="preserve">                    variantCall ("NC_000001.10:g.[11854476T&gt;G];[11854476=]")</v>
      </c>
      <c r="K83" s="15"/>
      <c r="L83" s="15"/>
    </row>
    <row r="84" spans="1:12" x14ac:dyDescent="0.25">
      <c r="C84" s="3" t="str">
        <f>CONCATENATE("                  } &gt; ")</f>
        <v xml:space="preserve">                  } &gt; </v>
      </c>
      <c r="K84" s="2"/>
      <c r="L84" s="2"/>
    </row>
    <row r="85" spans="1:12" x14ac:dyDescent="0.25">
      <c r="K85" s="15"/>
      <c r="L85" s="15"/>
    </row>
    <row r="86" spans="1:12" x14ac:dyDescent="0.25">
      <c r="A86" s="14"/>
      <c r="C86" s="3" t="s">
        <v>26</v>
      </c>
      <c r="K86" s="2"/>
      <c r="L86" s="2"/>
    </row>
    <row r="87" spans="1:12" x14ac:dyDescent="0.25">
      <c r="A87" s="26"/>
      <c r="K87" s="2"/>
      <c r="L87" s="2"/>
    </row>
    <row r="88" spans="1:12" x14ac:dyDescent="0.25">
      <c r="A88" s="14"/>
      <c r="C88" s="3" t="str">
        <f>CONCATENATE("    ",B81)</f>
        <v xml:space="preserve">    People with this variant have one copy of the [A1298C](https://www.ncbi.nlm.nih.gov/projects/SNP/snp_ref.cgi?rs=1801131) variant. This substitution of a single nucleotide is known as a missense mutation.</v>
      </c>
    </row>
    <row r="89" spans="1:12" x14ac:dyDescent="0.25">
      <c r="A89" s="14"/>
    </row>
    <row r="90" spans="1:12" x14ac:dyDescent="0.25">
      <c r="A90" s="26"/>
      <c r="C90" s="3" t="s">
        <v>29</v>
      </c>
    </row>
    <row r="91" spans="1:12" x14ac:dyDescent="0.25">
      <c r="A91" s="14"/>
    </row>
    <row r="92" spans="1:12" x14ac:dyDescent="0.25">
      <c r="A92" s="14"/>
      <c r="C92" s="3" t="str">
        <f>CONCATENATE(B82)</f>
        <v xml:space="preserve">    People with the following mutations have a drastically reduced efficacy of processing folate ([30% of normal function)](https://www.ncbi.nlm.nih.gov/pubmed/25902009).  In ME/CFS, [hypomethylation](http://dx.doi.org/10.4172/2155-9899.1000228), which is greatly affected by the vitamins B12 and folate, is seen in a majority of certain immune cells. The low B12 and higher homocysteine levels correlate significantly with ratings of [mental fatigue](https://www.ncbi.nlm.nih.gov/pubmed/25902009).
    # What should I do about this?
    Most people with the moderate loss of function variant may benefit from supplementing their diets with an [oral folic acid](https://www.ncbi.nlm.nih.gov/pubmed/25902009) supplement. However, opioid analgesics and other drugs that have to be demethylated (the removal of one methyl CH3 group) as part of their metabolism negatively impact MTHFR function.  Consult your physician. </v>
      </c>
    </row>
    <row r="93" spans="1:12" x14ac:dyDescent="0.25">
      <c r="A93" s="14"/>
    </row>
    <row r="94" spans="1:12" x14ac:dyDescent="0.25">
      <c r="A94" s="14"/>
      <c r="C94" s="3" t="s">
        <v>30</v>
      </c>
    </row>
    <row r="95" spans="1:12" x14ac:dyDescent="0.25">
      <c r="A95" s="26"/>
    </row>
    <row r="96" spans="1:12" x14ac:dyDescent="0.25">
      <c r="A96" s="26"/>
      <c r="C96" s="3" t="str">
        <f>CONCATENATE( "    &lt;piechart percentage=",B83," /&gt;")</f>
        <v xml:space="preserve">    &lt;piechart percentage=20 /&gt;</v>
      </c>
    </row>
    <row r="97" spans="1:3" x14ac:dyDescent="0.25">
      <c r="A97" s="26"/>
      <c r="C97" s="3" t="str">
        <f>"  &lt;/Analysis&gt;"</f>
        <v xml:space="preserve">  &lt;/Analysis&gt;</v>
      </c>
    </row>
    <row r="98" spans="1:3" s="21" customFormat="1" x14ac:dyDescent="0.25">
      <c r="A98" s="28" t="s">
        <v>70</v>
      </c>
      <c r="B98" s="20" t="str">
        <f>CONCATENATE(B28," (C;C)")</f>
        <v>A1298C (C;C)</v>
      </c>
      <c r="C98" s="21" t="str">
        <f>CONCATENATE("&lt;# ",B98," #&gt;")</f>
        <v>&lt;# A1298C (C;C) #&gt;</v>
      </c>
    </row>
    <row r="99" spans="1:3" x14ac:dyDescent="0.25">
      <c r="A99" s="3" t="s">
        <v>21</v>
      </c>
      <c r="B99" s="29" t="str">
        <f>K44</f>
        <v>NC_000001.10:g.[11856378=];[11856378=]</v>
      </c>
      <c r="C99" s="10"/>
    </row>
    <row r="100" spans="1:3" x14ac:dyDescent="0.25">
      <c r="A100" s="3" t="s">
        <v>72</v>
      </c>
      <c r="B100" s="29" t="str">
        <f>L43</f>
        <v>NC_000001.10:g.[11854476T&gt;G];[11854476T&gt;G]</v>
      </c>
      <c r="C100" s="3" t="str">
        <f>CONCATENATE("  &lt;Analysis name=",CHAR(34),B98,CHAR(34))</f>
        <v xml:space="preserve">  &lt;Analysis name="A1298C (C;C)"</v>
      </c>
    </row>
    <row r="101" spans="1:3" x14ac:dyDescent="0.25">
      <c r="A101" s="5" t="s">
        <v>75</v>
      </c>
      <c r="B101" s="2" t="str">
        <f>CONCATENATE("People with this variant have two copies of the ",B31," variant. This substitution of a single nucleotide is known as a missense mutation.")</f>
        <v>People with this variant have two copies of the [A1298C](https://www.ncbi.nlm.nih.gov/projects/SNP/snp_ref.cgi?rs=1801131) variant. This substitution of a single nucleotide is known as a missense mutation.</v>
      </c>
      <c r="C101" s="3" t="str">
        <f>CONCATENATE("            case={  variantCall ",CHAR(40),CHAR(34),B99,CHAR(34),CHAR(41))</f>
        <v xml:space="preserve">            case={  variantCall ("NC_000001.10:g.[11856378=];[11856378=]")</v>
      </c>
    </row>
    <row r="102" spans="1:3" x14ac:dyDescent="0.25">
      <c r="A102" s="1" t="s">
        <v>28</v>
      </c>
      <c r="B102" s="2" t="s">
        <v>74</v>
      </c>
      <c r="C102" s="3" t="s">
        <v>71</v>
      </c>
    </row>
    <row r="103" spans="1:3" x14ac:dyDescent="0.25">
      <c r="A103" s="3" t="s">
        <v>73</v>
      </c>
      <c r="B103" s="29">
        <f>L46</f>
        <v>4</v>
      </c>
      <c r="C103" s="3" t="str">
        <f>CONCATENATE("                    variantCall ",CHAR(40),CHAR(34),B100,CHAR(34),CHAR(41))</f>
        <v xml:space="preserve">                    variantCall ("NC_000001.10:g.[11854476T&gt;G];[11854476T&gt;G]")</v>
      </c>
    </row>
    <row r="104" spans="1:3" x14ac:dyDescent="0.25">
      <c r="C104" s="3" t="str">
        <f>CONCATENATE("                  } &gt; ")</f>
        <v xml:space="preserve">                  } &gt; </v>
      </c>
    </row>
    <row r="106" spans="1:3" x14ac:dyDescent="0.25">
      <c r="A106" s="14"/>
      <c r="C106" s="3" t="s">
        <v>26</v>
      </c>
    </row>
    <row r="107" spans="1:3" x14ac:dyDescent="0.25">
      <c r="A107" s="26"/>
    </row>
    <row r="108" spans="1:3" x14ac:dyDescent="0.25">
      <c r="A108" s="14"/>
      <c r="C108" s="3" t="str">
        <f>CONCATENATE("    ",B101)</f>
        <v xml:space="preserve">    People with this variant have two copies of the [A1298C](https://www.ncbi.nlm.nih.gov/projects/SNP/snp_ref.cgi?rs=1801131) variant. This substitution of a single nucleotide is known as a missense mutation.</v>
      </c>
    </row>
    <row r="109" spans="1:3" x14ac:dyDescent="0.25">
      <c r="A109" s="14"/>
    </row>
    <row r="110" spans="1:3" x14ac:dyDescent="0.25">
      <c r="A110" s="26"/>
      <c r="C110" s="3" t="s">
        <v>29</v>
      </c>
    </row>
    <row r="111" spans="1:3" x14ac:dyDescent="0.25">
      <c r="A111" s="14"/>
    </row>
    <row r="112" spans="1:3" x14ac:dyDescent="0.25">
      <c r="A112" s="14"/>
      <c r="C112" s="3" t="str">
        <f>CONCATENATE(B102)</f>
        <v xml:space="preserve">    People with the following variants have a slightly reduced efficacy of processing folate [(82% of normal function)](https://www.ncbi.nlm.nih.gov/pubmed/25902009). In ME/CFS, [hypomethylation](http://dx.doi.org/10.4172/2155-9899.1000228), which is greatly affected by the vitamins B12 and folate, is seen in a majority of certain immune cells. The low B12 and higher homocysteine levels correlate significantly with ratings of [mental fatigue](https://www.ncbi.nlm.nih.gov/pubmed/25902009).
    # What should I do about this?
    Some people with mild loss of function variant may benefit from supplementing their diets with an [oral folic acid](https://www.ncbi.nlm.nih.gov/pubmed/25902009) supplement. Consult your physician. </v>
      </c>
    </row>
    <row r="113" spans="1:3" x14ac:dyDescent="0.25">
      <c r="A113" s="14"/>
    </row>
    <row r="114" spans="1:3" x14ac:dyDescent="0.25">
      <c r="A114" s="14"/>
      <c r="C114" s="3" t="s">
        <v>30</v>
      </c>
    </row>
    <row r="115" spans="1:3" x14ac:dyDescent="0.25">
      <c r="A115" s="26"/>
    </row>
    <row r="116" spans="1:3" x14ac:dyDescent="0.25">
      <c r="A116" s="26"/>
      <c r="C116" s="3" t="str">
        <f>CONCATENATE( "    &lt;piechart percentage=",B103," /&gt;")</f>
        <v xml:space="preserve">    &lt;piechart percentage=4 /&gt;</v>
      </c>
    </row>
    <row r="117" spans="1:3" x14ac:dyDescent="0.25">
      <c r="A117" s="26"/>
      <c r="C117" s="3" t="str">
        <f>"  &lt;/Analysis&gt;"</f>
        <v xml:space="preserve">  &lt;/Analysis&gt;</v>
      </c>
    </row>
    <row r="118" spans="1:3" s="21" customFormat="1" x14ac:dyDescent="0.25">
      <c r="A118" s="28" t="s">
        <v>70</v>
      </c>
      <c r="B118" s="20" t="str">
        <f>CONCATENATE(B38," and ",B78)</f>
        <v>C677T (C;T) and A1298C (A;C)</v>
      </c>
      <c r="C118" s="21" t="str">
        <f>CONCATENATE("&lt;# ",B118," #&gt;")</f>
        <v>&lt;# C677T (C;T) and A1298C (A;C) #&gt;</v>
      </c>
    </row>
    <row r="119" spans="1:3" x14ac:dyDescent="0.25">
      <c r="A119" s="14" t="s">
        <v>21</v>
      </c>
      <c r="B119" s="15" t="str">
        <f>K42</f>
        <v>NC_000001.10:g.[11856378G&gt;A];[11856378=]</v>
      </c>
    </row>
    <row r="120" spans="1:3" x14ac:dyDescent="0.25">
      <c r="A120" s="14" t="s">
        <v>72</v>
      </c>
      <c r="B120" s="15" t="str">
        <f>L42</f>
        <v>NC_000001.10:g.[11854476T&gt;G];[11854476=]</v>
      </c>
      <c r="C120" s="3" t="str">
        <f>CONCATENATE("  &lt;Analysis name=",CHAR(34),B118,CHAR(34))</f>
        <v xml:space="preserve">  &lt;Analysis name="C677T (C;T) and A1298C (A;C)"</v>
      </c>
    </row>
    <row r="121" spans="1:3" x14ac:dyDescent="0.25">
      <c r="A121" s="26" t="s">
        <v>75</v>
      </c>
      <c r="B121" s="15" t="str">
        <f>CONCATENATE("People with this variant have two copies of the ",B51," variant. This substitution of a single nucleotide is known as a missense mutation.")</f>
        <v>People with this variant have two copies of the  variant. This substitution of a single nucleotide is known as a missense mutation.</v>
      </c>
      <c r="C121" s="3" t="str">
        <f>CONCATENATE("            case={  variantCall ",CHAR(40),CHAR(34),B119,CHAR(34),CHAR(41))</f>
        <v xml:space="preserve">            case={  variantCall ("NC_000001.10:g.[11856378G&gt;A];[11856378=]")</v>
      </c>
    </row>
    <row r="122" spans="1:3" x14ac:dyDescent="0.25">
      <c r="A122" s="26" t="s">
        <v>28</v>
      </c>
      <c r="B122" s="15" t="s">
        <v>77</v>
      </c>
      <c r="C122" s="3" t="s">
        <v>71</v>
      </c>
    </row>
    <row r="123" spans="1:3" x14ac:dyDescent="0.25">
      <c r="A123" s="26" t="s">
        <v>73</v>
      </c>
      <c r="B123" s="15">
        <v>6</v>
      </c>
      <c r="C123" s="3" t="str">
        <f>CONCATENATE("                    variantCall ",CHAR(40),CHAR(34),B120,CHAR(34),CHAR(41))</f>
        <v xml:space="preserve">                    variantCall ("NC_000001.10:g.[11854476T&gt;G];[11854476=]")</v>
      </c>
    </row>
    <row r="124" spans="1:3" x14ac:dyDescent="0.25">
      <c r="A124" s="26"/>
      <c r="C124" s="3" t="str">
        <f>CONCATENATE("                  } &gt; ")</f>
        <v xml:space="preserve">                  } &gt; </v>
      </c>
    </row>
    <row r="125" spans="1:3" x14ac:dyDescent="0.25">
      <c r="A125" s="26"/>
    </row>
    <row r="126" spans="1:3" x14ac:dyDescent="0.25">
      <c r="A126" s="26"/>
      <c r="C126" s="3" t="s">
        <v>26</v>
      </c>
    </row>
    <row r="127" spans="1:3" x14ac:dyDescent="0.25">
      <c r="A127" s="14"/>
    </row>
    <row r="128" spans="1:3" x14ac:dyDescent="0.25">
      <c r="A128" s="14"/>
      <c r="C128" s="3" t="str">
        <f>CONCATENATE("    ",B121)</f>
        <v xml:space="preserve">    People with this variant have two copies of the  variant. This substitution of a single nucleotide is known as a missense mutation.</v>
      </c>
    </row>
    <row r="129" spans="1:3" x14ac:dyDescent="0.25">
      <c r="A129" s="14"/>
    </row>
    <row r="130" spans="1:3" x14ac:dyDescent="0.25">
      <c r="A130" s="14"/>
      <c r="C130" s="3" t="s">
        <v>29</v>
      </c>
    </row>
    <row r="131" spans="1:3" x14ac:dyDescent="0.25">
      <c r="A131" s="14"/>
    </row>
    <row r="132" spans="1:3" x14ac:dyDescent="0.25">
      <c r="A132" s="26"/>
      <c r="C132" s="3" t="str">
        <f>CONCATENATE(B122)</f>
        <v xml:space="preserve">
    People with the following mutations have a drastically reduced efficiency of processing folate ([15% of normal function](https://www.ncbi.nlm.nih.gov/pubmed/25902009).  The elevated homocysteine levels are associated with low thyroid hormones (hypothyroidism), chronic conditions like obesity, diabetes, high cholesterol, physical inactivity, and high blood pressure. However, very high homocysteine levels are rarely caused by only these variants. 
    In ME/CFS, [hypomethylation](http://dx.doi.org/10.4172/2155-9899.1000228), which is greatly affected by the vitamins B12 and folate, is seen in a majority of certain immune cells. The low B12 and very elevated homocysteine levels correlate significantly with ratings of [mental fatigue](https://www.ncbi.nlm.nih.gov/pubmed/25902009).
    # What should I do about this?
    It is strongly recommended that people in this group take an [oral folic acid](https://www.ncbi.nlm.nih.gov/pubmed/25902009) supplement on a daily basis to provide blood saturations high enough to be a remedy for good and safe relief in CFS patients. However, opioid analgesics and other drugs that have to be demethylated (the removal of one methyl CH3 group) as part of their metabolism negatively impact MTHFR function. You should also be carefully evaluated for other factors known to affect [homocysteine](https://medlineplus.gov/druginfo/natural/1017.html), such as:
    * Eye lens dislocations
    * Unusual (Marfan type) body shape
    * Stroke
    * Blood clotting abnormalities
    * Low thyroid hormones (hypothyroidism)</v>
      </c>
    </row>
    <row r="133" spans="1:3" x14ac:dyDescent="0.25">
      <c r="A133" s="26"/>
    </row>
    <row r="134" spans="1:3" x14ac:dyDescent="0.25">
      <c r="A134" s="26"/>
      <c r="C134" s="3" t="s">
        <v>30</v>
      </c>
    </row>
    <row r="135" spans="1:3" x14ac:dyDescent="0.25">
      <c r="A135" s="26"/>
    </row>
    <row r="136" spans="1:3" x14ac:dyDescent="0.25">
      <c r="A136" s="26"/>
      <c r="C136" s="3" t="str">
        <f>CONCATENATE( "    &lt;piechart percentage=",B123," /&gt;")</f>
        <v xml:space="preserve">    &lt;piechart percentage=6 /&gt;</v>
      </c>
    </row>
    <row r="137" spans="1:3" x14ac:dyDescent="0.25">
      <c r="A137" s="26"/>
      <c r="C137" s="3" t="str">
        <f>"  &lt;/Analysis&gt;"</f>
        <v xml:space="preserve">  &lt;/Analysis&gt;</v>
      </c>
    </row>
    <row r="138" spans="1:3" s="21" customFormat="1" x14ac:dyDescent="0.25">
      <c r="A138" s="28" t="s">
        <v>70</v>
      </c>
      <c r="B138" s="20" t="s">
        <v>85</v>
      </c>
      <c r="C138" s="21" t="str">
        <f>CONCATENATE("&lt;# ",B138," #&gt;")</f>
        <v>&lt;# Wild type #&gt;</v>
      </c>
    </row>
    <row r="139" spans="1:3" x14ac:dyDescent="0.25">
      <c r="A139" s="14" t="s">
        <v>21</v>
      </c>
      <c r="B139" s="15" t="str">
        <f>K44</f>
        <v>NC_000001.10:g.[11856378=];[11856378=]</v>
      </c>
    </row>
    <row r="140" spans="1:3" x14ac:dyDescent="0.25">
      <c r="A140" s="14" t="s">
        <v>72</v>
      </c>
      <c r="B140" s="15" t="str">
        <f>L44</f>
        <v>NC_000001.10:g.[11854476=];[11854476=]</v>
      </c>
      <c r="C140" s="3" t="str">
        <f>CONCATENATE("  &lt;Analysis name=",CHAR(34),B138,CHAR(34))</f>
        <v xml:space="preserve">  &lt;Analysis name="Wild type"</v>
      </c>
    </row>
    <row r="141" spans="1:3" x14ac:dyDescent="0.25">
      <c r="A141" s="26" t="s">
        <v>75</v>
      </c>
      <c r="B141" s="15" t="str">
        <f>CONCATENATE("Your ",B12," gene has no variants. A normal gene is referred to as a ",CHAR(34),"wild-type",CHAR(34)," gene.")</f>
        <v>Your MTHFR gene has no variants. A normal gene is referred to as a "wild-type" gene.</v>
      </c>
      <c r="C141" s="3" t="str">
        <f>CONCATENATE("            case={  variantCall ",CHAR(40),CHAR(34),B139,CHAR(34),CHAR(41))</f>
        <v xml:space="preserve">            case={  variantCall ("NC_000001.10:g.[11856378=];[11856378=]")</v>
      </c>
    </row>
    <row r="142" spans="1:3" x14ac:dyDescent="0.25">
      <c r="A142" s="26" t="s">
        <v>28</v>
      </c>
      <c r="C142" s="3" t="s">
        <v>71</v>
      </c>
    </row>
    <row r="143" spans="1:3" x14ac:dyDescent="0.25">
      <c r="A143" s="26" t="s">
        <v>73</v>
      </c>
      <c r="B143" s="15">
        <v>61</v>
      </c>
      <c r="C143" s="3" t="str">
        <f>CONCATENATE("                    variantCall ",CHAR(40),CHAR(34),B140,CHAR(34),CHAR(41))</f>
        <v xml:space="preserve">                    variantCall ("NC_000001.10:g.[11854476=];[11854476=]")</v>
      </c>
    </row>
    <row r="144" spans="1:3" x14ac:dyDescent="0.25">
      <c r="A144" s="26"/>
      <c r="C144" s="3" t="str">
        <f>CONCATENATE("                  } &gt; ")</f>
        <v xml:space="preserve">                  } &gt; </v>
      </c>
    </row>
    <row r="145" spans="1:3" x14ac:dyDescent="0.25">
      <c r="A145" s="26"/>
    </row>
    <row r="146" spans="1:3" x14ac:dyDescent="0.25">
      <c r="A146" s="26"/>
      <c r="C146" s="3" t="s">
        <v>26</v>
      </c>
    </row>
    <row r="147" spans="1:3" x14ac:dyDescent="0.25">
      <c r="A147" s="14"/>
    </row>
    <row r="148" spans="1:3" x14ac:dyDescent="0.25">
      <c r="A148" s="14"/>
      <c r="C148" s="3" t="str">
        <f>CONCATENATE("    ",B141)</f>
        <v xml:space="preserve">    Your MTHFR gene has no variants. A normal gene is referred to as a "wild-type" gene.</v>
      </c>
    </row>
    <row r="149" spans="1:3" x14ac:dyDescent="0.25">
      <c r="A149" s="14"/>
    </row>
    <row r="150" spans="1:3" x14ac:dyDescent="0.25">
      <c r="A150" s="26"/>
      <c r="C150" s="3" t="s">
        <v>30</v>
      </c>
    </row>
    <row r="151" spans="1:3" x14ac:dyDescent="0.25">
      <c r="A151" s="26"/>
    </row>
    <row r="152" spans="1:3" x14ac:dyDescent="0.25">
      <c r="A152" s="26"/>
      <c r="C152" s="3" t="str">
        <f>CONCATENATE( "    &lt;piechart percentage=",B143," /&gt;")</f>
        <v xml:space="preserve">    &lt;piechart percentage=61 /&gt;</v>
      </c>
    </row>
    <row r="153" spans="1:3" x14ac:dyDescent="0.25">
      <c r="A153" s="26"/>
      <c r="C153" s="3" t="str">
        <f>"  &lt;/Analysis&gt;"</f>
        <v xml:space="preserve">  &lt;/Analysis&gt;</v>
      </c>
    </row>
    <row r="154" spans="1:3" s="21" customFormat="1" x14ac:dyDescent="0.25">
      <c r="A154" s="28" t="s">
        <v>70</v>
      </c>
      <c r="B154" s="20" t="s">
        <v>86</v>
      </c>
      <c r="C154" s="21" t="str">
        <f>CONCATENATE("&lt;# ",B154," #&gt;")</f>
        <v>&lt;# Unknown #&gt;</v>
      </c>
    </row>
    <row r="155" spans="1:3" x14ac:dyDescent="0.25">
      <c r="A155" s="14" t="s">
        <v>21</v>
      </c>
      <c r="B155" s="15">
        <f>K60</f>
        <v>0</v>
      </c>
    </row>
    <row r="156" spans="1:3" x14ac:dyDescent="0.25">
      <c r="A156" s="14" t="s">
        <v>72</v>
      </c>
      <c r="C156" s="3" t="str">
        <f>CONCATENATE("  &lt;Analysis name=",CHAR(34),B154,CHAR(34), " case=true&gt;")</f>
        <v xml:space="preserve">  &lt;Analysis name="Unknown" case=true&gt;</v>
      </c>
    </row>
    <row r="157" spans="1:3" x14ac:dyDescent="0.25">
      <c r="A157" s="26" t="s">
        <v>75</v>
      </c>
      <c r="B157" s="15" t="s">
        <v>31</v>
      </c>
    </row>
    <row r="158" spans="1:3" x14ac:dyDescent="0.25">
      <c r="A158" s="26" t="s">
        <v>73</v>
      </c>
      <c r="B158" s="15">
        <v>0</v>
      </c>
      <c r="C158" s="3" t="s">
        <v>26</v>
      </c>
    </row>
    <row r="159" spans="1:3" x14ac:dyDescent="0.25">
      <c r="A159" s="26"/>
    </row>
    <row r="160" spans="1:3" x14ac:dyDescent="0.25">
      <c r="A160" s="14"/>
      <c r="C160" s="3" t="str">
        <f>CONCATENATE("    ",B157)</f>
        <v xml:space="preserve">    The effect is unknown.</v>
      </c>
    </row>
    <row r="161" spans="1:3" x14ac:dyDescent="0.25">
      <c r="A161" s="14"/>
    </row>
    <row r="162" spans="1:3" x14ac:dyDescent="0.25">
      <c r="A162" s="14"/>
      <c r="C162" s="3" t="s">
        <v>30</v>
      </c>
    </row>
    <row r="163" spans="1:3" x14ac:dyDescent="0.25">
      <c r="A163" s="26"/>
    </row>
    <row r="164" spans="1:3" x14ac:dyDescent="0.25">
      <c r="A164" s="26"/>
      <c r="C164" s="3" t="str">
        <f>CONCATENATE( "    &lt;piechart percentage=",B158," /&gt;")</f>
        <v xml:space="preserve">    &lt;piechart percentage=0 /&gt;</v>
      </c>
    </row>
    <row r="165" spans="1:3" x14ac:dyDescent="0.25">
      <c r="A165" s="26"/>
      <c r="C165" s="3" t="str">
        <f>"  &lt;/Analysis&gt;"</f>
        <v xml:space="preserve">  &lt;/Analysis&gt;</v>
      </c>
    </row>
    <row r="166" spans="1:3" x14ac:dyDescent="0.25">
      <c r="A166" s="14"/>
      <c r="C166" s="31" t="s">
        <v>78</v>
      </c>
    </row>
    <row r="167" spans="1:3" s="21" customFormat="1" x14ac:dyDescent="0.25">
      <c r="A167" s="19"/>
      <c r="B167" s="20"/>
      <c r="C167" s="35"/>
    </row>
    <row r="168" spans="1:3" x14ac:dyDescent="0.25">
      <c r="A168" s="14" t="s">
        <v>79</v>
      </c>
      <c r="B168" s="15" t="s">
        <v>80</v>
      </c>
      <c r="C168" s="10" t="str">
        <f>CONCATENATE("&lt;# ",A168," ",B168," #&gt;")</f>
        <v>&lt;# Tissues endocrineSystem and pancreas #&gt;</v>
      </c>
    </row>
    <row r="169" spans="1:3" x14ac:dyDescent="0.25">
      <c r="A169" s="14"/>
    </row>
    <row r="170" spans="1:3" x14ac:dyDescent="0.25">
      <c r="A170" s="14"/>
      <c r="B170" s="15" t="s">
        <v>81</v>
      </c>
      <c r="C170" s="31" t="str">
        <f>CONCATENATE("&lt;TopicBar ",B170," /&gt;")</f>
        <v>&lt;TopicBar endocrineSystem pancreas /&gt;</v>
      </c>
    </row>
    <row r="171" spans="1:3" x14ac:dyDescent="0.25">
      <c r="A171" s="14"/>
    </row>
    <row r="172" spans="1:3" x14ac:dyDescent="0.25">
      <c r="A172" s="14" t="s">
        <v>32</v>
      </c>
      <c r="B172" s="15" t="s">
        <v>33</v>
      </c>
      <c r="C172" s="10" t="str">
        <f>CONCATENATE("&lt;# ",A172," ",B172," #&gt;")</f>
        <v>&lt;# Symptoms fatigue D005221 memory problems D008569 inflamation D007249 #&gt;</v>
      </c>
    </row>
    <row r="173" spans="1:3" x14ac:dyDescent="0.25">
      <c r="A173" s="14"/>
    </row>
    <row r="174" spans="1:3" x14ac:dyDescent="0.25">
      <c r="A174" s="14"/>
      <c r="B174" s="15" t="s">
        <v>82</v>
      </c>
      <c r="C174" s="31" t="str">
        <f>CONCATENATE("&lt;TopicBar ",B174," /&gt;")</f>
        <v>&lt;TopicBar mesh_D005221 mesh_D008569 mesh_D007249 /&gt;</v>
      </c>
    </row>
    <row r="175" spans="1:3" x14ac:dyDescent="0.25">
      <c r="A175" s="14"/>
      <c r="C175" s="31"/>
    </row>
    <row r="176" spans="1:3" x14ac:dyDescent="0.25">
      <c r="A176" s="14" t="s">
        <v>48</v>
      </c>
      <c r="B176" s="15" t="s">
        <v>83</v>
      </c>
      <c r="C176" s="10" t="str">
        <f>CONCATENATE("&lt;# ",A176," ",B176," #&gt;")</f>
        <v>&lt;# Diseases depression D003866 hypothyroid D007037  #&gt;</v>
      </c>
    </row>
    <row r="177" spans="1:3" x14ac:dyDescent="0.25">
      <c r="A177" s="14"/>
    </row>
    <row r="178" spans="1:3" x14ac:dyDescent="0.25">
      <c r="A178" s="14"/>
      <c r="B178" s="15" t="s">
        <v>84</v>
      </c>
      <c r="C178" s="31" t="str">
        <f>CONCATENATE("&lt;TopicBar ",B178," /&gt;")</f>
        <v>&lt;TopicBar mesh_D003866 mesh_D007037  /&gt;</v>
      </c>
    </row>
    <row r="179" spans="1:3" x14ac:dyDescent="0.25">
      <c r="A179" s="14"/>
    </row>
    <row r="180" spans="1:3" s="21" customFormat="1" x14ac:dyDescent="0.25">
      <c r="A180" s="28"/>
      <c r="B180" s="20"/>
    </row>
    <row r="181" spans="1:3" x14ac:dyDescent="0.25">
      <c r="B181" s="30"/>
    </row>
    <row r="183" spans="1:3" x14ac:dyDescent="0.25">
      <c r="B183" s="30"/>
    </row>
    <row r="185" spans="1:3" x14ac:dyDescent="0.25">
      <c r="B185" s="30"/>
    </row>
    <row r="187" spans="1:3" x14ac:dyDescent="0.25">
      <c r="B187" s="30"/>
    </row>
    <row r="189" spans="1:3" x14ac:dyDescent="0.25">
      <c r="B189" s="3"/>
    </row>
    <row r="191" spans="1:3" x14ac:dyDescent="0.25">
      <c r="B191" s="3"/>
    </row>
    <row r="863" spans="3:3" x14ac:dyDescent="0.25">
      <c r="C863" s="3" t="str">
        <f>CONCATENATE("    This variant is a change at a specific point in the ",B854," gene from ",B863," to ",B864," resulting in incorrect ",B857,"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869" spans="3:3" x14ac:dyDescent="0.25">
      <c r="C869" s="3" t="str">
        <f>CONCATENATE("    This variant is a change at a specific point in the ",B854," gene from ",B869," to ",B870," resulting in incorrect ",B857,"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999" spans="3:3" x14ac:dyDescent="0.25">
      <c r="C999" s="3" t="str">
        <f>CONCATENATE("    This variant is a change at a specific point in the ",B990," gene from ",B999," to ",B1000," resulting in incorrect ",B993,"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005" spans="3:3" x14ac:dyDescent="0.25">
      <c r="C1005" s="3" t="str">
        <f>CONCATENATE("    This variant is a change at a specific point in the ",B990," gene from ",B1005," to ",B1006," resulting in incorrect ",B993,"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407" spans="3:3" x14ac:dyDescent="0.25">
      <c r="C1407" s="3" t="str">
        <f>CONCATENATE("    This variant is a change at a specific point in the ",B1398," gene from ",B1407," to ",B1408," resulting in incorrect ",B1401,"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413" spans="3:3" x14ac:dyDescent="0.25">
      <c r="C1413" s="3" t="str">
        <f>CONCATENATE("    This variant is a change at a specific point in the ",B1398," gene from ",B1413," to ",B1414," resulting in incorrect ",B1401,"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543" spans="3:3" x14ac:dyDescent="0.25">
      <c r="C1543" s="3" t="str">
        <f>CONCATENATE("    This variant is a change at a specific point in the ",B1534," gene from ",B1543," to ",B1544," resulting in incorrect ",B1537,"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549" spans="3:3" x14ac:dyDescent="0.25">
      <c r="C1549" s="3" t="str">
        <f>CONCATENATE("    This variant is a change at a specific point in the ",B1534," gene from ",B1549," to ",B1550," resulting in incorrect ",B1537,"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79" spans="3:3" x14ac:dyDescent="0.25">
      <c r="C1679" s="3" t="str">
        <f>CONCATENATE("    This variant is a change at a specific point in the ",B1670," gene from ",B1679," to ",B1680," resulting in incorrect ",B1673,"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85" spans="3:3" x14ac:dyDescent="0.25">
      <c r="C1685" s="3" t="str">
        <f>CONCATENATE("    This variant is a change at a specific point in the ",B1670," gene from ",B1685," to ",B1686," resulting in incorrect ",B1673,"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15" spans="3:3" x14ac:dyDescent="0.25">
      <c r="C1815" s="3" t="str">
        <f>CONCATENATE("    This variant is a change at a specific point in the ",B1806," gene from ",B1815," to ",B1816," resulting in incorrect ",B1809,"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21" spans="3:3" x14ac:dyDescent="0.25">
      <c r="C1821" s="3" t="str">
        <f>CONCATENATE("    This variant is a change at a specific point in the ",B1806," gene from ",B1821," to ",B1822," resulting in incorrect ",B1809,"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951" spans="3:3" x14ac:dyDescent="0.25">
      <c r="C1951" s="3" t="str">
        <f>CONCATENATE("    This variant is a change at a specific point in the ",B1942," gene from ",B1951," to ",B1952," resulting in incorrect ",B1945,"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957" spans="3:3" x14ac:dyDescent="0.25">
      <c r="C1957" s="3" t="str">
        <f>CONCATENATE("    This variant is a change at a specific point in the ",B1942," gene from ",B1957," to ",B1958," resulting in incorrect ",B1945,"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87" spans="3:3" x14ac:dyDescent="0.25">
      <c r="C2087" s="3" t="str">
        <f>CONCATENATE("    This variant is a change at a specific point in the ",B2078," gene from ",B2087," to ",B2088," resulting in incorrect ",B2081,"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93" spans="3:3" x14ac:dyDescent="0.25">
      <c r="C2093" s="3" t="str">
        <f>CONCATENATE("    This variant is a change at a specific point in the ",B2078," gene from ",B2093," to ",B2094," resulting in incorrect ",B2081,"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23" spans="3:3" x14ac:dyDescent="0.25">
      <c r="C2223" s="3" t="str">
        <f>CONCATENATE("    This variant is a change at a specific point in the ",B2214," gene from ",B2223," to ",B2224," resulting in incorrect ",B2217,"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29" spans="3:3" x14ac:dyDescent="0.25">
      <c r="C2229" s="3" t="str">
        <f>CONCATENATE("    This variant is a change at a specific point in the ",B2214," gene from ",B2229," to ",B2230," resulting in incorrect ",B2217,"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359" spans="3:3" x14ac:dyDescent="0.25">
      <c r="C2359" s="3" t="str">
        <f>CONCATENATE("    This variant is a change at a specific point in the ",B2350," gene from ",B2359," to ",B2360," resulting in incorrect ",B2353,"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365" spans="3:3" x14ac:dyDescent="0.25">
      <c r="C2365" s="3" t="str">
        <f>CONCATENATE("    This variant is a change at a specific point in the ",B2350," gene from ",B2365," to ",B2366," resulting in incorrect ",B2353," function. This substitution of a single nucleotide is known as a missense variant.")</f>
        <v xml:space="preserve">    This variant is a change at a specific point in the  gene from  to  resulting in incorrect  function. This substitution of a single nucleotide is known as a missense variant.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40DA-9F8F-4C0A-AD40-7FCDCB3E90F4}">
  <dimension ref="A1:AJ2425"/>
  <sheetViews>
    <sheetView topLeftCell="A19" workbookViewId="0">
      <selection activeCell="C238" sqref="C2:C238"/>
    </sheetView>
  </sheetViews>
  <sheetFormatPr defaultRowHeight="15.75" x14ac:dyDescent="0.25"/>
  <cols>
    <col min="1" max="1" width="16.28515625" style="3" customWidth="1"/>
    <col min="2" max="2" width="42.7109375" style="15" customWidth="1"/>
    <col min="3" max="6" width="9.140625" style="3"/>
    <col min="7" max="7" width="10.28515625" style="3" bestFit="1" customWidth="1"/>
    <col min="8" max="8" width="13" style="3" customWidth="1"/>
    <col min="9" max="9" width="12.7109375" style="3" customWidth="1"/>
    <col min="10" max="10" width="11.85546875" style="3" customWidth="1"/>
    <col min="11" max="11" width="12.85546875" style="3" customWidth="1"/>
    <col min="12" max="12" width="13.5703125" style="3" customWidth="1"/>
    <col min="13" max="13" width="12" style="3" customWidth="1"/>
    <col min="14" max="14" width="12.85546875" style="3" customWidth="1"/>
    <col min="15" max="16" width="9.140625" style="3"/>
    <col min="17" max="17" width="17.42578125" style="3" customWidth="1"/>
    <col min="18" max="18" width="15.5703125" style="3" customWidth="1"/>
    <col min="19" max="23" width="15.42578125" style="3" bestFit="1" customWidth="1"/>
    <col min="24" max="24" width="14.85546875" style="3" customWidth="1"/>
    <col min="25" max="25" width="16.7109375" style="3" customWidth="1"/>
    <col min="26" max="26" width="19.42578125" style="3" customWidth="1"/>
    <col min="27" max="27" width="18" style="3" customWidth="1"/>
    <col min="28" max="28" width="17.85546875" style="3" customWidth="1"/>
    <col min="29" max="29" width="16" style="3" customWidth="1"/>
    <col min="30" max="30" width="9.140625" style="3"/>
    <col min="31" max="31" width="12.85546875" style="3" bestFit="1" customWidth="1"/>
    <col min="32" max="32" width="11.7109375" style="3" bestFit="1" customWidth="1"/>
    <col min="33" max="16384" width="9.140625" style="3"/>
  </cols>
  <sheetData>
    <row r="1" spans="1:36" x14ac:dyDescent="0.25">
      <c r="A1" s="8" t="s">
        <v>0</v>
      </c>
      <c r="B1" s="9" t="s">
        <v>1</v>
      </c>
      <c r="C1" s="8" t="s">
        <v>2</v>
      </c>
      <c r="H1" s="10"/>
      <c r="I1" s="11"/>
      <c r="J1" s="10"/>
      <c r="K1" s="10"/>
      <c r="L1" s="10"/>
      <c r="Y1" s="12"/>
      <c r="AC1" s="12"/>
      <c r="AF1" s="13"/>
      <c r="AG1" s="13"/>
      <c r="AJ1" s="13"/>
    </row>
    <row r="2" spans="1:36" x14ac:dyDescent="0.25">
      <c r="A2" s="14" t="s">
        <v>35</v>
      </c>
      <c r="B2" s="2" t="s">
        <v>36</v>
      </c>
      <c r="C2" s="3" t="str">
        <f>CONCATENATE("&lt;",A2," ",B2," /&gt;")</f>
        <v>&lt;Gene_Name CHRNA3 /&gt;</v>
      </c>
      <c r="D2" s="15"/>
      <c r="H2" s="10"/>
      <c r="I2" s="11"/>
      <c r="J2" s="10"/>
      <c r="K2" s="10"/>
      <c r="L2" s="10"/>
      <c r="Y2" s="12"/>
      <c r="AC2" s="12"/>
      <c r="AF2" s="13"/>
      <c r="AG2" s="13"/>
      <c r="AJ2" s="13"/>
    </row>
    <row r="3" spans="1:36" x14ac:dyDescent="0.25">
      <c r="A3" s="8"/>
      <c r="B3" s="2"/>
      <c r="C3" s="8"/>
      <c r="D3" s="15"/>
      <c r="H3" s="10"/>
      <c r="I3" s="11"/>
      <c r="J3" s="10"/>
      <c r="K3" s="10"/>
      <c r="L3" s="10"/>
      <c r="Y3" s="12"/>
      <c r="AC3" s="12"/>
      <c r="AF3" s="13"/>
      <c r="AG3" s="13"/>
      <c r="AJ3" s="13"/>
    </row>
    <row r="4" spans="1:36" ht="17.25" x14ac:dyDescent="0.3">
      <c r="A4" s="14" t="s">
        <v>37</v>
      </c>
      <c r="B4" s="4" t="s">
        <v>38</v>
      </c>
      <c r="C4" s="3" t="str">
        <f>CONCATENATE("&lt;",A4," ",B4," /&gt;")</f>
        <v>&lt;GeneName_full Neuronal acetylcholine receptor subunit alpha-3 /&gt;</v>
      </c>
      <c r="D4" s="15"/>
      <c r="H4" s="10"/>
      <c r="I4" s="11"/>
      <c r="J4" s="10"/>
      <c r="K4" s="10"/>
      <c r="L4" s="10"/>
      <c r="Y4" s="12"/>
      <c r="AC4" s="12"/>
      <c r="AF4" s="13"/>
      <c r="AG4" s="13"/>
      <c r="AJ4" s="13"/>
    </row>
    <row r="5" spans="1:36" x14ac:dyDescent="0.25">
      <c r="A5" s="14"/>
      <c r="B5" s="9"/>
      <c r="C5" s="8"/>
      <c r="D5" s="15"/>
      <c r="H5" s="10"/>
      <c r="I5" s="11"/>
      <c r="J5" s="10"/>
      <c r="K5" s="10"/>
      <c r="L5" s="10"/>
      <c r="Y5" s="12"/>
      <c r="AC5" s="12"/>
      <c r="AF5" s="13"/>
      <c r="AG5" s="13"/>
      <c r="AJ5" s="13"/>
    </row>
    <row r="6" spans="1:36" x14ac:dyDescent="0.25">
      <c r="A6" s="14"/>
      <c r="B6" s="3"/>
      <c r="C6" s="3" t="str">
        <f>CONCATENATE("# What does the ",B2," gene do?")</f>
        <v># What does the CHRNA3 gene do?</v>
      </c>
      <c r="H6" s="10"/>
      <c r="I6" s="11"/>
      <c r="J6" s="10"/>
      <c r="K6" s="10"/>
      <c r="L6" s="10"/>
      <c r="Y6" s="16"/>
      <c r="Z6" s="16"/>
      <c r="AA6" s="16"/>
      <c r="AC6" s="16"/>
      <c r="AF6" s="13"/>
      <c r="AJ6" s="13"/>
    </row>
    <row r="7" spans="1:36" x14ac:dyDescent="0.25">
      <c r="A7" s="14"/>
      <c r="I7" s="17"/>
      <c r="Y7" s="16"/>
      <c r="Z7" s="16"/>
      <c r="AA7" s="16"/>
      <c r="AC7" s="16"/>
      <c r="AF7" s="13"/>
      <c r="AJ7" s="13"/>
    </row>
    <row r="8" spans="1:36" ht="17.25" x14ac:dyDescent="0.3">
      <c r="A8" s="14" t="s">
        <v>5</v>
      </c>
      <c r="B8" s="4" t="s">
        <v>39</v>
      </c>
      <c r="C8" s="3" t="str">
        <f>CONCATENATE(B8," This gene is located on chromosome ",B9,".")</f>
        <v>CHRNA3 encodes a neurotransmitter called [acetylcholine](http://www.uniprot.org/citations/8906617) that regulates the creation and destruction of nicotine receptors in the nervous system. It also controls [serotonin](https://www.ebi.ac.uk/QuickGO/term/GO:0022850) channels in the brain. Variants in this gene have been associated with [nicotine dependence](https://www.ncbi.nlm.nih.gov/pubmed/22290489), [lung cancer](https://www.ncbi.nlm.nih.gov/pubmed/19836008), [COPD](https://www.ncbi.nlm.nih.gov/pubmed/24621683) (Chronic Obstructive Pulmonary Disease), [cocaine dependence](https://www.ncbi.nlm.nih.gov/pubmed/20485328), and ME/[CFS](https://www.ncbi.nlm.nih.gov/pubmed/27099524). This gene is located on chromosome 15.</v>
      </c>
      <c r="I8" s="17"/>
      <c r="X8" s="18"/>
      <c r="Y8" s="16"/>
      <c r="Z8" s="16"/>
      <c r="AA8" s="16"/>
      <c r="AC8" s="16"/>
    </row>
    <row r="9" spans="1:36" x14ac:dyDescent="0.25">
      <c r="A9" s="14" t="s">
        <v>6</v>
      </c>
      <c r="B9" s="2">
        <v>15</v>
      </c>
      <c r="I9" s="17"/>
      <c r="Y9" s="16"/>
      <c r="Z9" s="16"/>
      <c r="AA9" s="16"/>
      <c r="AC9" s="16"/>
    </row>
    <row r="10" spans="1:36" x14ac:dyDescent="0.25">
      <c r="A10" s="14" t="s">
        <v>7</v>
      </c>
      <c r="B10" s="2" t="s">
        <v>40</v>
      </c>
      <c r="Y10" s="12"/>
      <c r="AC10" s="16"/>
    </row>
    <row r="11" spans="1:36" s="21" customFormat="1" ht="16.5" thickBot="1" x14ac:dyDescent="0.3">
      <c r="A11" s="19"/>
      <c r="B11" s="20"/>
    </row>
    <row r="12" spans="1:36" ht="16.5" thickBot="1" x14ac:dyDescent="0.3">
      <c r="A12" s="14" t="s">
        <v>3</v>
      </c>
      <c r="B12" s="2" t="s">
        <v>36</v>
      </c>
      <c r="C12" s="3" t="str">
        <f>CONCATENATE("&lt;GeneMap name= ",CHAR(34),B12,CHAR(34)," interval=",CHAR(34),B13,"=",CHAR(34),"&gt;")</f>
        <v>&lt;GeneMap name= "CHRNA3" interval="NC_000015.9:g.78885394_78913637="&gt;</v>
      </c>
      <c r="J12" s="23"/>
      <c r="K12" s="23"/>
      <c r="L12" s="23"/>
      <c r="M12" s="23"/>
      <c r="N12" s="23"/>
      <c r="O12" s="24"/>
      <c r="P12" s="25"/>
      <c r="Q12" s="24"/>
      <c r="R12" s="24"/>
      <c r="S12" s="25"/>
      <c r="T12" s="25"/>
      <c r="U12" s="24"/>
      <c r="V12" s="24"/>
      <c r="W12" s="25"/>
      <c r="X12" s="25"/>
      <c r="Y12" s="25"/>
      <c r="Z12" s="25"/>
    </row>
    <row r="13" spans="1:36" x14ac:dyDescent="0.25">
      <c r="A13" s="14" t="s">
        <v>9</v>
      </c>
      <c r="B13" s="2" t="s">
        <v>148</v>
      </c>
      <c r="J13" s="15"/>
      <c r="K13" s="15"/>
      <c r="L13" s="15"/>
      <c r="M13" s="15"/>
      <c r="N13" s="15"/>
      <c r="O13" s="15"/>
      <c r="P13" s="15"/>
      <c r="Q13" s="15"/>
      <c r="R13" s="15"/>
      <c r="S13" s="15"/>
      <c r="T13" s="15"/>
      <c r="U13" s="15"/>
      <c r="V13" s="15"/>
      <c r="W13" s="15"/>
      <c r="X13" s="15"/>
      <c r="Y13" s="15"/>
      <c r="Z13" s="15"/>
    </row>
    <row r="14" spans="1:36" x14ac:dyDescent="0.25">
      <c r="A14" s="14" t="s">
        <v>11</v>
      </c>
      <c r="B14" s="2" t="s">
        <v>12</v>
      </c>
      <c r="C14" s="3" t="str">
        <f>CONCATENATE("# What are some common variants of ",B12,"?")</f>
        <v># What are some common variants of CHRNA3?</v>
      </c>
      <c r="J14" s="15"/>
      <c r="K14" s="15"/>
      <c r="L14" s="15"/>
      <c r="M14" s="15"/>
      <c r="N14" s="15"/>
      <c r="O14" s="15"/>
      <c r="P14" s="15"/>
      <c r="Q14" s="15"/>
      <c r="R14" s="15"/>
      <c r="S14" s="15"/>
      <c r="T14" s="15"/>
      <c r="U14" s="15"/>
      <c r="V14" s="15"/>
      <c r="W14" s="15"/>
      <c r="X14" s="15"/>
      <c r="Y14" s="15"/>
      <c r="Z14" s="15"/>
    </row>
    <row r="15" spans="1:36" x14ac:dyDescent="0.25">
      <c r="A15" s="14"/>
      <c r="B15" s="2"/>
      <c r="C15" s="3" t="s">
        <v>13</v>
      </c>
      <c r="J15" s="15"/>
      <c r="K15" s="15"/>
      <c r="L15" s="15"/>
      <c r="M15" s="15"/>
      <c r="N15" s="15"/>
      <c r="O15" s="15"/>
      <c r="P15" s="15"/>
      <c r="Q15" s="15"/>
      <c r="R15" s="15"/>
      <c r="S15" s="15"/>
      <c r="T15" s="15"/>
      <c r="U15" s="15"/>
      <c r="V15" s="15"/>
      <c r="W15" s="15"/>
      <c r="X15" s="15"/>
      <c r="Y15" s="15"/>
      <c r="Z15" s="15"/>
    </row>
    <row r="16" spans="1:36" x14ac:dyDescent="0.25">
      <c r="B16" s="2"/>
      <c r="C16" s="3" t="str">
        <f>CONCATENATE("A variant is a change at a specific point in the gene from the expected nucleotide sequence to another, resulting in incorrect ", B10," function. There are ",B14," common variants in ",B12,": ",B22," and ",B31,".")</f>
        <v>A variant is a change at a specific point in the gene from the expected nucleotide sequence to another, resulting in incorrect protein function. There are two common variants in CHRNA3: [C78606381T](https://www.ncbi.nlm.nih.gov/projects/SNP/snp_ref.cgi?rs=12914385) and [C645T](https://www.ncbi.nlm.nih.gov/clinvar/variation/17503/).</v>
      </c>
      <c r="J16" s="15"/>
      <c r="K16" s="15"/>
      <c r="L16" s="15"/>
      <c r="M16" s="15"/>
      <c r="N16" s="15"/>
      <c r="O16" s="15"/>
      <c r="P16" s="15"/>
      <c r="Q16" s="15"/>
      <c r="R16" s="15"/>
      <c r="S16" s="15"/>
      <c r="T16" s="15"/>
      <c r="U16" s="15"/>
      <c r="V16" s="15"/>
      <c r="W16" s="15"/>
      <c r="X16" s="15"/>
      <c r="Y16" s="15"/>
      <c r="Z16" s="15"/>
    </row>
    <row r="17" spans="1:26" x14ac:dyDescent="0.25">
      <c r="B17" s="2"/>
      <c r="J17" s="15"/>
      <c r="K17" s="15"/>
      <c r="L17" s="15"/>
      <c r="M17" s="15"/>
      <c r="N17" s="15"/>
      <c r="O17" s="15"/>
      <c r="P17" s="15"/>
      <c r="Q17" s="15"/>
      <c r="R17" s="15"/>
      <c r="S17" s="15"/>
      <c r="T17" s="15"/>
      <c r="U17" s="15"/>
      <c r="V17" s="15"/>
      <c r="W17" s="15"/>
      <c r="X17" s="15"/>
      <c r="Y17" s="15"/>
      <c r="Z17" s="15"/>
    </row>
    <row r="18" spans="1:26" x14ac:dyDescent="0.25">
      <c r="A18" s="14" t="s">
        <v>14</v>
      </c>
      <c r="B18" s="22" t="s">
        <v>151</v>
      </c>
      <c r="C18" s="3" t="str">
        <f>CONCATENATE("&lt;# ",B19," #&gt;")</f>
        <v>&lt;# C78606381T #&gt;</v>
      </c>
      <c r="J18" s="15"/>
      <c r="K18" s="15"/>
      <c r="L18" s="15"/>
      <c r="M18" s="15"/>
      <c r="N18" s="15"/>
      <c r="O18" s="15"/>
      <c r="P18" s="15"/>
      <c r="Q18" s="15"/>
      <c r="R18" s="15"/>
      <c r="S18" s="15"/>
      <c r="T18" s="15"/>
      <c r="U18" s="15"/>
      <c r="V18" s="15"/>
      <c r="W18" s="15"/>
      <c r="X18" s="15"/>
      <c r="Y18" s="15"/>
      <c r="Z18" s="15"/>
    </row>
    <row r="19" spans="1:26" x14ac:dyDescent="0.25">
      <c r="A19" s="26" t="s">
        <v>15</v>
      </c>
      <c r="B19" s="27" t="s">
        <v>41</v>
      </c>
      <c r="J19" s="6"/>
      <c r="K19" s="15"/>
      <c r="L19" s="15"/>
      <c r="M19" s="15"/>
      <c r="N19" s="15"/>
      <c r="O19" s="15"/>
      <c r="P19" s="15"/>
      <c r="Q19" s="15"/>
      <c r="R19" s="15"/>
      <c r="S19" s="15"/>
      <c r="T19" s="15"/>
      <c r="U19" s="15"/>
      <c r="V19" s="15"/>
      <c r="W19" s="15"/>
      <c r="X19" s="15"/>
      <c r="Y19" s="15"/>
      <c r="Z19" s="15"/>
    </row>
    <row r="20" spans="1:26" x14ac:dyDescent="0.25">
      <c r="A20" s="26" t="s">
        <v>17</v>
      </c>
      <c r="B20" s="2" t="s">
        <v>18</v>
      </c>
      <c r="C20" s="3" t="str">
        <f>CONCATENATE("  &lt;Variant hgvs=",CHAR(34),B18,CHAR(34)," name=",CHAR(34),B19,CHAR(34),"&gt; ")</f>
        <v xml:space="preserve">  &lt;Variant hgvs="NC_000015.9:g.78898723C&gt;T" name="C78606381T"&gt; </v>
      </c>
      <c r="J20" s="2"/>
      <c r="K20" s="15"/>
      <c r="L20" s="15"/>
      <c r="M20" s="15"/>
      <c r="N20" s="15"/>
      <c r="O20" s="15"/>
      <c r="P20" s="15"/>
      <c r="Q20" s="15"/>
      <c r="R20" s="15"/>
      <c r="S20" s="15"/>
      <c r="T20" s="15"/>
      <c r="U20" s="15"/>
      <c r="V20" s="15"/>
      <c r="W20" s="15"/>
      <c r="X20" s="15"/>
      <c r="Y20" s="15"/>
      <c r="Z20" s="15"/>
    </row>
    <row r="21" spans="1:26" x14ac:dyDescent="0.25">
      <c r="A21" s="26" t="s">
        <v>19</v>
      </c>
      <c r="B21" s="2" t="s">
        <v>20</v>
      </c>
      <c r="H21" s="15"/>
      <c r="I21" s="15"/>
      <c r="J21" s="2"/>
      <c r="K21" s="15"/>
      <c r="L21" s="15"/>
      <c r="M21" s="15"/>
      <c r="N21" s="15"/>
      <c r="O21" s="15"/>
      <c r="P21" s="15"/>
      <c r="Q21" s="15"/>
      <c r="R21" s="15"/>
      <c r="S21" s="15"/>
      <c r="T21" s="15"/>
      <c r="U21" s="15"/>
      <c r="V21" s="15"/>
      <c r="W21" s="15"/>
      <c r="X21" s="15"/>
      <c r="Y21" s="15"/>
      <c r="Z21" s="15"/>
    </row>
    <row r="22" spans="1:26" x14ac:dyDescent="0.25">
      <c r="A22" s="26" t="s">
        <v>21</v>
      </c>
      <c r="B22" s="27" t="s">
        <v>42</v>
      </c>
      <c r="C22" s="3" t="str">
        <f>CONCATENATE("    Instead of ",B20,", there is a ",B21," nucleotide.")</f>
        <v xml:space="preserve">    Instead of cytosine (C), there is a thymine (T) nucleotide.</v>
      </c>
      <c r="H22" s="15"/>
      <c r="I22" s="15"/>
      <c r="J22" s="7"/>
      <c r="K22" s="15"/>
      <c r="L22" s="15"/>
      <c r="M22" s="15"/>
      <c r="N22" s="15"/>
      <c r="O22" s="15"/>
      <c r="P22" s="15"/>
      <c r="Q22" s="15"/>
      <c r="R22" s="15"/>
      <c r="S22" s="15"/>
      <c r="T22" s="15"/>
      <c r="U22" s="15"/>
      <c r="V22" s="15"/>
      <c r="W22" s="15"/>
      <c r="X22" s="15"/>
      <c r="Y22" s="15"/>
      <c r="Z22" s="15"/>
    </row>
    <row r="23" spans="1:26" x14ac:dyDescent="0.25">
      <c r="A23" s="3" t="s">
        <v>65</v>
      </c>
      <c r="B23" s="22" t="s">
        <v>153</v>
      </c>
      <c r="H23" s="2"/>
      <c r="I23" s="2"/>
      <c r="J23" s="15"/>
      <c r="K23" s="15"/>
      <c r="L23" s="15"/>
      <c r="M23" s="15"/>
      <c r="N23" s="15"/>
      <c r="O23" s="15"/>
      <c r="P23" s="15"/>
      <c r="Q23" s="15"/>
      <c r="R23" s="15"/>
      <c r="S23" s="15"/>
      <c r="T23" s="15"/>
      <c r="U23" s="15"/>
      <c r="V23" s="15"/>
      <c r="W23" s="15"/>
      <c r="X23" s="15"/>
      <c r="Y23" s="15"/>
      <c r="Z23" s="15"/>
    </row>
    <row r="24" spans="1:26" x14ac:dyDescent="0.25">
      <c r="A24" s="3" t="s">
        <v>51</v>
      </c>
      <c r="B24" s="7" t="s">
        <v>154</v>
      </c>
      <c r="C24" s="3" t="str">
        <f>"  &lt;/Variant&gt;"</f>
        <v xml:space="preserve">  &lt;/Variant&gt;</v>
      </c>
      <c r="H24" s="2"/>
      <c r="I24" s="2"/>
      <c r="J24" s="15"/>
      <c r="K24" s="15"/>
      <c r="L24" s="15"/>
      <c r="M24" s="15"/>
      <c r="N24" s="15"/>
      <c r="O24" s="15"/>
      <c r="P24" s="15"/>
      <c r="Q24" s="15"/>
      <c r="R24" s="15"/>
      <c r="S24" s="15"/>
      <c r="T24" s="15"/>
      <c r="U24" s="15"/>
      <c r="V24" s="15"/>
      <c r="W24" s="15"/>
      <c r="X24" s="15"/>
      <c r="Y24" s="15"/>
      <c r="Z24" s="15"/>
    </row>
    <row r="25" spans="1:26" x14ac:dyDescent="0.25">
      <c r="A25" s="26" t="s">
        <v>52</v>
      </c>
      <c r="B25" s="7" t="s">
        <v>155</v>
      </c>
      <c r="J25" s="6"/>
    </row>
    <row r="26" spans="1:26" x14ac:dyDescent="0.25">
      <c r="B26" s="3"/>
      <c r="C26" s="3" t="str">
        <f>CONCATENATE("&lt;# ",B28," #&gt;")</f>
        <v>&lt;# C645T  #&gt;</v>
      </c>
      <c r="J26" s="6"/>
    </row>
    <row r="27" spans="1:26" x14ac:dyDescent="0.25">
      <c r="A27" s="14" t="s">
        <v>14</v>
      </c>
      <c r="B27" s="22" t="s">
        <v>152</v>
      </c>
      <c r="J27" s="2"/>
    </row>
    <row r="28" spans="1:26" x14ac:dyDescent="0.25">
      <c r="A28" s="26" t="s">
        <v>15</v>
      </c>
      <c r="B28" s="27" t="s">
        <v>43</v>
      </c>
      <c r="C28" s="3" t="str">
        <f>CONCATENATE("  &lt;Variant hgvs=",CHAR(34),B27,CHAR(34)," name=",CHAR(34),B28,CHAR(34),"&gt; ")</f>
        <v xml:space="preserve">  &lt;Variant hgvs="NC_000015.9:g.78894339G&gt;A" name="C645T "&gt; </v>
      </c>
      <c r="J28" s="2"/>
    </row>
    <row r="29" spans="1:26" x14ac:dyDescent="0.25">
      <c r="A29" s="26" t="s">
        <v>17</v>
      </c>
      <c r="B29" s="2" t="s">
        <v>44</v>
      </c>
      <c r="J29" s="7"/>
    </row>
    <row r="30" spans="1:26" x14ac:dyDescent="0.25">
      <c r="A30" s="26" t="s">
        <v>19</v>
      </c>
      <c r="B30" s="2" t="s">
        <v>24</v>
      </c>
      <c r="C30" s="3" t="str">
        <f>CONCATENATE("    Instead of ",B29,", there is a ",B30," nucleotide.")</f>
        <v xml:space="preserve">    Instead of guanine (G), there is a adenine (A) nucleotide.</v>
      </c>
    </row>
    <row r="31" spans="1:26" x14ac:dyDescent="0.25">
      <c r="A31" s="26" t="s">
        <v>21</v>
      </c>
      <c r="B31" s="27" t="s">
        <v>45</v>
      </c>
      <c r="J31" s="7"/>
    </row>
    <row r="32" spans="1:26" x14ac:dyDescent="0.25">
      <c r="A32" s="3" t="s">
        <v>65</v>
      </c>
      <c r="B32" s="22" t="s">
        <v>153</v>
      </c>
      <c r="C32" s="3" t="str">
        <f>"  &lt;/Variant&gt;"</f>
        <v xml:space="preserve">  &lt;/Variant&gt;</v>
      </c>
      <c r="J32" s="7"/>
    </row>
    <row r="33" spans="1:12" x14ac:dyDescent="0.25">
      <c r="A33" s="3" t="s">
        <v>51</v>
      </c>
      <c r="B33" s="3" t="s">
        <v>156</v>
      </c>
    </row>
    <row r="34" spans="1:12" x14ac:dyDescent="0.25">
      <c r="A34" s="26" t="s">
        <v>52</v>
      </c>
      <c r="B34" s="7" t="s">
        <v>157</v>
      </c>
      <c r="C34" s="3" t="s">
        <v>61</v>
      </c>
    </row>
    <row r="35" spans="1:12" s="21" customFormat="1" x14ac:dyDescent="0.25">
      <c r="A35" s="28"/>
      <c r="B35" s="20"/>
    </row>
    <row r="36" spans="1:12" s="10" customFormat="1" x14ac:dyDescent="0.25">
      <c r="A36" s="32"/>
      <c r="B36" s="33"/>
      <c r="C36" s="34" t="s">
        <v>62</v>
      </c>
    </row>
    <row r="37" spans="1:12" s="10" customFormat="1" x14ac:dyDescent="0.25">
      <c r="A37" s="32"/>
      <c r="B37" s="33"/>
      <c r="K37" s="10" t="s">
        <v>149</v>
      </c>
      <c r="L37" s="11" t="s">
        <v>150</v>
      </c>
    </row>
    <row r="38" spans="1:12" s="21" customFormat="1" x14ac:dyDescent="0.25">
      <c r="A38" s="28" t="s">
        <v>70</v>
      </c>
      <c r="B38" s="20" t="str">
        <f>CONCATENATE(B19," (C;T)")</f>
        <v>C78606381T (C;T)</v>
      </c>
      <c r="C38" s="21" t="str">
        <f>CONCATENATE("&lt;# ",B38," #&gt;")</f>
        <v>&lt;# C78606381T (C;T) #&gt;</v>
      </c>
      <c r="K38" s="21" t="str">
        <f>B19</f>
        <v>C78606381T</v>
      </c>
      <c r="L38" s="21" t="str">
        <f>B28</f>
        <v xml:space="preserve">C645T </v>
      </c>
    </row>
    <row r="39" spans="1:12" s="10" customFormat="1" x14ac:dyDescent="0.25">
      <c r="A39" s="3" t="s">
        <v>21</v>
      </c>
      <c r="B39" s="29" t="str">
        <f>K42</f>
        <v>NC_000015.9:g.[78898723C&gt;T];[78898723=]</v>
      </c>
      <c r="J39" s="3"/>
      <c r="K39" s="22" t="str">
        <f>B23</f>
        <v>NC_000015.9:g.</v>
      </c>
      <c r="L39" s="22" t="str">
        <f>B32</f>
        <v>NC_000015.9:g.</v>
      </c>
    </row>
    <row r="40" spans="1:12" x14ac:dyDescent="0.25">
      <c r="A40" s="3" t="s">
        <v>72</v>
      </c>
      <c r="B40" s="29" t="str">
        <f>L44</f>
        <v>NC_000015.9:g.[78894339=];[78894339=]</v>
      </c>
      <c r="C40" s="3" t="str">
        <f>CONCATENATE("  &lt;Analysis name=",CHAR(34),B38,CHAR(34))</f>
        <v xml:space="preserve">  &lt;Analysis name="C78606381T (C;T)"</v>
      </c>
      <c r="J40" s="3" t="s">
        <v>21</v>
      </c>
      <c r="K40" s="15" t="str">
        <f>B24</f>
        <v>[78898723C&gt;T]</v>
      </c>
      <c r="L40" s="22" t="str">
        <f>B33</f>
        <v>[78894339G&gt;A]</v>
      </c>
    </row>
    <row r="41" spans="1:12" x14ac:dyDescent="0.25">
      <c r="A41" s="5" t="s">
        <v>27</v>
      </c>
      <c r="B41" s="2" t="str">
        <f>CONCATENATE("People with this variant have one copy of the ",B22," variant. This substitution of a single nucleotide is known as a missense mutation.")</f>
        <v>People with this variant have one copy of the [C78606381T](https://www.ncbi.nlm.nih.gov/projects/SNP/snp_ref.cgi?rs=12914385) variant. This substitution of a single nucleotide is known as a missense mutation.</v>
      </c>
      <c r="C41" s="3" t="str">
        <f>CONCATENATE("            case={  variantCall ",CHAR(40),CHAR(34),K42,CHAR(34),CHAR(41))</f>
        <v xml:space="preserve">            case={  variantCall ("NC_000015.9:g.[78898723C&gt;T];[78898723=]")</v>
      </c>
      <c r="J41" s="3" t="s">
        <v>52</v>
      </c>
      <c r="K41" s="15" t="str">
        <f>B25</f>
        <v>[78898723=]</v>
      </c>
      <c r="L41" s="22" t="str">
        <f>B34</f>
        <v>[78894339=]</v>
      </c>
    </row>
    <row r="42" spans="1:12" x14ac:dyDescent="0.25">
      <c r="A42" s="1" t="s">
        <v>28</v>
      </c>
      <c r="B42" s="29" t="s">
        <v>159</v>
      </c>
      <c r="C42" s="3" t="s">
        <v>71</v>
      </c>
      <c r="J42" s="3" t="s">
        <v>63</v>
      </c>
      <c r="K42" s="15" t="str">
        <f>CONCATENATE(K39,K40,";",K41)</f>
        <v>NC_000015.9:g.[78898723C&gt;T];[78898723=]</v>
      </c>
      <c r="L42" s="15" t="str">
        <f>CONCATENATE(L39,L40,";",L41)</f>
        <v>NC_000015.9:g.[78894339G&gt;A];[78894339=]</v>
      </c>
    </row>
    <row r="43" spans="1:12" x14ac:dyDescent="0.25">
      <c r="A43" s="3" t="s">
        <v>73</v>
      </c>
      <c r="B43" s="29">
        <f>K45</f>
        <v>37.9</v>
      </c>
      <c r="C43" s="3" t="str">
        <f>CONCATENATE("                    variantCall ",CHAR(40),CHAR(34),L44,CHAR(34),CHAR(41))</f>
        <v xml:space="preserve">                    variantCall ("NC_000015.9:g.[78894339=];[78894339=]")</v>
      </c>
      <c r="J43" s="3" t="s">
        <v>64</v>
      </c>
      <c r="K43" s="15" t="str">
        <f>CONCATENATE(K39,K40,";",K40)</f>
        <v>NC_000015.9:g.[78898723C&gt;T];[78898723C&gt;T]</v>
      </c>
      <c r="L43" s="15" t="str">
        <f>CONCATENATE(L39,L40,";",L40)</f>
        <v>NC_000015.9:g.[78894339G&gt;A];[78894339G&gt;A]</v>
      </c>
    </row>
    <row r="44" spans="1:12" x14ac:dyDescent="0.25">
      <c r="C44" s="3" t="str">
        <f>CONCATENATE("                  } &gt; ")</f>
        <v xml:space="preserve">                  } &gt; </v>
      </c>
      <c r="J44" s="3" t="s">
        <v>52</v>
      </c>
      <c r="K44" s="2" t="str">
        <f>CONCATENATE(K39,K41,";",K41)</f>
        <v>NC_000015.9:g.[78898723=];[78898723=]</v>
      </c>
      <c r="L44" s="2" t="str">
        <f>CONCATENATE(L39,L41,";",L41)</f>
        <v>NC_000015.9:g.[78894339=];[78894339=]</v>
      </c>
    </row>
    <row r="45" spans="1:12" x14ac:dyDescent="0.25">
      <c r="J45" s="3" t="s">
        <v>67</v>
      </c>
      <c r="K45" s="2">
        <v>37.9</v>
      </c>
      <c r="L45" s="2">
        <v>39.700000000000003</v>
      </c>
    </row>
    <row r="46" spans="1:12" x14ac:dyDescent="0.25">
      <c r="A46" s="14"/>
      <c r="C46" s="3" t="s">
        <v>26</v>
      </c>
      <c r="J46" s="3" t="s">
        <v>68</v>
      </c>
      <c r="K46" s="2">
        <v>15.9</v>
      </c>
      <c r="L46" s="2">
        <v>42.9</v>
      </c>
    </row>
    <row r="47" spans="1:12" x14ac:dyDescent="0.25">
      <c r="A47" s="26"/>
      <c r="J47" s="3" t="s">
        <v>69</v>
      </c>
      <c r="K47" s="2">
        <v>46.2</v>
      </c>
      <c r="L47" s="2">
        <v>17.399999999999999</v>
      </c>
    </row>
    <row r="48" spans="1:12" x14ac:dyDescent="0.25">
      <c r="A48" s="14"/>
      <c r="C48" s="3" t="str">
        <f>CONCATENATE("    ",B41)</f>
        <v xml:space="preserve">    People with this variant have one copy of the [C78606381T](https://www.ncbi.nlm.nih.gov/projects/SNP/snp_ref.cgi?rs=12914385) variant. This substitution of a single nucleotide is known as a missense mutation.</v>
      </c>
    </row>
    <row r="49" spans="1:12" x14ac:dyDescent="0.25">
      <c r="A49" s="14"/>
    </row>
    <row r="50" spans="1:12" x14ac:dyDescent="0.25">
      <c r="A50" s="26"/>
      <c r="C50" s="3" t="s">
        <v>29</v>
      </c>
    </row>
    <row r="51" spans="1:12" x14ac:dyDescent="0.25">
      <c r="A51" s="14"/>
    </row>
    <row r="52" spans="1:12" x14ac:dyDescent="0.25">
      <c r="A52" s="14"/>
      <c r="C52" s="3" t="str">
        <f>CONCATENATE(B42)</f>
        <v xml:space="preserve">    The CHRNA3 protein plays a role in developing nicotine dependence and regulating nicotine receptor proliferation and destruction. Incorrect formation of the nicotine neurotransmitter receptor protein has a variety of effects. This heterozygous variant causes increased risk of [lung cancer](https://www.ncbi.nlm.nih.gov/pubmed/23094028), with an [odds ratio of 1.2](https://www.ncbi.nlm.nih.gov/pubmed/28827732), and [COPD](https://www.ncbi.nlm.nih.gov/pubmed/24621683), with an [odds ratio of 1.39](https://www.ncbi.nlm.nih.gov/pubmed/24621683). It causes an [increase](https://www.ncbi.nlm.nih.gov/pubmed/29030599) of [one](https://www.ncbi.nlm.nih.gov/pubmed/21559498)[cigarette](https://www.ncbi.nlm.nih.gov/pubmed/23870182)[per day](https://www.ncbi.nlm.nih.gov/pubmed/20418890) and may also cause [smoking persistence](https://www.ncbi.nlm.nih.gov/pubmed/22290489). However, the C allele is protective, with a [decrease of 3.25 packs per year per C allele](https://www.ncbi.nlm.nih.gov/pubmed/21436384). Finally, his variant may cause an increase in [cocaine dependence](https://www.ncbi.nlm.nih.gov/pubmed/20485328).
    # What should I do about this?
    People should not smoke or use cocaine. If you do smoke, be aware of your risk for dependency and increased difficulty of quitting smoking.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v>
      </c>
    </row>
    <row r="53" spans="1:12" x14ac:dyDescent="0.25">
      <c r="A53" s="14"/>
    </row>
    <row r="54" spans="1:12" x14ac:dyDescent="0.25">
      <c r="A54" s="14"/>
      <c r="C54" s="3" t="s">
        <v>30</v>
      </c>
    </row>
    <row r="55" spans="1:12" x14ac:dyDescent="0.25">
      <c r="A55" s="26"/>
    </row>
    <row r="56" spans="1:12" x14ac:dyDescent="0.25">
      <c r="A56" s="26"/>
      <c r="C56" s="3" t="str">
        <f>CONCATENATE( "    &lt;piechart percentage=",B43," /&gt;")</f>
        <v xml:space="preserve">    &lt;piechart percentage=37.9 /&gt;</v>
      </c>
    </row>
    <row r="57" spans="1:12" x14ac:dyDescent="0.25">
      <c r="A57" s="26"/>
      <c r="C57" s="3" t="str">
        <f>"  &lt;/Analysis&gt;"</f>
        <v xml:space="preserve">  &lt;/Analysis&gt;</v>
      </c>
      <c r="K57" s="3" t="str">
        <f>K37</f>
        <v>rs12914385</v>
      </c>
      <c r="L57" s="3" t="str">
        <f>L37</f>
        <v>rs1051730</v>
      </c>
    </row>
    <row r="58" spans="1:12" s="21" customFormat="1" x14ac:dyDescent="0.25">
      <c r="A58" s="28" t="s">
        <v>70</v>
      </c>
      <c r="B58" s="20" t="str">
        <f>CONCATENATE(B19," (T;T)")</f>
        <v>C78606381T (T;T)</v>
      </c>
      <c r="C58" s="21" t="str">
        <f>CONCATENATE("&lt;# ",B58," #&gt;")</f>
        <v>&lt;# C78606381T (T;T) #&gt;</v>
      </c>
      <c r="J58" s="3"/>
      <c r="K58" s="3" t="str">
        <f t="shared" ref="K58:L58" si="0">K38</f>
        <v>C78606381T</v>
      </c>
      <c r="L58" s="3" t="str">
        <f t="shared" si="0"/>
        <v xml:space="preserve">C645T </v>
      </c>
    </row>
    <row r="59" spans="1:12" x14ac:dyDescent="0.25">
      <c r="A59" s="3" t="s">
        <v>21</v>
      </c>
      <c r="B59" s="29" t="str">
        <f>K43</f>
        <v>NC_000015.9:g.[78898723C&gt;T];[78898723C&gt;T]</v>
      </c>
      <c r="C59" s="10"/>
      <c r="K59" s="3" t="str">
        <f t="shared" ref="K59:L59" si="1">K39</f>
        <v>NC_000015.9:g.</v>
      </c>
      <c r="L59" s="3" t="str">
        <f t="shared" si="1"/>
        <v>NC_000015.9:g.</v>
      </c>
    </row>
    <row r="60" spans="1:12" x14ac:dyDescent="0.25">
      <c r="A60" s="3" t="s">
        <v>72</v>
      </c>
      <c r="B60" s="29" t="str">
        <f>L44</f>
        <v>NC_000015.9:g.[78894339=];[78894339=]</v>
      </c>
      <c r="C60" s="3" t="str">
        <f>CONCATENATE("  &lt;Analysis name=",CHAR(34),B58,CHAR(34))</f>
        <v xml:space="preserve">  &lt;Analysis name="C78606381T (T;T)"</v>
      </c>
      <c r="J60" s="3" t="str">
        <f t="shared" ref="J60" si="2">J40</f>
        <v>Variant</v>
      </c>
      <c r="K60" s="3" t="str">
        <f t="shared" ref="K60:L60" si="3">K40</f>
        <v>[78898723C&gt;T]</v>
      </c>
      <c r="L60" s="3" t="str">
        <f t="shared" si="3"/>
        <v>[78894339G&gt;A]</v>
      </c>
    </row>
    <row r="61" spans="1:12" x14ac:dyDescent="0.25">
      <c r="A61" s="5" t="s">
        <v>75</v>
      </c>
      <c r="B61" s="2" t="str">
        <f>CONCATENATE("People with this variant have two copies of the ",B22," variant. This substitution of a single nucleotide is known as a missense mutation.")</f>
        <v>People with this variant have two copies of the [C78606381T](https://www.ncbi.nlm.nih.gov/projects/SNP/snp_ref.cgi?rs=12914385) variant. This substitution of a single nucleotide is known as a missense mutation.</v>
      </c>
      <c r="C61" s="3" t="str">
        <f>CONCATENATE("            case={  variantCall ",CHAR(40),CHAR(34),K63,CHAR(34),CHAR(41))</f>
        <v xml:space="preserve">            case={  variantCall ("NC_000015.9:g.[78898723C&gt;T];[78898723C&gt;T]")</v>
      </c>
      <c r="J61" s="3" t="str">
        <f t="shared" ref="J61" si="4">J41</f>
        <v>Wildtype</v>
      </c>
      <c r="K61" s="3" t="str">
        <f t="shared" ref="K61:L61" si="5">K41</f>
        <v>[78898723=]</v>
      </c>
      <c r="L61" s="3" t="str">
        <f t="shared" si="5"/>
        <v>[78894339=]</v>
      </c>
    </row>
    <row r="62" spans="1:12" x14ac:dyDescent="0.25">
      <c r="A62" s="1" t="s">
        <v>28</v>
      </c>
      <c r="B62" s="29" t="s">
        <v>158</v>
      </c>
      <c r="C62" s="3" t="s">
        <v>71</v>
      </c>
      <c r="J62" s="3" t="str">
        <f t="shared" ref="J62" si="6">J42</f>
        <v>Het</v>
      </c>
      <c r="K62" s="3" t="str">
        <f t="shared" ref="K62:L62" si="7">K42</f>
        <v>NC_000015.9:g.[78898723C&gt;T];[78898723=]</v>
      </c>
      <c r="L62" s="3" t="str">
        <f t="shared" si="7"/>
        <v>NC_000015.9:g.[78894339G&gt;A];[78894339=]</v>
      </c>
    </row>
    <row r="63" spans="1:12" x14ac:dyDescent="0.25">
      <c r="A63" s="3" t="s">
        <v>73</v>
      </c>
      <c r="B63" s="29">
        <f>K46</f>
        <v>15.9</v>
      </c>
      <c r="C63" s="3" t="str">
        <f>CONCATENATE("                    variantCall ",CHAR(40),CHAR(34),L64,CHAR(34),CHAR(41))</f>
        <v xml:space="preserve">                    variantCall ("NC_000015.9:g.[78894339=];[78894339=]")</v>
      </c>
      <c r="J63" s="3" t="str">
        <f t="shared" ref="J63" si="8">J43</f>
        <v>Homo</v>
      </c>
      <c r="K63" s="3" t="str">
        <f t="shared" ref="K63:L63" si="9">K43</f>
        <v>NC_000015.9:g.[78898723C&gt;T];[78898723C&gt;T]</v>
      </c>
      <c r="L63" s="3" t="str">
        <f t="shared" si="9"/>
        <v>NC_000015.9:g.[78894339G&gt;A];[78894339G&gt;A]</v>
      </c>
    </row>
    <row r="64" spans="1:12" x14ac:dyDescent="0.25">
      <c r="C64" s="3" t="str">
        <f>CONCATENATE("                  } &gt; ")</f>
        <v xml:space="preserve">                  } &gt; </v>
      </c>
      <c r="J64" s="3" t="str">
        <f t="shared" ref="J64" si="10">J44</f>
        <v>Wildtype</v>
      </c>
      <c r="K64" s="3" t="str">
        <f t="shared" ref="K64:L64" si="11">K44</f>
        <v>NC_000015.9:g.[78898723=];[78898723=]</v>
      </c>
      <c r="L64" s="3" t="str">
        <f t="shared" si="11"/>
        <v>NC_000015.9:g.[78894339=];[78894339=]</v>
      </c>
    </row>
    <row r="65" spans="1:12" x14ac:dyDescent="0.25">
      <c r="J65" s="3" t="str">
        <f>J45</f>
        <v>Het%</v>
      </c>
      <c r="K65" s="3">
        <f>K45</f>
        <v>37.9</v>
      </c>
      <c r="L65" s="3">
        <f>L45</f>
        <v>39.700000000000003</v>
      </c>
    </row>
    <row r="66" spans="1:12" x14ac:dyDescent="0.25">
      <c r="A66" s="14"/>
      <c r="C66" s="3" t="s">
        <v>26</v>
      </c>
      <c r="J66" s="3" t="str">
        <f t="shared" ref="J66" si="12">J46</f>
        <v>Homo%</v>
      </c>
      <c r="K66" s="3">
        <f t="shared" ref="K66:L66" si="13">K46</f>
        <v>15.9</v>
      </c>
      <c r="L66" s="3">
        <f t="shared" si="13"/>
        <v>42.9</v>
      </c>
    </row>
    <row r="67" spans="1:12" x14ac:dyDescent="0.25">
      <c r="A67" s="26"/>
      <c r="J67" s="3" t="str">
        <f t="shared" ref="J67" si="14">J47</f>
        <v>Wildtype%</v>
      </c>
      <c r="K67" s="3">
        <f t="shared" ref="K67:L67" si="15">K47</f>
        <v>46.2</v>
      </c>
      <c r="L67" s="3">
        <f t="shared" si="15"/>
        <v>17.399999999999999</v>
      </c>
    </row>
    <row r="68" spans="1:12" x14ac:dyDescent="0.25">
      <c r="A68" s="14"/>
      <c r="C68" s="3" t="str">
        <f>CONCATENATE("    ",B61)</f>
        <v xml:space="preserve">    People with this variant have two copies of the [C78606381T](https://www.ncbi.nlm.nih.gov/projects/SNP/snp_ref.cgi?rs=12914385) variant. This substitution of a single nucleotide is known as a missense mutation.</v>
      </c>
    </row>
    <row r="69" spans="1:12" x14ac:dyDescent="0.25">
      <c r="A69" s="14"/>
    </row>
    <row r="70" spans="1:12" x14ac:dyDescent="0.25">
      <c r="A70" s="26"/>
      <c r="C70" s="3" t="s">
        <v>29</v>
      </c>
    </row>
    <row r="71" spans="1:12" x14ac:dyDescent="0.25">
      <c r="A71" s="14"/>
    </row>
    <row r="72" spans="1:12" x14ac:dyDescent="0.25">
      <c r="A72" s="14"/>
      <c r="C72" s="3" t="str">
        <f>CONCATENATE(B62)</f>
        <v xml:space="preserve">    The CHRNA3 protein plays a role in developing nicotine dependence and regulating nicotine receptor proliferation and destruction. Incorrect formation of the nicotine neurotransmitter receptor protein has a variety of effects. This homozygous variant causes greatly increased risk of [lung cancer](https://www.ncbi.nlm.nih.gov/pubmed/23094028), with an [odds ratio of 1.44](https://www.ncbi.nlm.nih.gov/pubmed/21559498), and [COPD](https://www.ncbi.nlm.nih.gov/pubmed/24621683), with an [odds ratio of 1.39](https://www.ncbi.nlm.nih.gov/pubmed/24621683). It causes an [increase](https://www.ncbi.nlm.nih.gov/pubmed/29030599) of [two](https://www.ncbi.nlm.nih.gov/pubmed/21559498)[cigarettes](https://www.ncbi.nlm.nih.gov/pubmed/23870182)[per day](https://www.ncbi.nlm.nih.gov/pubmed/20418890) and may also cause greatly increased [smoking persistence](https://www.ncbi.nlm.nih.gov/pubmed/22290489). This variant may cause an increase in [cocaine dependence](https://www.ncbi.nlm.nih.gov/pubmed/20485328).
    Natural killer cells (NKC) are a type of white blood cells found in the blood, bone marrow, spleen, and lymph nodes. They kill viral infected cells and tumorous cells. CFS patients have half the cellular efficiency of the normal population with a [17% cellular death rate](https://www.ncbi.nlm.nih.gov/pubmed/27099524). The C78606381T (T;T) variant decreases gene expression in both the DNA and RNA, causing significant reduction in NKC activity. This variant was five as common in [CFS patients at 85.7% with an odds ratio of 6.22.](https://www.ncbi.nlm.nih.gov/pubmed/27099524)
    # What should I do about this?
    People should not smoke or use cocaine. If you do smoke, be aware of your greatly increased risk for dependency and difficulty of quitting smoking, and consider regular checks for lung cancer.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
    Many dietary supplements have been found to increase or decrease natural killer cell (NKC) function.
    - [Resveratrol](https://www.ncbi.nlm.nih.gov/pmc/articles/PMC4855330/) stimulates the immune system in increase NKC activity, but sufficient body concentration can only be achieved through supplementation. 
    - [Myricetin](https://www.ncbi.nlm.nih.gov/pubmed/25075019), a flavonoid found in food and red wine, can increase NKC activity. 
    - [Quercetin](https://www.ncbi.nlm.nih.gov/pubmed/19449452), a flavonoid in onions and fruits may improve NKC and T cell function. 
    [Histone deacetylase inhibitors (HDACi) including suberoylanilide hydroxamic acid and valproric acid](https://www.ncbi.nlm.nih.gov/pubmed/17349632/) impair NKC function, and should be avoided.</v>
      </c>
    </row>
    <row r="73" spans="1:12" x14ac:dyDescent="0.25">
      <c r="A73" s="14"/>
    </row>
    <row r="74" spans="1:12" x14ac:dyDescent="0.25">
      <c r="A74" s="14"/>
      <c r="C74" s="3" t="s">
        <v>30</v>
      </c>
    </row>
    <row r="75" spans="1:12" x14ac:dyDescent="0.25">
      <c r="A75" s="26"/>
    </row>
    <row r="76" spans="1:12" x14ac:dyDescent="0.25">
      <c r="A76" s="26"/>
      <c r="C76" s="3" t="str">
        <f>CONCATENATE( "    &lt;piechart percentage=",B63," /&gt;")</f>
        <v xml:space="preserve">    &lt;piechart percentage=15.9 /&gt;</v>
      </c>
    </row>
    <row r="77" spans="1:12" x14ac:dyDescent="0.25">
      <c r="A77" s="26"/>
      <c r="C77" s="3" t="str">
        <f>"  &lt;/Analysis&gt;"</f>
        <v xml:space="preserve">  &lt;/Analysis&gt;</v>
      </c>
      <c r="K77" s="3" t="str">
        <f>K57</f>
        <v>rs12914385</v>
      </c>
      <c r="L77" s="3" t="str">
        <f>L57</f>
        <v>rs1051730</v>
      </c>
    </row>
    <row r="78" spans="1:12" s="21" customFormat="1" x14ac:dyDescent="0.25">
      <c r="A78" s="28" t="s">
        <v>70</v>
      </c>
      <c r="B78" s="20" t="str">
        <f>CONCATENATE(B28," (C:T)")</f>
        <v>C645T  (C:T)</v>
      </c>
      <c r="C78" s="21" t="str">
        <f>CONCATENATE("&lt;# ",B78," #&gt;")</f>
        <v>&lt;# C645T  (C:T) #&gt;</v>
      </c>
      <c r="K78" s="21" t="str">
        <f t="shared" ref="K78:L78" si="16">K58</f>
        <v>C78606381T</v>
      </c>
      <c r="L78" s="21" t="str">
        <f t="shared" si="16"/>
        <v xml:space="preserve">C645T </v>
      </c>
    </row>
    <row r="79" spans="1:12" s="10" customFormat="1" x14ac:dyDescent="0.25">
      <c r="A79" s="3" t="s">
        <v>21</v>
      </c>
      <c r="B79" s="29" t="str">
        <f>K44</f>
        <v>NC_000015.9:g.[78898723=];[78898723=]</v>
      </c>
      <c r="J79" s="3"/>
      <c r="K79" s="22" t="str">
        <f t="shared" ref="K79:L79" si="17">K59</f>
        <v>NC_000015.9:g.</v>
      </c>
      <c r="L79" s="22" t="str">
        <f t="shared" si="17"/>
        <v>NC_000015.9:g.</v>
      </c>
    </row>
    <row r="80" spans="1:12" x14ac:dyDescent="0.25">
      <c r="A80" s="3" t="s">
        <v>72</v>
      </c>
      <c r="B80" s="29" t="str">
        <f>L42</f>
        <v>NC_000015.9:g.[78894339G&gt;A];[78894339=]</v>
      </c>
      <c r="C80" s="3" t="str">
        <f>CONCATENATE("  &lt;Analysis name=",CHAR(34),B78,CHAR(34))</f>
        <v xml:space="preserve">  &lt;Analysis name="C645T  (C:T)"</v>
      </c>
      <c r="J80" s="3" t="str">
        <f t="shared" ref="J80:L84" si="18">J60</f>
        <v>Variant</v>
      </c>
      <c r="K80" s="15" t="str">
        <f t="shared" si="18"/>
        <v>[78898723C&gt;T]</v>
      </c>
      <c r="L80" s="22" t="str">
        <f t="shared" si="18"/>
        <v>[78894339G&gt;A]</v>
      </c>
    </row>
    <row r="81" spans="1:12" x14ac:dyDescent="0.25">
      <c r="A81" s="5" t="s">
        <v>27</v>
      </c>
      <c r="B81" s="2" t="str">
        <f>CONCATENATE("People with this variant have one copy of the ",B31," variant. This substitution of a single nucleotide is known as a missense mutation.")</f>
        <v>People with this variant have one copy of the [C645T](https://www.ncbi.nlm.nih.gov/clinvar/variation/17503/) variant. This substitution of a single nucleotide is known as a missense mutation.</v>
      </c>
      <c r="C81" s="3" t="str">
        <f>CONCATENATE("            case={  variantCall ",CHAR(40),CHAR(34),K84,CHAR(34),CHAR(41))</f>
        <v xml:space="preserve">            case={  variantCall ("NC_000015.9:g.[78898723=];[78898723=]")</v>
      </c>
      <c r="J81" s="3" t="str">
        <f t="shared" si="18"/>
        <v>Wildtype</v>
      </c>
      <c r="K81" s="15" t="str">
        <f t="shared" si="18"/>
        <v>[78898723=]</v>
      </c>
      <c r="L81" s="22" t="str">
        <f t="shared" si="18"/>
        <v>[78894339=]</v>
      </c>
    </row>
    <row r="82" spans="1:12" x14ac:dyDescent="0.25">
      <c r="A82" s="1" t="s">
        <v>28</v>
      </c>
      <c r="B82" s="29" t="s">
        <v>160</v>
      </c>
      <c r="C82" s="3" t="s">
        <v>71</v>
      </c>
      <c r="J82" s="3" t="str">
        <f t="shared" si="18"/>
        <v>Het</v>
      </c>
      <c r="K82" s="15" t="str">
        <f t="shared" si="18"/>
        <v>NC_000015.9:g.[78898723C&gt;T];[78898723=]</v>
      </c>
      <c r="L82" s="15" t="str">
        <f t="shared" si="18"/>
        <v>NC_000015.9:g.[78894339G&gt;A];[78894339=]</v>
      </c>
    </row>
    <row r="83" spans="1:12" x14ac:dyDescent="0.25">
      <c r="A83" s="3" t="s">
        <v>73</v>
      </c>
      <c r="B83" s="29">
        <f>L85</f>
        <v>39.700000000000003</v>
      </c>
      <c r="C83" s="3" t="str">
        <f>CONCATENATE("                    variantCall ",CHAR(40),CHAR(34),L82,CHAR(34),CHAR(41))</f>
        <v xml:space="preserve">                    variantCall ("NC_000015.9:g.[78894339G&gt;A];[78894339=]")</v>
      </c>
      <c r="J83" s="3" t="str">
        <f t="shared" si="18"/>
        <v>Homo</v>
      </c>
      <c r="K83" s="15" t="str">
        <f t="shared" si="18"/>
        <v>NC_000015.9:g.[78898723C&gt;T];[78898723C&gt;T]</v>
      </c>
      <c r="L83" s="15" t="str">
        <f t="shared" si="18"/>
        <v>NC_000015.9:g.[78894339G&gt;A];[78894339G&gt;A]</v>
      </c>
    </row>
    <row r="84" spans="1:12" x14ac:dyDescent="0.25">
      <c r="C84" s="3" t="str">
        <f>CONCATENATE("                  } &gt; ")</f>
        <v xml:space="preserve">                  } &gt; </v>
      </c>
      <c r="J84" s="3" t="str">
        <f t="shared" si="18"/>
        <v>Wildtype</v>
      </c>
      <c r="K84" s="2" t="str">
        <f t="shared" si="18"/>
        <v>NC_000015.9:g.[78898723=];[78898723=]</v>
      </c>
      <c r="L84" s="2" t="str">
        <f t="shared" si="18"/>
        <v>NC_000015.9:g.[78894339=];[78894339=]</v>
      </c>
    </row>
    <row r="85" spans="1:12" x14ac:dyDescent="0.25">
      <c r="J85" s="3" t="str">
        <f>J65</f>
        <v>Het%</v>
      </c>
      <c r="K85" s="15">
        <f>K65</f>
        <v>37.9</v>
      </c>
      <c r="L85" s="15">
        <f>L65</f>
        <v>39.700000000000003</v>
      </c>
    </row>
    <row r="86" spans="1:12" x14ac:dyDescent="0.25">
      <c r="A86" s="14"/>
      <c r="C86" s="3" t="s">
        <v>26</v>
      </c>
      <c r="J86" s="3" t="str">
        <f t="shared" ref="J86:L87" si="19">J66</f>
        <v>Homo%</v>
      </c>
      <c r="K86" s="2">
        <f t="shared" si="19"/>
        <v>15.9</v>
      </c>
      <c r="L86" s="2">
        <f t="shared" si="19"/>
        <v>42.9</v>
      </c>
    </row>
    <row r="87" spans="1:12" x14ac:dyDescent="0.25">
      <c r="A87" s="26"/>
      <c r="J87" s="3" t="str">
        <f t="shared" si="19"/>
        <v>Wildtype%</v>
      </c>
      <c r="K87" s="2">
        <f t="shared" si="19"/>
        <v>46.2</v>
      </c>
      <c r="L87" s="2">
        <f t="shared" si="19"/>
        <v>17.399999999999999</v>
      </c>
    </row>
    <row r="88" spans="1:12" x14ac:dyDescent="0.25">
      <c r="A88" s="14"/>
      <c r="C88" s="3" t="str">
        <f>CONCATENATE("    ",B81)</f>
        <v xml:space="preserve">    People with this variant have one copy of the [C645T](https://www.ncbi.nlm.nih.gov/clinvar/variation/17503/) variant. This substitution of a single nucleotide is known as a missense mutation.</v>
      </c>
    </row>
    <row r="89" spans="1:12" x14ac:dyDescent="0.25">
      <c r="A89" s="14"/>
    </row>
    <row r="90" spans="1:12" x14ac:dyDescent="0.25">
      <c r="A90" s="26"/>
      <c r="C90" s="3" t="s">
        <v>29</v>
      </c>
    </row>
    <row r="91" spans="1:12" x14ac:dyDescent="0.25">
      <c r="A91" s="14"/>
    </row>
    <row r="92" spans="1:12" x14ac:dyDescent="0.25">
      <c r="A92" s="14"/>
      <c r="C92" s="3" t="str">
        <f>CONCATENATE(B82)</f>
        <v xml:space="preserve">    This heterozygous variant causes increased risk of [adenocarcinoma](https://www.ncbi.nlm.nih.gov/pubmed/27072204) and [squamous cell lung cancer among Caucasians and African Americans](https://www.ncbi.nlm.nih.gov/pubmed/24254305), with an [odds ratio of 2.25](https://www.ncbi.nlm.nih.gov/pubmed/24337855), but not in East Asians or people who have never smoked. It causes an increase in [cigarettes smoked per day](https://www.ncbi.nlm.nih.gov/pubmed/27663783)[(odds ratio 2.66)](https://www.ncbi.nlm.nih.gov/pubmed/25632390) and [severity of nicotine addiction (odds ratio 2.6)](https://www.ncbi.nlm.nih.gov/pubmed/25632390). There is a [2.9% decrease](https://www.ncbi.nlm.nih.gov/pubmed/25891233) in adherence to prescribed Nicotine replacement therapy (NRT) dose, and a [1.0mg decrease](https://www.ncbi.nlm.nih.gov/pubmed/25891233) in daily NRT consumption up to 28 days after beginning treatment. Physical changes associated with one T allele include [0.59 kg lower body weight, 0.23 kg/m(2) lower body mass index, 0.32 cm lower waist circumference, and 0.45 cm lower hip circumference](https://www.ncbi.nlm.nih.gov/pubmed/25777141). It also is associated with [higher resting heart rate, lower systolic blood pressure, and higher HDL cholesterol](https://www.ncbi.nlm.nih.gov/pubmed/24867305).
    # What should I do about this?
    People should not smoke. If you do smoke, be aware of your risk for dependency and increased difficulty of quitting smoking.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v>
      </c>
    </row>
    <row r="93" spans="1:12" x14ac:dyDescent="0.25">
      <c r="A93" s="14"/>
    </row>
    <row r="94" spans="1:12" x14ac:dyDescent="0.25">
      <c r="A94" s="14"/>
      <c r="C94" s="3" t="s">
        <v>30</v>
      </c>
    </row>
    <row r="95" spans="1:12" x14ac:dyDescent="0.25">
      <c r="A95" s="26"/>
    </row>
    <row r="96" spans="1:12" x14ac:dyDescent="0.25">
      <c r="A96" s="26"/>
      <c r="C96" s="3" t="str">
        <f>CONCATENATE( "    &lt;piechart percentage=",B83," /&gt;")</f>
        <v xml:space="preserve">    &lt;piechart percentage=39.7 /&gt;</v>
      </c>
    </row>
    <row r="97" spans="1:12" x14ac:dyDescent="0.25">
      <c r="A97" s="26"/>
      <c r="C97" s="3" t="str">
        <f>"  &lt;/Analysis&gt;"</f>
        <v xml:space="preserve">  &lt;/Analysis&gt;</v>
      </c>
      <c r="K97" s="3" t="str">
        <f>K77</f>
        <v>rs12914385</v>
      </c>
      <c r="L97" s="3" t="str">
        <f>L77</f>
        <v>rs1051730</v>
      </c>
    </row>
    <row r="98" spans="1:12" s="21" customFormat="1" x14ac:dyDescent="0.25">
      <c r="A98" s="28" t="s">
        <v>70</v>
      </c>
      <c r="B98" s="20" t="str">
        <f>CONCATENATE(B28," (T;T)")</f>
        <v>C645T  (T;T)</v>
      </c>
      <c r="C98" s="21" t="str">
        <f>CONCATENATE("&lt;# ",B98," #&gt;")</f>
        <v>&lt;# C645T  (T;T) #&gt;</v>
      </c>
      <c r="K98" s="3" t="str">
        <f t="shared" ref="K98:L107" si="20">K78</f>
        <v>C78606381T</v>
      </c>
      <c r="L98" s="3" t="str">
        <f t="shared" si="20"/>
        <v xml:space="preserve">C645T </v>
      </c>
    </row>
    <row r="99" spans="1:12" x14ac:dyDescent="0.25">
      <c r="A99" s="3" t="s">
        <v>21</v>
      </c>
      <c r="B99" s="29" t="str">
        <f>K44</f>
        <v>NC_000015.9:g.[78898723=];[78898723=]</v>
      </c>
      <c r="C99" s="10"/>
      <c r="J99" s="3">
        <f t="shared" ref="J99" si="21">J79</f>
        <v>0</v>
      </c>
      <c r="K99" s="3" t="str">
        <f t="shared" si="20"/>
        <v>NC_000015.9:g.</v>
      </c>
      <c r="L99" s="3" t="str">
        <f t="shared" si="20"/>
        <v>NC_000015.9:g.</v>
      </c>
    </row>
    <row r="100" spans="1:12" x14ac:dyDescent="0.25">
      <c r="A100" s="3" t="s">
        <v>72</v>
      </c>
      <c r="B100" s="29" t="str">
        <f>L43</f>
        <v>NC_000015.9:g.[78894339G&gt;A];[78894339G&gt;A]</v>
      </c>
      <c r="C100" s="3" t="str">
        <f>CONCATENATE("  &lt;Analysis name=",CHAR(34),B98,CHAR(34))</f>
        <v xml:space="preserve">  &lt;Analysis name="C645T  (T;T)"</v>
      </c>
      <c r="J100" s="3" t="str">
        <f t="shared" ref="J100" si="22">J80</f>
        <v>Variant</v>
      </c>
      <c r="K100" s="3" t="str">
        <f t="shared" si="20"/>
        <v>[78898723C&gt;T]</v>
      </c>
      <c r="L100" s="3" t="str">
        <f t="shared" si="20"/>
        <v>[78894339G&gt;A]</v>
      </c>
    </row>
    <row r="101" spans="1:12" x14ac:dyDescent="0.25">
      <c r="A101" s="5" t="s">
        <v>75</v>
      </c>
      <c r="B101" s="2" t="str">
        <f>CONCATENATE("People with this variant have two copies of the ",B31," variant. This substitution of a single nucleotide is known as a missense mutation.")</f>
        <v>People with this variant have two copies of the [C645T](https://www.ncbi.nlm.nih.gov/clinvar/variation/17503/) variant. This substitution of a single nucleotide is known as a missense mutation.</v>
      </c>
      <c r="C101" s="3" t="str">
        <f>CONCATENATE("            case={  variantCall ",CHAR(40),CHAR(34),K104,CHAR(34),CHAR(41))</f>
        <v xml:space="preserve">            case={  variantCall ("NC_000015.9:g.[78898723=];[78898723=]")</v>
      </c>
      <c r="J101" s="3" t="str">
        <f t="shared" ref="J101" si="23">J81</f>
        <v>Wildtype</v>
      </c>
      <c r="K101" s="3" t="str">
        <f t="shared" si="20"/>
        <v>[78898723=]</v>
      </c>
      <c r="L101" s="3" t="str">
        <f t="shared" si="20"/>
        <v>[78894339=]</v>
      </c>
    </row>
    <row r="102" spans="1:12" x14ac:dyDescent="0.25">
      <c r="A102" s="1" t="s">
        <v>28</v>
      </c>
      <c r="B102" s="2" t="s">
        <v>161</v>
      </c>
      <c r="C102" s="3" t="s">
        <v>71</v>
      </c>
      <c r="J102" s="3" t="str">
        <f t="shared" ref="J102" si="24">J82</f>
        <v>Het</v>
      </c>
      <c r="K102" s="3" t="str">
        <f t="shared" si="20"/>
        <v>NC_000015.9:g.[78898723C&gt;T];[78898723=]</v>
      </c>
      <c r="L102" s="3" t="str">
        <f t="shared" si="20"/>
        <v>NC_000015.9:g.[78894339G&gt;A];[78894339=]</v>
      </c>
    </row>
    <row r="103" spans="1:12" x14ac:dyDescent="0.25">
      <c r="A103" s="3" t="s">
        <v>73</v>
      </c>
      <c r="B103" s="29">
        <f>L46</f>
        <v>42.9</v>
      </c>
      <c r="C103" s="3" t="str">
        <f>CONCATENATE("                    variantCall ",CHAR(40),CHAR(34),L103,CHAR(34),CHAR(41))</f>
        <v xml:space="preserve">                    variantCall ("NC_000015.9:g.[78894339G&gt;A];[78894339G&gt;A]")</v>
      </c>
      <c r="J103" s="3" t="str">
        <f t="shared" ref="J103" si="25">J83</f>
        <v>Homo</v>
      </c>
      <c r="K103" s="3" t="str">
        <f t="shared" si="20"/>
        <v>NC_000015.9:g.[78898723C&gt;T];[78898723C&gt;T]</v>
      </c>
      <c r="L103" s="3" t="str">
        <f t="shared" si="20"/>
        <v>NC_000015.9:g.[78894339G&gt;A];[78894339G&gt;A]</v>
      </c>
    </row>
    <row r="104" spans="1:12" x14ac:dyDescent="0.25">
      <c r="C104" s="3" t="str">
        <f>CONCATENATE("                  } &gt; ")</f>
        <v xml:space="preserve">                  } &gt; </v>
      </c>
      <c r="J104" s="3" t="str">
        <f t="shared" ref="J104" si="26">J84</f>
        <v>Wildtype</v>
      </c>
      <c r="K104" s="3" t="str">
        <f t="shared" si="20"/>
        <v>NC_000015.9:g.[78898723=];[78898723=]</v>
      </c>
      <c r="L104" s="3" t="str">
        <f t="shared" si="20"/>
        <v>NC_000015.9:g.[78894339=];[78894339=]</v>
      </c>
    </row>
    <row r="105" spans="1:12" x14ac:dyDescent="0.25">
      <c r="J105" s="3" t="str">
        <f t="shared" ref="J105" si="27">J85</f>
        <v>Het%</v>
      </c>
      <c r="K105" s="3">
        <f t="shared" si="20"/>
        <v>37.9</v>
      </c>
      <c r="L105" s="3">
        <f t="shared" si="20"/>
        <v>39.700000000000003</v>
      </c>
    </row>
    <row r="106" spans="1:12" x14ac:dyDescent="0.25">
      <c r="A106" s="14"/>
      <c r="C106" s="3" t="s">
        <v>26</v>
      </c>
      <c r="J106" s="3" t="str">
        <f t="shared" ref="J106" si="28">J86</f>
        <v>Homo%</v>
      </c>
      <c r="K106" s="3">
        <f t="shared" si="20"/>
        <v>15.9</v>
      </c>
      <c r="L106" s="3">
        <f t="shared" si="20"/>
        <v>42.9</v>
      </c>
    </row>
    <row r="107" spans="1:12" x14ac:dyDescent="0.25">
      <c r="A107" s="26"/>
      <c r="J107" s="3" t="str">
        <f t="shared" ref="J107" si="29">J87</f>
        <v>Wildtype%</v>
      </c>
      <c r="K107" s="3">
        <f t="shared" si="20"/>
        <v>46.2</v>
      </c>
      <c r="L107" s="3">
        <f t="shared" si="20"/>
        <v>17.399999999999999</v>
      </c>
    </row>
    <row r="108" spans="1:12" x14ac:dyDescent="0.25">
      <c r="A108" s="14"/>
      <c r="C108" s="3" t="str">
        <f>CONCATENATE("    ",B101)</f>
        <v xml:space="preserve">    People with this variant have two copies of the [C645T](https://www.ncbi.nlm.nih.gov/clinvar/variation/17503/) variant. This substitution of a single nucleotide is known as a missense mutation.</v>
      </c>
    </row>
    <row r="109" spans="1:12" x14ac:dyDescent="0.25">
      <c r="A109" s="14"/>
    </row>
    <row r="110" spans="1:12" x14ac:dyDescent="0.25">
      <c r="A110" s="26"/>
      <c r="C110" s="3" t="s">
        <v>29</v>
      </c>
    </row>
    <row r="111" spans="1:12" x14ac:dyDescent="0.25">
      <c r="A111" s="14"/>
    </row>
    <row r="112" spans="1:12" x14ac:dyDescent="0.25">
      <c r="A112" s="14"/>
      <c r="C112" s="3" t="str">
        <f>CONCATENATE(B102)</f>
        <v xml:space="preserve">    This homozygous variant causes increased risk of [adenocarcinoma and squamous cell lung cancer among Caucasians and African Americans](https://www.ncbi.nlm.nih.gov/pubmed/24254305), with an [odds ratio of 1.9](https://www.ncbi.nlm.nih.gov/pubmed/25233467), but not East Asians or people who have never smoked. It causes an increase in [cigarettes smoked per day](https://www.ncbi.nlm.nih.gov/pubmed/27663783)[(odds ratio 2.66)](https://www.ncbi.nlm.nih.gov/pubmed/25632390) and [severity of nicotine addiction (odds ratio 2.6)](https://www.ncbi.nlm.nih.gov/pubmed/25632390). There is a [5.8% decrease](https://www.ncbi.nlm.nih.gov/pubmed/25891233) in adherence to prescribed Nicotine replacement therapy (NRT) dose, and a [2.0mg decrease](https://www.ncbi.nlm.nih.gov/pubmed/25891233) in daily NRT consumption up to 28 days after beginning treatment. T alleles were associated with [1.18 kg lower body weight, 0.46 kg/m(2) lower body mass index, 0.64 cm lower waist circumference, and 0.90 cm lower hip circumference](https://www.ncbi.nlm.nih.gov/pubmed/25777141). It also causes [higher resting heart rate, lower systolic blood pressure, and higher HDL cholesterol](https://www.ncbi.nlm.nih.gov/pubmed/24867305). Among people who smoke more than 30 cigarettes per day, [fatigue and hopelessness](https://www.ncbi.nlm.nih.gov/pubmed/27613883) are also greatly increased. Homozygotes had increased risk of [antipsychotic medication and schizophrenia](https://www.ncbi.nlm.nih.gov/pubmed/26054357).
    # What should I do about this?
    People should not smoke. If you do smoke, be aware of your greatly increased risk for dependency and difficulty of quitting smoking, and consider regular checks for lung cancer. Monitor signs of schizophrenia and antipsychotic medication side effects.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v>
      </c>
    </row>
    <row r="113" spans="1:12" x14ac:dyDescent="0.25">
      <c r="A113" s="14"/>
    </row>
    <row r="114" spans="1:12" x14ac:dyDescent="0.25">
      <c r="A114" s="14"/>
      <c r="C114" s="3" t="s">
        <v>30</v>
      </c>
    </row>
    <row r="115" spans="1:12" x14ac:dyDescent="0.25">
      <c r="A115" s="26"/>
    </row>
    <row r="116" spans="1:12" x14ac:dyDescent="0.25">
      <c r="A116" s="26"/>
      <c r="C116" s="3" t="str">
        <f>CONCATENATE( "    &lt;piechart percentage=",B103," /&gt;")</f>
        <v xml:space="preserve">    &lt;piechart percentage=42.9 /&gt;</v>
      </c>
    </row>
    <row r="117" spans="1:12" x14ac:dyDescent="0.25">
      <c r="A117" s="26"/>
      <c r="C117" s="3" t="str">
        <f>"  &lt;/Analysis&gt;"</f>
        <v xml:space="preserve">  &lt;/Analysis&gt;</v>
      </c>
      <c r="K117" s="21" t="str">
        <f t="shared" ref="K117:L118" si="30">K97</f>
        <v>rs12914385</v>
      </c>
      <c r="L117" s="21" t="str">
        <f t="shared" si="30"/>
        <v>rs1051730</v>
      </c>
    </row>
    <row r="118" spans="1:12" s="21" customFormat="1" x14ac:dyDescent="0.25">
      <c r="A118" s="28" t="s">
        <v>70</v>
      </c>
      <c r="B118" s="20" t="str">
        <f>CONCATENATE(B38," and ",B78)</f>
        <v>C78606381T (C;T) and C645T  (C:T)</v>
      </c>
      <c r="C118" s="21" t="str">
        <f>CONCATENATE("&lt;# ",B118," #&gt;")</f>
        <v>&lt;# C78606381T (C;T) and C645T  (C:T) #&gt;</v>
      </c>
      <c r="K118" s="21" t="str">
        <f t="shared" si="30"/>
        <v>C78606381T</v>
      </c>
      <c r="L118" s="21" t="str">
        <f t="shared" si="30"/>
        <v xml:space="preserve">C645T </v>
      </c>
    </row>
    <row r="119" spans="1:12" x14ac:dyDescent="0.25">
      <c r="A119" s="14" t="s">
        <v>21</v>
      </c>
      <c r="B119" s="15" t="str">
        <f>K42</f>
        <v>NC_000015.9:g.[78898723C&gt;T];[78898723=]</v>
      </c>
      <c r="K119" s="3" t="str">
        <f t="shared" ref="K119:L119" si="31">K99</f>
        <v>NC_000015.9:g.</v>
      </c>
      <c r="L119" s="3" t="str">
        <f t="shared" si="31"/>
        <v>NC_000015.9:g.</v>
      </c>
    </row>
    <row r="120" spans="1:12" x14ac:dyDescent="0.25">
      <c r="A120" s="14" t="s">
        <v>72</v>
      </c>
      <c r="B120" s="15" t="str">
        <f>L42</f>
        <v>NC_000015.9:g.[78894339G&gt;A];[78894339=]</v>
      </c>
      <c r="C120" s="3" t="str">
        <f>CONCATENATE("  &lt;Analysis name=",CHAR(34),B118,CHAR(34))</f>
        <v xml:space="preserve">  &lt;Analysis name="C78606381T (C;T) and C645T  (C:T)"</v>
      </c>
      <c r="J120" s="3" t="str">
        <f t="shared" ref="J120:L124" si="32">J100</f>
        <v>Variant</v>
      </c>
      <c r="K120" s="3" t="str">
        <f t="shared" si="32"/>
        <v>[78898723C&gt;T]</v>
      </c>
      <c r="L120" s="3" t="str">
        <f t="shared" si="32"/>
        <v>[78894339G&gt;A]</v>
      </c>
    </row>
    <row r="121" spans="1:12" x14ac:dyDescent="0.25">
      <c r="A121" s="26" t="s">
        <v>75</v>
      </c>
      <c r="B121" s="15" t="str">
        <f>CONCATENATE("People with this variant have one copy of the ",B22, " and ",B31," variants. This substitution of a single nucleotide is known as a missense mutation.")</f>
        <v>People with this variant have one copy of the [C78606381T](https://www.ncbi.nlm.nih.gov/projects/SNP/snp_ref.cgi?rs=12914385) and [C645T](https://www.ncbi.nlm.nih.gov/clinvar/variation/17503/) variants. This substitution of a single nucleotide is known as a missense mutation.</v>
      </c>
      <c r="C121" s="3" t="str">
        <f>CONCATENATE("            case={  variantCall ",CHAR(40),CHAR(34),K122,CHAR(34),CHAR(41))</f>
        <v xml:space="preserve">            case={  variantCall ("NC_000015.9:g.[78898723C&gt;T];[78898723=]")</v>
      </c>
      <c r="J121" s="3" t="str">
        <f t="shared" si="32"/>
        <v>Wildtype</v>
      </c>
      <c r="K121" s="3" t="str">
        <f t="shared" si="32"/>
        <v>[78898723=]</v>
      </c>
      <c r="L121" s="3" t="str">
        <f t="shared" si="32"/>
        <v>[78894339=]</v>
      </c>
    </row>
    <row r="122" spans="1:12" x14ac:dyDescent="0.25">
      <c r="A122" s="26" t="s">
        <v>28</v>
      </c>
      <c r="B122" s="15" t="s">
        <v>163</v>
      </c>
      <c r="C122" s="3" t="s">
        <v>71</v>
      </c>
      <c r="J122" s="3" t="str">
        <f t="shared" si="32"/>
        <v>Het</v>
      </c>
      <c r="K122" s="3" t="str">
        <f t="shared" si="32"/>
        <v>NC_000015.9:g.[78898723C&gt;T];[78898723=]</v>
      </c>
      <c r="L122" s="3" t="str">
        <f t="shared" si="32"/>
        <v>NC_000015.9:g.[78894339G&gt;A];[78894339=]</v>
      </c>
    </row>
    <row r="123" spans="1:12" x14ac:dyDescent="0.25">
      <c r="A123" s="26" t="s">
        <v>73</v>
      </c>
      <c r="C123" s="3" t="str">
        <f>CONCATENATE("                    variantCall ",CHAR(40),CHAR(34),L122,CHAR(34),CHAR(41))</f>
        <v xml:space="preserve">                    variantCall ("NC_000015.9:g.[78894339G&gt;A];[78894339=]")</v>
      </c>
      <c r="J123" s="3" t="str">
        <f t="shared" si="32"/>
        <v>Homo</v>
      </c>
      <c r="K123" s="3" t="str">
        <f t="shared" si="32"/>
        <v>NC_000015.9:g.[78898723C&gt;T];[78898723C&gt;T]</v>
      </c>
      <c r="L123" s="3" t="str">
        <f t="shared" si="32"/>
        <v>NC_000015.9:g.[78894339G&gt;A];[78894339G&gt;A]</v>
      </c>
    </row>
    <row r="124" spans="1:12" x14ac:dyDescent="0.25">
      <c r="A124" s="26"/>
      <c r="C124" s="3" t="str">
        <f>CONCATENATE("                  } &gt; ")</f>
        <v xml:space="preserve">                  } &gt; </v>
      </c>
      <c r="J124" s="3" t="str">
        <f t="shared" si="32"/>
        <v>Wildtype</v>
      </c>
      <c r="K124" s="3" t="str">
        <f t="shared" si="32"/>
        <v>NC_000015.9:g.[78898723=];[78898723=]</v>
      </c>
      <c r="L124" s="3" t="str">
        <f t="shared" si="32"/>
        <v>NC_000015.9:g.[78894339=];[78894339=]</v>
      </c>
    </row>
    <row r="125" spans="1:12" x14ac:dyDescent="0.25">
      <c r="A125" s="26"/>
      <c r="J125" s="3" t="str">
        <f>J105</f>
        <v>Het%</v>
      </c>
      <c r="K125" s="3">
        <f>K105</f>
        <v>37.9</v>
      </c>
      <c r="L125" s="3">
        <f>L105</f>
        <v>39.700000000000003</v>
      </c>
    </row>
    <row r="126" spans="1:12" x14ac:dyDescent="0.25">
      <c r="A126" s="26"/>
      <c r="C126" s="3" t="s">
        <v>26</v>
      </c>
      <c r="J126" s="3" t="str">
        <f t="shared" ref="J126:L127" si="33">J106</f>
        <v>Homo%</v>
      </c>
      <c r="K126" s="3">
        <f t="shared" si="33"/>
        <v>15.9</v>
      </c>
      <c r="L126" s="3">
        <f t="shared" si="33"/>
        <v>42.9</v>
      </c>
    </row>
    <row r="127" spans="1:12" x14ac:dyDescent="0.25">
      <c r="A127" s="14"/>
      <c r="J127" s="3" t="str">
        <f t="shared" si="33"/>
        <v>Wildtype%</v>
      </c>
      <c r="K127" s="3">
        <f t="shared" si="33"/>
        <v>46.2</v>
      </c>
      <c r="L127" s="3">
        <f t="shared" si="33"/>
        <v>17.399999999999999</v>
      </c>
    </row>
    <row r="128" spans="1:12" x14ac:dyDescent="0.25">
      <c r="A128" s="14"/>
      <c r="C128" s="3" t="str">
        <f>CONCATENATE("    ",B121)</f>
        <v xml:space="preserve">    People with this variant have one copy of the [C78606381T](https://www.ncbi.nlm.nih.gov/projects/SNP/snp_ref.cgi?rs=12914385) and [C645T](https://www.ncbi.nlm.nih.gov/clinvar/variation/17503/) variants. This substitution of a single nucleotide is known as a missense mutation.</v>
      </c>
    </row>
    <row r="129" spans="1:12" x14ac:dyDescent="0.25">
      <c r="A129" s="14"/>
    </row>
    <row r="130" spans="1:12" x14ac:dyDescent="0.25">
      <c r="A130" s="14"/>
      <c r="C130" s="3" t="s">
        <v>29</v>
      </c>
    </row>
    <row r="131" spans="1:12" x14ac:dyDescent="0.25">
      <c r="A131" s="14"/>
    </row>
    <row r="132" spans="1:12" x14ac:dyDescent="0.25">
      <c r="A132" s="26"/>
      <c r="C132" s="3" t="str">
        <f>CONCATENATE(B122)</f>
        <v xml:space="preserve">    There is currently no data on the interaction between these variants.  However, some information exists on the individual variants. 
    # What is the effect of C78606381T (C;T)?
    The CHRNA3 protein plays a role in developing nicotine dependence and regulating nicotine receptor proliferation and destruction. Incorrect formation of the nicotine neurotransmitter receptor protein has a variety of effects. This heterozygous variant causes increased risk of [lung cancer](https://www.ncbi.nlm.nih.gov/pubmed/23094028), with an [odds ratio of 1.2](https://www.ncbi.nlm.nih.gov/pubmed/28827732), and [COPD](https://www.ncbi.nlm.nih.gov/pubmed/24621683), with an [odds ratio of 1.39](https://www.ncbi.nlm.nih.gov/pubmed/24621683). It causes an [increase](https://www.ncbi.nlm.nih.gov/pubmed/29030599) of [one](https://www.ncbi.nlm.nih.gov/pubmed/21559498)[cigarette](https://www.ncbi.nlm.nih.gov/pubmed/23870182)[per day](https://www.ncbi.nlm.nih.gov/pubmed/20418890) and may also cause [smoking persistence](https://www.ncbi.nlm.nih.gov/pubmed/22290489). However, the C allele is protective, with a [decrease of 3.25 packs per year per C allele](https://www.ncbi.nlm.nih.gov/pubmed/21436384). Finally, his variant may cause an increase in [cocaine dependence](https://www.ncbi.nlm.nih.gov/pubmed/20485328).
    # What is the effect of C645T?
    This heterozygous variant causes increased risk of [adenocarcinoma](https://www.ncbi.nlm.nih.gov/pubmed/27072204) and [squamous cell lung cancer among Caucasians and African Americans](https://www.ncbi.nlm.nih.gov/pubmed/24254305), with an [odds ratio of 2.25](https://www.ncbi.nlm.nih.gov/pubmed/24337855), but not in East Asians or people who have never smoked. It causes an increase in [cigarettes smoked per day](https://www.ncbi.nlm.nih.gov/pubmed/27663783)[(odds ratio 2.66)](https://www.ncbi.nlm.nih.gov/pubmed/25632390) and [severity of nicotine addiction (odds ratio 2.6)](https://www.ncbi.nlm.nih.gov/pubmed/25632390). There is a [2.9% decrease](https://www.ncbi.nlm.nih.gov/pubmed/25891233) in adherence to prescribed Nicotine replacement therapy (NRT) dose, and a [1.0mg decrease](https://www.ncbi.nlm.nih.gov/pubmed/25891233) in daily NRT consumption up to 28 days after beginning treatment. Physical changes associated with one T allele include [0.59 kg lower body weight, 0.23 kg/m(2) lower body mass index, 0.32 cm lower waist circumference, and 0.45 cm lower hip circumference](https://www.ncbi.nlm.nih.gov/pubmed/25777141). It also is associated with [higher resting heart rate, lower systolic blood pressure, and higher HDL cholesterol](https://www.ncbi.nlm.nih.gov/pubmed/24867305).
    # What should I do about this?
    People should not smoke or use cocaine. If you do smoke, be aware of your risk for dependency and increased difficulty of quitting smoking.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v>
      </c>
    </row>
    <row r="133" spans="1:12" x14ac:dyDescent="0.25">
      <c r="A133" s="26"/>
    </row>
    <row r="134" spans="1:12" x14ac:dyDescent="0.25">
      <c r="A134" s="26"/>
      <c r="C134" s="3" t="s">
        <v>30</v>
      </c>
    </row>
    <row r="135" spans="1:12" x14ac:dyDescent="0.25">
      <c r="A135" s="26"/>
    </row>
    <row r="136" spans="1:12" x14ac:dyDescent="0.25">
      <c r="A136" s="26"/>
      <c r="C136" s="3" t="str">
        <f>CONCATENATE( "    &lt;piechart percentage=",B123," /&gt;")</f>
        <v xml:space="preserve">    &lt;piechart percentage= /&gt;</v>
      </c>
    </row>
    <row r="137" spans="1:12" x14ac:dyDescent="0.25">
      <c r="A137" s="26"/>
      <c r="C137" s="3" t="str">
        <f>"  &lt;/Analysis&gt;"</f>
        <v xml:space="preserve">  &lt;/Analysis&gt;</v>
      </c>
      <c r="K137" s="21" t="str">
        <f t="shared" ref="K137:L137" si="34">K117</f>
        <v>rs12914385</v>
      </c>
      <c r="L137" s="21" t="str">
        <f t="shared" si="34"/>
        <v>rs1051730</v>
      </c>
    </row>
    <row r="138" spans="1:12" s="21" customFormat="1" x14ac:dyDescent="0.25">
      <c r="A138" s="28" t="s">
        <v>70</v>
      </c>
      <c r="B138" s="20" t="str">
        <f>CONCATENATE(B58," and ",B78)</f>
        <v>C78606381T (T;T) and C645T  (C:T)</v>
      </c>
      <c r="C138" s="21" t="str">
        <f>CONCATENATE("&lt;# ",B138," #&gt;")</f>
        <v>&lt;# C78606381T (T;T) and C645T  (C:T) #&gt;</v>
      </c>
      <c r="K138" s="21" t="str">
        <f t="shared" ref="K138:L138" si="35">K118</f>
        <v>C78606381T</v>
      </c>
      <c r="L138" s="21" t="str">
        <f t="shared" si="35"/>
        <v xml:space="preserve">C645T </v>
      </c>
    </row>
    <row r="139" spans="1:12" x14ac:dyDescent="0.25">
      <c r="A139" s="14" t="s">
        <v>21</v>
      </c>
      <c r="B139" s="15" t="str">
        <f>K62</f>
        <v>NC_000015.9:g.[78898723C&gt;T];[78898723=]</v>
      </c>
      <c r="K139" s="3" t="str">
        <f t="shared" ref="K139:L139" si="36">K119</f>
        <v>NC_000015.9:g.</v>
      </c>
      <c r="L139" s="3" t="str">
        <f t="shared" si="36"/>
        <v>NC_000015.9:g.</v>
      </c>
    </row>
    <row r="140" spans="1:12" x14ac:dyDescent="0.25">
      <c r="A140" s="14" t="s">
        <v>72</v>
      </c>
      <c r="B140" s="15" t="str">
        <f>L62</f>
        <v>NC_000015.9:g.[78894339G&gt;A];[78894339=]</v>
      </c>
      <c r="C140" s="3" t="str">
        <f>CONCATENATE("  &lt;Analysis name=",CHAR(34),B138,CHAR(34))</f>
        <v xml:space="preserve">  &lt;Analysis name="C78606381T (T;T) and C645T  (C:T)"</v>
      </c>
      <c r="J140" s="3" t="str">
        <f t="shared" ref="J140:L140" si="37">J120</f>
        <v>Variant</v>
      </c>
      <c r="K140" s="3" t="str">
        <f t="shared" si="37"/>
        <v>[78898723C&gt;T]</v>
      </c>
      <c r="L140" s="3" t="str">
        <f t="shared" si="37"/>
        <v>[78894339G&gt;A]</v>
      </c>
    </row>
    <row r="141" spans="1:12" x14ac:dyDescent="0.25">
      <c r="A141" s="26" t="s">
        <v>75</v>
      </c>
      <c r="B141" s="15" t="str">
        <f>CONCATENATE("People with this variant have one copy of the ",B31, " and two copies of the ",B22," variants. This substitution of a single nucleotide is known as a missense mutation.")</f>
        <v>People with this variant have one copy of the [C645T](https://www.ncbi.nlm.nih.gov/clinvar/variation/17503/) and two copies of the [C78606381T](https://www.ncbi.nlm.nih.gov/projects/SNP/snp_ref.cgi?rs=12914385) variants. This substitution of a single nucleotide is known as a missense mutation.</v>
      </c>
      <c r="C141" s="3" t="str">
        <f>CONCATENATE("            case={  variantCall ",CHAR(40),CHAR(34),K143,CHAR(34),CHAR(41))</f>
        <v xml:space="preserve">            case={  variantCall ("NC_000015.9:g.[78898723C&gt;T];[78898723C&gt;T]")</v>
      </c>
      <c r="J141" s="3" t="str">
        <f t="shared" ref="J141:L141" si="38">J121</f>
        <v>Wildtype</v>
      </c>
      <c r="K141" s="3" t="str">
        <f t="shared" si="38"/>
        <v>[78898723=]</v>
      </c>
      <c r="L141" s="3" t="str">
        <f t="shared" si="38"/>
        <v>[78894339=]</v>
      </c>
    </row>
    <row r="142" spans="1:12" x14ac:dyDescent="0.25">
      <c r="A142" s="26" t="s">
        <v>28</v>
      </c>
      <c r="B142" s="15" t="s">
        <v>164</v>
      </c>
      <c r="C142" s="3" t="s">
        <v>71</v>
      </c>
      <c r="J142" s="3" t="str">
        <f t="shared" ref="J142:L142" si="39">J122</f>
        <v>Het</v>
      </c>
      <c r="K142" s="3" t="str">
        <f t="shared" si="39"/>
        <v>NC_000015.9:g.[78898723C&gt;T];[78898723=]</v>
      </c>
      <c r="L142" s="3" t="str">
        <f t="shared" si="39"/>
        <v>NC_000015.9:g.[78894339G&gt;A];[78894339=]</v>
      </c>
    </row>
    <row r="143" spans="1:12" x14ac:dyDescent="0.25">
      <c r="A143" s="26" t="s">
        <v>73</v>
      </c>
      <c r="C143" s="3" t="str">
        <f>CONCATENATE("                    variantCall ",CHAR(40),CHAR(34),L142,CHAR(34),CHAR(41))</f>
        <v xml:space="preserve">                    variantCall ("NC_000015.9:g.[78894339G&gt;A];[78894339=]")</v>
      </c>
      <c r="J143" s="3" t="str">
        <f t="shared" ref="J143:L143" si="40">J123</f>
        <v>Homo</v>
      </c>
      <c r="K143" s="3" t="str">
        <f t="shared" si="40"/>
        <v>NC_000015.9:g.[78898723C&gt;T];[78898723C&gt;T]</v>
      </c>
      <c r="L143" s="3" t="str">
        <f t="shared" si="40"/>
        <v>NC_000015.9:g.[78894339G&gt;A];[78894339G&gt;A]</v>
      </c>
    </row>
    <row r="144" spans="1:12" x14ac:dyDescent="0.25">
      <c r="A144" s="26"/>
      <c r="C144" s="3" t="str">
        <f>CONCATENATE("                  } &gt; ")</f>
        <v xml:space="preserve">                  } &gt; </v>
      </c>
      <c r="J144" s="3" t="str">
        <f t="shared" ref="J144:L144" si="41">J124</f>
        <v>Wildtype</v>
      </c>
      <c r="K144" s="3" t="str">
        <f t="shared" si="41"/>
        <v>NC_000015.9:g.[78898723=];[78898723=]</v>
      </c>
      <c r="L144" s="3" t="str">
        <f t="shared" si="41"/>
        <v>NC_000015.9:g.[78894339=];[78894339=]</v>
      </c>
    </row>
    <row r="145" spans="1:12" x14ac:dyDescent="0.25">
      <c r="A145" s="26"/>
      <c r="J145" s="3" t="str">
        <f>J125</f>
        <v>Het%</v>
      </c>
      <c r="K145" s="3">
        <f>K125</f>
        <v>37.9</v>
      </c>
      <c r="L145" s="3">
        <f>L125</f>
        <v>39.700000000000003</v>
      </c>
    </row>
    <row r="146" spans="1:12" x14ac:dyDescent="0.25">
      <c r="A146" s="26"/>
      <c r="C146" s="3" t="s">
        <v>26</v>
      </c>
      <c r="J146" s="3" t="str">
        <f t="shared" ref="J146:L146" si="42">J126</f>
        <v>Homo%</v>
      </c>
      <c r="K146" s="3">
        <f t="shared" si="42"/>
        <v>15.9</v>
      </c>
      <c r="L146" s="3">
        <f t="shared" si="42"/>
        <v>42.9</v>
      </c>
    </row>
    <row r="147" spans="1:12" x14ac:dyDescent="0.25">
      <c r="A147" s="14"/>
      <c r="J147" s="3" t="str">
        <f t="shared" ref="J147:L147" si="43">J127</f>
        <v>Wildtype%</v>
      </c>
      <c r="K147" s="3">
        <f t="shared" si="43"/>
        <v>46.2</v>
      </c>
      <c r="L147" s="3">
        <f t="shared" si="43"/>
        <v>17.399999999999999</v>
      </c>
    </row>
    <row r="148" spans="1:12" x14ac:dyDescent="0.25">
      <c r="A148" s="14"/>
      <c r="C148" s="3" t="str">
        <f>CONCATENATE("    ",B141)</f>
        <v xml:space="preserve">    People with this variant have one copy of the [C645T](https://www.ncbi.nlm.nih.gov/clinvar/variation/17503/) and two copies of the [C78606381T](https://www.ncbi.nlm.nih.gov/projects/SNP/snp_ref.cgi?rs=12914385) variants. This substitution of a single nucleotide is known as a missense mutation.</v>
      </c>
    </row>
    <row r="149" spans="1:12" x14ac:dyDescent="0.25">
      <c r="A149" s="14"/>
    </row>
    <row r="150" spans="1:12" x14ac:dyDescent="0.25">
      <c r="A150" s="14"/>
      <c r="C150" s="3" t="s">
        <v>29</v>
      </c>
    </row>
    <row r="151" spans="1:12" x14ac:dyDescent="0.25">
      <c r="A151" s="14"/>
    </row>
    <row r="152" spans="1:12" x14ac:dyDescent="0.25">
      <c r="A152" s="26"/>
      <c r="C152" s="3" t="str">
        <f>CONCATENATE(B142)</f>
        <v xml:space="preserve">    There is currently no data on the interaction between these variants.  However, some information exists on the individual variants. 
    # What is the effect of C78606381T (T;T)?
    The CHRNA3 protein plays a role in developing nicotine dependence and regulating nicotine receptor proliferation and destruction. Incorrect formation of the nicotine neurotransmitter receptor protein has a variety of effects. This homozygous variant causes greatly increased risk of [lung cancer](https://www.ncbi.nlm.nih.gov/pubmed/23094028), with an [odds ratio of 1.44](https://www.ncbi.nlm.nih.gov/pubmed/21559498), and [COPD](https://www.ncbi.nlm.nih.gov/pubmed/24621683), with an [odds ratio of 1.39](https://www.ncbi.nlm.nih.gov/pubmed/24621683). It causes an [increase](https://www.ncbi.nlm.nih.gov/pubmed/29030599) of [two](https://www.ncbi.nlm.nih.gov/pubmed/21559498)[cigarettes](https://www.ncbi.nlm.nih.gov/pubmed/23870182)[per day](https://www.ncbi.nlm.nih.gov/pubmed/20418890) and may also cause greatly increased [smoking persistence](https://www.ncbi.nlm.nih.gov/pubmed/22290489). This variant may cause an increase in [cocaine dependence](https://www.ncbi.nlm.nih.gov/pubmed/20485328).
    Natural killer cells (NKC) are a type of white blood cells found in the blood, bone marrow, spleen, and lymph nodes. They kill viral infected cells and tumorous cells. CFS patients have half the cellular efficiency of the normal population with a [17% cellular death rate](https://www.ncbi.nlm.nih.gov/pubmed/27099524). The C78606381T (T;T) variant decreases gene expression in both the DNA and RNA, causing significant reduction in NKC activity. This variant was five as common in [CFS patients at 85.7% with an odds ratio of 6.22.](https://www.ncbi.nlm.nih.gov/pubmed/27099524).
    # What is the effect of C645T?
    This heterozygous variant causes increased risk of [adenocarcinoma](https://www.ncbi.nlm.nih.gov/pubmed/27072204) and [squamous cell lung cancer among Caucasians and African Americans](https://www.ncbi.nlm.nih.gov/pubmed/24254305), with an [odds ratio of 2.25](https://www.ncbi.nlm.nih.gov/pubmed/24337855), but not in East Asians or people who have never smoked. It causes an increase in [cigarettes smoked per day](https://www.ncbi.nlm.nih.gov/pubmed/27663783)[(odds ratio 2.66)](https://www.ncbi.nlm.nih.gov/pubmed/25632390) and [severity of nicotine addiction (odds ratio 2.6)](https://www.ncbi.nlm.nih.gov/pubmed/25632390). There is a [2.9% decrease](https://www.ncbi.nlm.nih.gov/pubmed/25891233) in adherence to prescribed Nicotine replacement therapy (NRT) dose, and a [1.0mg decrease](https://www.ncbi.nlm.nih.gov/pubmed/25891233) in daily NRT consumption up to 28 days after beginning treatment. Physical changes associated with one T allele include [0.59 kg lower body weight, 0.23 kg/m(2) lower body mass index, 0.32 cm lower waist circumference, and 0.45 cm lower hip circumference](https://www.ncbi.nlm.nih.gov/pubmed/25777141). It also is associated with [higher resting heart rate, lower systolic blood pressure, and higher HDL cholesterol](https://www.ncbi.nlm.nih.gov/pubmed/24867305).
     #What should I do about this?
    People should not smoke or use cocaine. If you do smoke, be aware of your greatly increased risk for dependency and difficulty of quitting smoking, and consider regular checks for lung cancer.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
    Many dietary supplements have been found to increase or decrease natural killer cell (NKC) function.
    - [Resveratrol](https://www.ncbi.nlm.nih.gov/pmc/articles/PMC4855330/) stimulates the immune system in increase NKC activity, but sufficient body concentration can only be achieved through supplementation. 
    - [Myricetin](https://www.ncbi.nlm.nih.gov/pubmed/25075019), a flavonoid found in food and red wine, can increase NKC activity. 
    - [Quercetin](https://www.ncbi.nlm.nih.gov/pubmed/19449452), a flavonoid in onions and fruits may improve NKC and T cell function. 
    [Histone deacetylase inhibitors (HDACi) including suberoylanilide hydroxamic acid and valproric acid](https://www.ncbi.nlm.nih.gov/pubmed/17349632/) impair NKC function, and should be avoided.</v>
      </c>
    </row>
    <row r="153" spans="1:12" x14ac:dyDescent="0.25">
      <c r="A153" s="26"/>
    </row>
    <row r="154" spans="1:12" x14ac:dyDescent="0.25">
      <c r="A154" s="26"/>
      <c r="C154" s="3" t="s">
        <v>30</v>
      </c>
    </row>
    <row r="155" spans="1:12" x14ac:dyDescent="0.25">
      <c r="A155" s="26"/>
    </row>
    <row r="156" spans="1:12" x14ac:dyDescent="0.25">
      <c r="A156" s="26"/>
      <c r="C156" s="3" t="str">
        <f>CONCATENATE( "    &lt;piechart percentage=",B143," /&gt;")</f>
        <v xml:space="preserve">    &lt;piechart percentage= /&gt;</v>
      </c>
    </row>
    <row r="157" spans="1:12" x14ac:dyDescent="0.25">
      <c r="A157" s="26"/>
      <c r="C157" s="3" t="str">
        <f>"  &lt;/Analysis&gt;"</f>
        <v xml:space="preserve">  &lt;/Analysis&gt;</v>
      </c>
      <c r="K157" s="21" t="str">
        <f t="shared" ref="K157:L157" si="44">K117</f>
        <v>rs12914385</v>
      </c>
      <c r="L157" s="21" t="str">
        <f t="shared" si="44"/>
        <v>rs1051730</v>
      </c>
    </row>
    <row r="158" spans="1:12" s="21" customFormat="1" x14ac:dyDescent="0.25">
      <c r="A158" s="28" t="s">
        <v>70</v>
      </c>
      <c r="B158" s="20" t="str">
        <f>CONCATENATE(B58," and ",B98)</f>
        <v>C78606381T (T;T) and C645T  (T;T)</v>
      </c>
      <c r="C158" s="21" t="str">
        <f>CONCATENATE("&lt;# ",B158," #&gt;")</f>
        <v>&lt;# C78606381T (T;T) and C645T  (T;T) #&gt;</v>
      </c>
      <c r="K158" s="21" t="str">
        <f t="shared" ref="K158:L158" si="45">K118</f>
        <v>C78606381T</v>
      </c>
      <c r="L158" s="21" t="str">
        <f t="shared" si="45"/>
        <v xml:space="preserve">C645T </v>
      </c>
    </row>
    <row r="159" spans="1:12" x14ac:dyDescent="0.25">
      <c r="A159" s="14" t="s">
        <v>21</v>
      </c>
      <c r="B159" s="15" t="str">
        <f>K62</f>
        <v>NC_000015.9:g.[78898723C&gt;T];[78898723=]</v>
      </c>
      <c r="K159" s="3" t="str">
        <f t="shared" ref="K159:L159" si="46">K119</f>
        <v>NC_000015.9:g.</v>
      </c>
      <c r="L159" s="3" t="str">
        <f t="shared" si="46"/>
        <v>NC_000015.9:g.</v>
      </c>
    </row>
    <row r="160" spans="1:12" x14ac:dyDescent="0.25">
      <c r="A160" s="14" t="s">
        <v>72</v>
      </c>
      <c r="B160" s="15" t="str">
        <f>L62</f>
        <v>NC_000015.9:g.[78894339G&gt;A];[78894339=]</v>
      </c>
      <c r="C160" s="3" t="str">
        <f>CONCATENATE("  &lt;Analysis name=",CHAR(34),B158,CHAR(34))</f>
        <v xml:space="preserve">  &lt;Analysis name="C78606381T (T;T) and C645T  (T;T)"</v>
      </c>
      <c r="J160" s="3" t="str">
        <f t="shared" ref="J160:L160" si="47">J120</f>
        <v>Variant</v>
      </c>
      <c r="K160" s="3" t="str">
        <f t="shared" si="47"/>
        <v>[78898723C&gt;T]</v>
      </c>
      <c r="L160" s="3" t="str">
        <f t="shared" si="47"/>
        <v>[78894339G&gt;A]</v>
      </c>
    </row>
    <row r="161" spans="1:12" x14ac:dyDescent="0.25">
      <c r="A161" s="26" t="s">
        <v>75</v>
      </c>
      <c r="B161" s="15" t="str">
        <f>CONCATENATE("People with this variant have two copies of the ",B22, " and ",B31," variants. This substitution of a single nucleotide is known as a missense mutation.")</f>
        <v>People with this variant have two copies of the [C78606381T](https://www.ncbi.nlm.nih.gov/projects/SNP/snp_ref.cgi?rs=12914385) and [C645T](https://www.ncbi.nlm.nih.gov/clinvar/variation/17503/) variants. This substitution of a single nucleotide is known as a missense mutation.</v>
      </c>
      <c r="C161" s="3" t="str">
        <f>CONCATENATE("            case={  variantCall ",CHAR(40),CHAR(34),K163,CHAR(34),CHAR(41))</f>
        <v xml:space="preserve">            case={  variantCall ("NC_000015.9:g.[78898723C&gt;T];[78898723C&gt;T]")</v>
      </c>
      <c r="J161" s="3" t="str">
        <f t="shared" ref="J161:L161" si="48">J121</f>
        <v>Wildtype</v>
      </c>
      <c r="K161" s="3" t="str">
        <f t="shared" si="48"/>
        <v>[78898723=]</v>
      </c>
      <c r="L161" s="3" t="str">
        <f t="shared" si="48"/>
        <v>[78894339=]</v>
      </c>
    </row>
    <row r="162" spans="1:12" x14ac:dyDescent="0.25">
      <c r="A162" s="26" t="s">
        <v>28</v>
      </c>
      <c r="B162" s="15" t="s">
        <v>165</v>
      </c>
      <c r="C162" s="3" t="s">
        <v>71</v>
      </c>
      <c r="J162" s="3" t="str">
        <f t="shared" ref="J162:L162" si="49">J122</f>
        <v>Het</v>
      </c>
      <c r="K162" s="3" t="str">
        <f t="shared" si="49"/>
        <v>NC_000015.9:g.[78898723C&gt;T];[78898723=]</v>
      </c>
      <c r="L162" s="3" t="str">
        <f t="shared" si="49"/>
        <v>NC_000015.9:g.[78894339G&gt;A];[78894339=]</v>
      </c>
    </row>
    <row r="163" spans="1:12" x14ac:dyDescent="0.25">
      <c r="A163" s="26" t="s">
        <v>73</v>
      </c>
      <c r="C163" s="3" t="str">
        <f>CONCATENATE("                    variantCall ",CHAR(40),CHAR(34),L163,CHAR(34),CHAR(41))</f>
        <v xml:space="preserve">                    variantCall ("NC_000015.9:g.[78894339G&gt;A];[78894339G&gt;A]")</v>
      </c>
      <c r="J163" s="3" t="str">
        <f t="shared" ref="J163:L163" si="50">J123</f>
        <v>Homo</v>
      </c>
      <c r="K163" s="3" t="str">
        <f t="shared" si="50"/>
        <v>NC_000015.9:g.[78898723C&gt;T];[78898723C&gt;T]</v>
      </c>
      <c r="L163" s="3" t="str">
        <f t="shared" si="50"/>
        <v>NC_000015.9:g.[78894339G&gt;A];[78894339G&gt;A]</v>
      </c>
    </row>
    <row r="164" spans="1:12" x14ac:dyDescent="0.25">
      <c r="A164" s="26"/>
      <c r="C164" s="3" t="str">
        <f>CONCATENATE("                  } &gt; ")</f>
        <v xml:space="preserve">                  } &gt; </v>
      </c>
      <c r="J164" s="3" t="str">
        <f t="shared" ref="J164:L164" si="51">J124</f>
        <v>Wildtype</v>
      </c>
      <c r="K164" s="3" t="str">
        <f t="shared" si="51"/>
        <v>NC_000015.9:g.[78898723=];[78898723=]</v>
      </c>
      <c r="L164" s="3" t="str">
        <f t="shared" si="51"/>
        <v>NC_000015.9:g.[78894339=];[78894339=]</v>
      </c>
    </row>
    <row r="165" spans="1:12" x14ac:dyDescent="0.25">
      <c r="A165" s="26"/>
      <c r="J165" s="3" t="str">
        <f>J125</f>
        <v>Het%</v>
      </c>
      <c r="K165" s="3">
        <f>K125</f>
        <v>37.9</v>
      </c>
      <c r="L165" s="3">
        <f>L125</f>
        <v>39.700000000000003</v>
      </c>
    </row>
    <row r="166" spans="1:12" x14ac:dyDescent="0.25">
      <c r="A166" s="26"/>
      <c r="C166" s="3" t="s">
        <v>26</v>
      </c>
      <c r="J166" s="3" t="str">
        <f t="shared" ref="J166:L166" si="52">J126</f>
        <v>Homo%</v>
      </c>
      <c r="K166" s="3">
        <f t="shared" si="52"/>
        <v>15.9</v>
      </c>
      <c r="L166" s="3">
        <f t="shared" si="52"/>
        <v>42.9</v>
      </c>
    </row>
    <row r="167" spans="1:12" x14ac:dyDescent="0.25">
      <c r="A167" s="14"/>
      <c r="J167" s="3" t="str">
        <f t="shared" ref="J167:L167" si="53">J127</f>
        <v>Wildtype%</v>
      </c>
      <c r="K167" s="3">
        <f t="shared" si="53"/>
        <v>46.2</v>
      </c>
      <c r="L167" s="3">
        <f t="shared" si="53"/>
        <v>17.399999999999999</v>
      </c>
    </row>
    <row r="168" spans="1:12" x14ac:dyDescent="0.25">
      <c r="A168" s="14"/>
      <c r="C168" s="3" t="str">
        <f>CONCATENATE("    ",B161)</f>
        <v xml:space="preserve">    People with this variant have two copies of the [C78606381T](https://www.ncbi.nlm.nih.gov/projects/SNP/snp_ref.cgi?rs=12914385) and [C645T](https://www.ncbi.nlm.nih.gov/clinvar/variation/17503/) variants. This substitution of a single nucleotide is known as a missense mutation.</v>
      </c>
    </row>
    <row r="169" spans="1:12" x14ac:dyDescent="0.25">
      <c r="A169" s="14"/>
    </row>
    <row r="170" spans="1:12" x14ac:dyDescent="0.25">
      <c r="A170" s="14"/>
      <c r="C170" s="3" t="s">
        <v>29</v>
      </c>
    </row>
    <row r="171" spans="1:12" x14ac:dyDescent="0.25">
      <c r="A171" s="14"/>
    </row>
    <row r="172" spans="1:12" x14ac:dyDescent="0.25">
      <c r="A172" s="26"/>
      <c r="C172" s="3" t="str">
        <f>CONCATENATE(B162)</f>
        <v xml:space="preserve">    There is currently no data on the interaction between these variants.  However, some information exists on the individual variants. 
    # What is the effect of C78606381T (T;T)?
    The CHRNA3 protein plays a role in developing nicotine dependence and regulating nicotine receptor proliferation and destruction. Incorrect formation of the nicotine neurotransmitter receptor protein has a variety of effects. This homozygous variant causes greatly increased risk of [lung cancer](https://www.ncbi.nlm.nih.gov/pubmed/23094028), with an [odds ratio of 1.44](https://www.ncbi.nlm.nih.gov/pubmed/21559498), and [COPD](https://www.ncbi.nlm.nih.gov/pubmed/24621683), with an [odds ratio of 1.39](https://www.ncbi.nlm.nih.gov/pubmed/24621683). It causes an [increase](https://www.ncbi.nlm.nih.gov/pubmed/29030599) of [two](https://www.ncbi.nlm.nih.gov/pubmed/21559498)[cigarettes](https://www.ncbi.nlm.nih.gov/pubmed/23870182)[per day](https://www.ncbi.nlm.nih.gov/pubmed/20418890) and may also cause greatly increased [smoking persistence](https://www.ncbi.nlm.nih.gov/pubmed/22290489). This variant may cause an increase in [cocaine dependence](https://www.ncbi.nlm.nih.gov/pubmed/20485328).
    Natural killer cells (NKC) are a type of white blood cells found in the blood, bone marrow, spleen, and lymph nodes. They kill viral infected cells and tumorous cells. CFS patients have half the cellular efficiency of the normal population with a [17% cellular death rate](https://www.ncbi.nlm.nih.gov/pubmed/27099524). The C78606381T (T;T) variant decreases gene expression in both the DNA and RNA, causing significant reduction in NKC activity. This variant was five as common in [CFS patients at 85.7% with an odds ratio of 6.22.](https://www.ncbi.nlm.nih.gov/pubmed/27099524)
    # What is the effect of C645T?
    This homozygous variant causes increased risk of [adenocarcinoma and squamous cell lung cancer among Caucasians and African Americans](https://www.ncbi.nlm.nih.gov/pubmed/24254305), with an [odds ratio of 1.9](https://www.ncbi.nlm.nih.gov/pubmed/25233467), but not East Asians or people who have never smoked. It causes an increase in [cigarettes smoked per day](https://www.ncbi.nlm.nih.gov/pubmed/27663783)[(odds ratio 2.66)](https://www.ncbi.nlm.nih.gov/pubmed/25632390) and [severity of nicotine addiction (odds ratio 2.6)](https://www.ncbi.nlm.nih.gov/pubmed/25632390). There is a [5.8% decrease](https://www.ncbi.nlm.nih.gov/pubmed/25891233) in adherence to prescribed Nicotine replacement therapy (NRT) dose, and a [2.0mg decrease](https://www.ncbi.nlm.nih.gov/pubmed/25891233) in daily NRT consumption up to 28 days after beginning treatment. T alleles were associated with [1.18 kg lower body weight, 0.46 kg/m(2) lower body mass index, 0.64 cm lower waist circumference, and 0.90 cm lower hip circumference](https://www.ncbi.nlm.nih.gov/pubmed/25777141). It also causes [higher resting heart rate, lower systolic blood pressure, and higher HDL cholesterol](https://www.ncbi.nlm.nih.gov/pubmed/24867305). Among people who smoke more than 30 cigarettes per day, [fatigue and hopelessness](https://www.ncbi.nlm.nih.gov/pubmed/27613883) are also greatly increased. Homozygotes had increased risk of [antipsychotic medication and schizophrenia](https://www.ncbi.nlm.nih.gov/pubmed/26054357).
    # What should I do about this?
    People should not smoke or use cocaine. If you do smoke, be aware of your greatly increased risk for dependency and difficulty of quitting smoking, and consider regular checks for lung cancer. Monitor signs of schizophrenia and antipsychotic medication side effects.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
    Many dietary supplements have been found to increase or decrease natural killer cell (NKC) function.
    - [Resveratrol](https://www.ncbi.nlm.nih.gov/pmc/articles/PMC4855330/) stimulates the immune system in increase NKC activity, but sufficient body concentration can only be achieved through supplementation. 
    - [Myricetin](https://www.ncbi.nlm.nih.gov/pubmed/25075019), a flavonoid found in food and red wine, can increase NKC activity. 
    - [Quercetin](https://www.ncbi.nlm.nih.gov/pubmed/19449452), a flavonoid in onions and fruits may improve NKC and T cell function. 
    [Histone deacetylase inhibitors (HDACi) including suberoylanilide hydroxamic acid and valproric acid](https://www.ncbi.nlm.nih.gov/pubmed/17349632/) impair NKC function, and should be avoided.</v>
      </c>
    </row>
    <row r="173" spans="1:12" x14ac:dyDescent="0.25">
      <c r="A173" s="26"/>
    </row>
    <row r="174" spans="1:12" x14ac:dyDescent="0.25">
      <c r="A174" s="26"/>
      <c r="C174" s="3" t="s">
        <v>30</v>
      </c>
    </row>
    <row r="175" spans="1:12" x14ac:dyDescent="0.25">
      <c r="A175" s="26"/>
    </row>
    <row r="176" spans="1:12" x14ac:dyDescent="0.25">
      <c r="A176" s="26"/>
      <c r="C176" s="3" t="str">
        <f>CONCATENATE( "    &lt;piechart percentage=",B163," /&gt;")</f>
        <v xml:space="preserve">    &lt;piechart percentage= /&gt;</v>
      </c>
    </row>
    <row r="177" spans="1:12" x14ac:dyDescent="0.25">
      <c r="A177" s="26"/>
      <c r="C177" s="3" t="str">
        <f>"  &lt;/Analysis&gt;"</f>
        <v xml:space="preserve">  &lt;/Analysis&gt;</v>
      </c>
      <c r="K177" s="21" t="str">
        <f t="shared" ref="K177:L177" si="54">K157</f>
        <v>rs12914385</v>
      </c>
      <c r="L177" s="21" t="str">
        <f t="shared" si="54"/>
        <v>rs1051730</v>
      </c>
    </row>
    <row r="178" spans="1:12" s="21" customFormat="1" x14ac:dyDescent="0.25">
      <c r="A178" s="28" t="s">
        <v>70</v>
      </c>
      <c r="B178" s="20" t="str">
        <f>CONCATENATE(B38," and ",B98)</f>
        <v>C78606381T (C;T) and C645T  (T;T)</v>
      </c>
      <c r="C178" s="21" t="str">
        <f>CONCATENATE("&lt;# ",B178," #&gt;")</f>
        <v>&lt;# C78606381T (C;T) and C645T  (T;T) #&gt;</v>
      </c>
      <c r="K178" s="21" t="str">
        <f t="shared" ref="K178:L178" si="55">K158</f>
        <v>C78606381T</v>
      </c>
      <c r="L178" s="21" t="str">
        <f t="shared" si="55"/>
        <v xml:space="preserve">C645T </v>
      </c>
    </row>
    <row r="179" spans="1:12" x14ac:dyDescent="0.25">
      <c r="A179" s="14" t="s">
        <v>21</v>
      </c>
      <c r="B179" s="15" t="str">
        <f>K82</f>
        <v>NC_000015.9:g.[78898723C&gt;T];[78898723=]</v>
      </c>
      <c r="K179" s="3" t="str">
        <f t="shared" ref="K179:L179" si="56">K159</f>
        <v>NC_000015.9:g.</v>
      </c>
      <c r="L179" s="3" t="str">
        <f t="shared" si="56"/>
        <v>NC_000015.9:g.</v>
      </c>
    </row>
    <row r="180" spans="1:12" x14ac:dyDescent="0.25">
      <c r="A180" s="14" t="s">
        <v>72</v>
      </c>
      <c r="B180" s="15" t="str">
        <f>L82</f>
        <v>NC_000015.9:g.[78894339G&gt;A];[78894339=]</v>
      </c>
      <c r="C180" s="3" t="str">
        <f>CONCATENATE("  &lt;Analysis name=",CHAR(34),B178,CHAR(34))</f>
        <v xml:space="preserve">  &lt;Analysis name="C78606381T (C;T) and C645T  (T;T)"</v>
      </c>
      <c r="J180" s="3" t="str">
        <f t="shared" ref="J180:L180" si="57">J160</f>
        <v>Variant</v>
      </c>
      <c r="K180" s="3" t="str">
        <f t="shared" si="57"/>
        <v>[78898723C&gt;T]</v>
      </c>
      <c r="L180" s="3" t="str">
        <f t="shared" si="57"/>
        <v>[78894339G&gt;A]</v>
      </c>
    </row>
    <row r="181" spans="1:12" x14ac:dyDescent="0.25">
      <c r="A181" s="26" t="s">
        <v>75</v>
      </c>
      <c r="B181" s="15" t="str">
        <f>CONCATENATE("People with this variant have one copy of the ",B22, " and two copies of the ",B31," variants. This substitution of a single nucleotide is known as a missense mutation.")</f>
        <v>People with this variant have one copy of the [C78606381T](https://www.ncbi.nlm.nih.gov/projects/SNP/snp_ref.cgi?rs=12914385) and two copies of the [C645T](https://www.ncbi.nlm.nih.gov/clinvar/variation/17503/) variants. This substitution of a single nucleotide is known as a missense mutation.</v>
      </c>
      <c r="C181" s="3" t="str">
        <f>CONCATENATE("            case={  variantCall ",CHAR(40),CHAR(34),K182,CHAR(34),CHAR(41))</f>
        <v xml:space="preserve">            case={  variantCall ("NC_000015.9:g.[78898723C&gt;T];[78898723=]")</v>
      </c>
      <c r="J181" s="3" t="str">
        <f t="shared" ref="J181:L181" si="58">J161</f>
        <v>Wildtype</v>
      </c>
      <c r="K181" s="3" t="str">
        <f t="shared" si="58"/>
        <v>[78898723=]</v>
      </c>
      <c r="L181" s="3" t="str">
        <f t="shared" si="58"/>
        <v>[78894339=]</v>
      </c>
    </row>
    <row r="182" spans="1:12" x14ac:dyDescent="0.25">
      <c r="A182" s="26" t="s">
        <v>28</v>
      </c>
      <c r="B182" s="15" t="s">
        <v>162</v>
      </c>
      <c r="C182" s="3" t="s">
        <v>71</v>
      </c>
      <c r="J182" s="3" t="str">
        <f t="shared" ref="J182:L182" si="59">J162</f>
        <v>Het</v>
      </c>
      <c r="K182" s="3" t="str">
        <f t="shared" si="59"/>
        <v>NC_000015.9:g.[78898723C&gt;T];[78898723=]</v>
      </c>
      <c r="L182" s="3" t="str">
        <f t="shared" si="59"/>
        <v>NC_000015.9:g.[78894339G&gt;A];[78894339=]</v>
      </c>
    </row>
    <row r="183" spans="1:12" x14ac:dyDescent="0.25">
      <c r="A183" s="26" t="s">
        <v>73</v>
      </c>
      <c r="C183" s="3" t="str">
        <f>CONCATENATE("                    variantCall ",CHAR(40),CHAR(34),L183,CHAR(34),CHAR(41))</f>
        <v xml:space="preserve">                    variantCall ("NC_000015.9:g.[78894339G&gt;A];[78894339G&gt;A]")</v>
      </c>
      <c r="J183" s="3" t="str">
        <f t="shared" ref="J183:L183" si="60">J163</f>
        <v>Homo</v>
      </c>
      <c r="K183" s="3" t="str">
        <f t="shared" si="60"/>
        <v>NC_000015.9:g.[78898723C&gt;T];[78898723C&gt;T]</v>
      </c>
      <c r="L183" s="3" t="str">
        <f t="shared" si="60"/>
        <v>NC_000015.9:g.[78894339G&gt;A];[78894339G&gt;A]</v>
      </c>
    </row>
    <row r="184" spans="1:12" x14ac:dyDescent="0.25">
      <c r="A184" s="26"/>
      <c r="C184" s="3" t="str">
        <f>CONCATENATE("                  } &gt; ")</f>
        <v xml:space="preserve">                  } &gt; </v>
      </c>
      <c r="J184" s="3" t="str">
        <f t="shared" ref="J184:L184" si="61">J164</f>
        <v>Wildtype</v>
      </c>
      <c r="K184" s="3" t="str">
        <f t="shared" si="61"/>
        <v>NC_000015.9:g.[78898723=];[78898723=]</v>
      </c>
      <c r="L184" s="3" t="str">
        <f t="shared" si="61"/>
        <v>NC_000015.9:g.[78894339=];[78894339=]</v>
      </c>
    </row>
    <row r="185" spans="1:12" x14ac:dyDescent="0.25">
      <c r="A185" s="26"/>
      <c r="J185" s="3" t="str">
        <f>J165</f>
        <v>Het%</v>
      </c>
      <c r="K185" s="3">
        <f>K165</f>
        <v>37.9</v>
      </c>
      <c r="L185" s="3">
        <f>L165</f>
        <v>39.700000000000003</v>
      </c>
    </row>
    <row r="186" spans="1:12" x14ac:dyDescent="0.25">
      <c r="A186" s="26"/>
      <c r="C186" s="3" t="s">
        <v>26</v>
      </c>
      <c r="J186" s="3" t="str">
        <f t="shared" ref="J186:L186" si="62">J166</f>
        <v>Homo%</v>
      </c>
      <c r="K186" s="3">
        <f t="shared" si="62"/>
        <v>15.9</v>
      </c>
      <c r="L186" s="3">
        <f t="shared" si="62"/>
        <v>42.9</v>
      </c>
    </row>
    <row r="187" spans="1:12" x14ac:dyDescent="0.25">
      <c r="A187" s="14"/>
      <c r="J187" s="3" t="str">
        <f t="shared" ref="J187:L187" si="63">J167</f>
        <v>Wildtype%</v>
      </c>
      <c r="K187" s="3">
        <f t="shared" si="63"/>
        <v>46.2</v>
      </c>
      <c r="L187" s="3">
        <f t="shared" si="63"/>
        <v>17.399999999999999</v>
      </c>
    </row>
    <row r="188" spans="1:12" x14ac:dyDescent="0.25">
      <c r="A188" s="14"/>
      <c r="C188" s="3" t="str">
        <f>CONCATENATE("    ",B181)</f>
        <v xml:space="preserve">    People with this variant have one copy of the [C78606381T](https://www.ncbi.nlm.nih.gov/projects/SNP/snp_ref.cgi?rs=12914385) and two copies of the [C645T](https://www.ncbi.nlm.nih.gov/clinvar/variation/17503/) variants. This substitution of a single nucleotide is known as a missense mutation.</v>
      </c>
    </row>
    <row r="189" spans="1:12" x14ac:dyDescent="0.25">
      <c r="A189" s="14"/>
    </row>
    <row r="190" spans="1:12" x14ac:dyDescent="0.25">
      <c r="A190" s="14"/>
      <c r="C190" s="3" t="s">
        <v>29</v>
      </c>
    </row>
    <row r="191" spans="1:12" x14ac:dyDescent="0.25">
      <c r="A191" s="14"/>
    </row>
    <row r="192" spans="1:12" x14ac:dyDescent="0.25">
      <c r="A192" s="26"/>
      <c r="C192" s="3" t="str">
        <f>CONCATENATE(B182)</f>
        <v xml:space="preserve">    # What is the effect of C78606381T (C;T)?
    The CHRNA3 protein plays a role in developing nicotine dependence and regulating nicotine receptor proliferation and destruction. Incorrect formation of the nicotine neurotransmitter receptor protein has a variety of effects. This heterozygous variant causes increased risk of [lung cancer](https://www.ncbi.nlm.nih.gov/pubmed/23094028), with an [odds ratio of 1.2](https://www.ncbi.nlm.nih.gov/pubmed/28827732), and [COPD](https://www.ncbi.nlm.nih.gov/pubmed/24621683), with an [odds ratio of 1.39](https://www.ncbi.nlm.nih.gov/pubmed/24621683). It causes an [increase](https://www.ncbi.nlm.nih.gov/pubmed/29030599) of [one](https://www.ncbi.nlm.nih.gov/pubmed/21559498)[cigarette](https://www.ncbi.nlm.nih.gov/pubmed/23870182)[per day](https://www.ncbi.nlm.nih.gov/pubmed/20418890) and may also cause [smoking persistence](https://www.ncbi.nlm.nih.gov/pubmed/22290489). However, the C allele is protective, with a [decrease of 3.25 packs per year per C allele](https://www.ncbi.nlm.nih.gov/pubmed/21436384). Finally, his variant may cause an increase in [cocaine dependence](https://www.ncbi.nlm.nih.gov/pubmed/20485328).
    # What is the effect of C645T?
    This heterozygous variant causes increased risk of [adenocarcinoma](https://www.ncbi.nlm.nih.gov/pubmed/27072204) and [squamous cell lung cancer among Caucasians and African Americans](https://www.ncbi.nlm.nih.gov/pubmed/24254305), with an [odds ratio of 2.25](https://www.ncbi.nlm.nih.gov/pubmed/24337855), but not in East Asians or people who have never smoked. It causes an increase in [cigarettes smoked per day](https://www.ncbi.nlm.nih.gov/pubmed/27663783)[(odds ratio 2.66)](https://www.ncbi.nlm.nih.gov/pubmed/25632390) and [severity of nicotine addiction (odds ratio 2.6)](https://www.ncbi.nlm.nih.gov/pubmed/25632390). There is a [2.9% decrease](https://www.ncbi.nlm.nih.gov/pubmed/25891233) in adherence to prescribed Nicotine replacement therapy (NRT) dose, and a [1.0mg decrease](https://www.ncbi.nlm.nih.gov/pubmed/25891233) in daily NRT consumption up to 28 days after beginning treatment. Physical changes associated with one T allele include [0.59 kg lower body weight, 0.23 kg/m(2) lower body mass index, 0.32 cm lower waist circumference, and 0.45 cm lower hip circumference](https://www.ncbi.nlm.nih.gov/pubmed/25777141). It also is associated with [higher resting heart rate, lower systolic blood pressure, and higher HDL cholesterol](https://www.ncbi.nlm.nih.gov/pubmed/24867305).
    # What should I do about this?
    People should not smoke or use cocaine. If you do smoke, be aware of your greatly increased risk for dependency and difficulty of quitting smoking, and consider regular checks for lung cancer. Monitor signs of schizophrenia and antipsychotic medication side effects.
    [Many factors may decrease your risk of lung cancer](https://www.cancer.gov/types/lung/patient/lung-prevention-pdq#section/all):
    - Avoid cigarette, cigar, pipe smoking, and secondhand smoke. 
    - Have less than one alcoholic drink per day. 
    - Practice safe sex, and avoid HIV infection. 
    - Avoid radiation exposure, including atomic bomb radiation, radiation therapy, imaging tests, and radon. 
    - Avoid environmental toxins such as asbestos, arsenic, chromium, nickel, beryllium, cadmium, tar, soot, and air pollution. 
    - [Beta carotene supplements, made from yellow and orange fruits and vegetables and dark green, leafy vegetables,](https://www.cancer.gov/types/lung/patient/lung-prevention-pdq#section/all) may help reduce risk for heavy smokers. 
    [Medications](http://www.uniprot.org/uniprot/P32297) indicated for use for CHRNA3 issues include: [Bupropion](https://www.drugbank.ca/drugs/DB01156), [Cytisine](https://www.drugbank.ca/drugs/DB09028), [Dextromethorphan](https://www.drugbank.ca/drugs/DB00514), [Ethanol](https://www.drugbank.ca/drugs/DB00898), [Galantamine](https://www.drugbank.ca/drugs/DB00674), [Levamisole](https://www.drugbank.ca/drugs/DB00848), [Levomethadyl Acetate](https://www.drugbank.ca/drugs/DB01227), [Nicotine](https://www.drugbank.ca/drugs/DB00184), [Pentolinium](https://www.drugbank.ca/drugs/DB01090), and [Varenicline](https://www.drugbank.ca/drugs/DB01273).</v>
      </c>
    </row>
    <row r="193" spans="1:3" x14ac:dyDescent="0.25">
      <c r="A193" s="26"/>
    </row>
    <row r="194" spans="1:3" x14ac:dyDescent="0.25">
      <c r="A194" s="26"/>
      <c r="C194" s="3" t="s">
        <v>30</v>
      </c>
    </row>
    <row r="195" spans="1:3" x14ac:dyDescent="0.25">
      <c r="A195" s="26"/>
    </row>
    <row r="196" spans="1:3" x14ac:dyDescent="0.25">
      <c r="A196" s="26"/>
      <c r="C196" s="3" t="str">
        <f>CONCATENATE( "    &lt;piechart percentage=",B183," /&gt;")</f>
        <v xml:space="preserve">    &lt;piechart percentage= /&gt;</v>
      </c>
    </row>
    <row r="197" spans="1:3" x14ac:dyDescent="0.25">
      <c r="A197" s="26"/>
      <c r="C197" s="3" t="str">
        <f>"  &lt;/Analysis&gt;"</f>
        <v xml:space="preserve">  &lt;/Analysis&gt;</v>
      </c>
    </row>
    <row r="198" spans="1:3" s="21" customFormat="1" x14ac:dyDescent="0.25">
      <c r="A198" s="28" t="s">
        <v>70</v>
      </c>
      <c r="B198" s="20" t="s">
        <v>85</v>
      </c>
      <c r="C198" s="21" t="str">
        <f>CONCATENATE("&lt;# ",B198," #&gt;")</f>
        <v>&lt;# Wild type #&gt;</v>
      </c>
    </row>
    <row r="199" spans="1:3" x14ac:dyDescent="0.25">
      <c r="A199" s="14" t="s">
        <v>21</v>
      </c>
      <c r="B199" s="15" t="str">
        <f>K44</f>
        <v>NC_000015.9:g.[78898723=];[78898723=]</v>
      </c>
    </row>
    <row r="200" spans="1:3" x14ac:dyDescent="0.25">
      <c r="A200" s="14" t="s">
        <v>72</v>
      </c>
      <c r="B200" s="15" t="str">
        <f>L44</f>
        <v>NC_000015.9:g.[78894339=];[78894339=]</v>
      </c>
      <c r="C200" s="3" t="str">
        <f>CONCATENATE("  &lt;Analysis name=",CHAR(34),B198,CHAR(34))</f>
        <v xml:space="preserve">  &lt;Analysis name="Wild type"</v>
      </c>
    </row>
    <row r="201" spans="1:3" x14ac:dyDescent="0.25">
      <c r="A201" s="26" t="s">
        <v>75</v>
      </c>
      <c r="B201" s="15" t="str">
        <f>CONCATENATE("Your ",B12," gene has no variants. A normal gene is referred to as a ",CHAR(34),"wild-type",CHAR(34)," gene.")</f>
        <v>Your CHRNA3 gene has no variants. A normal gene is referred to as a "wild-type" gene.</v>
      </c>
      <c r="C201" s="3" t="str">
        <f>CONCATENATE("            case={  variantCall ",CHAR(40),CHAR(34),B199,CHAR(34),CHAR(41))</f>
        <v xml:space="preserve">            case={  variantCall ("NC_000015.9:g.[78898723=];[78898723=]")</v>
      </c>
    </row>
    <row r="202" spans="1:3" x14ac:dyDescent="0.25">
      <c r="A202" s="26" t="s">
        <v>28</v>
      </c>
      <c r="C202" s="3" t="s">
        <v>71</v>
      </c>
    </row>
    <row r="203" spans="1:3" x14ac:dyDescent="0.25">
      <c r="A203" s="26" t="s">
        <v>73</v>
      </c>
      <c r="C203" s="3" t="str">
        <f>CONCATENATE("                    variantCall ",CHAR(40),CHAR(34),B200,CHAR(34),CHAR(41))</f>
        <v xml:space="preserve">                    variantCall ("NC_000015.9:g.[78894339=];[78894339=]")</v>
      </c>
    </row>
    <row r="204" spans="1:3" x14ac:dyDescent="0.25">
      <c r="A204" s="26"/>
      <c r="C204" s="3" t="str">
        <f>CONCATENATE("                  } &gt; ")</f>
        <v xml:space="preserve">                  } &gt; </v>
      </c>
    </row>
    <row r="205" spans="1:3" x14ac:dyDescent="0.25">
      <c r="A205" s="26"/>
    </row>
    <row r="206" spans="1:3" x14ac:dyDescent="0.25">
      <c r="A206" s="26"/>
      <c r="C206" s="3" t="s">
        <v>26</v>
      </c>
    </row>
    <row r="207" spans="1:3" x14ac:dyDescent="0.25">
      <c r="A207" s="14"/>
    </row>
    <row r="208" spans="1:3" x14ac:dyDescent="0.25">
      <c r="A208" s="14"/>
      <c r="C208" s="3" t="str">
        <f>CONCATENATE("    ",B201)</f>
        <v xml:space="preserve">    Your CHRNA3 gene has no variants. A normal gene is referred to as a "wild-type" gene.</v>
      </c>
    </row>
    <row r="209" spans="1:3" x14ac:dyDescent="0.25">
      <c r="A209" s="14"/>
    </row>
    <row r="210" spans="1:3" x14ac:dyDescent="0.25">
      <c r="A210" s="26"/>
      <c r="C210" s="3" t="s">
        <v>30</v>
      </c>
    </row>
    <row r="211" spans="1:3" x14ac:dyDescent="0.25">
      <c r="A211" s="26"/>
    </row>
    <row r="212" spans="1:3" x14ac:dyDescent="0.25">
      <c r="A212" s="26"/>
      <c r="C212" s="3" t="str">
        <f>CONCATENATE( "    &lt;piechart percentage=",B203," /&gt;")</f>
        <v xml:space="preserve">    &lt;piechart percentage= /&gt;</v>
      </c>
    </row>
    <row r="213" spans="1:3" x14ac:dyDescent="0.25">
      <c r="A213" s="26"/>
      <c r="C213" s="3" t="str">
        <f>"  &lt;/Analysis&gt;"</f>
        <v xml:space="preserve">  &lt;/Analysis&gt;</v>
      </c>
    </row>
    <row r="214" spans="1:3" s="21" customFormat="1" x14ac:dyDescent="0.25">
      <c r="A214" s="28" t="s">
        <v>70</v>
      </c>
      <c r="B214" s="20" t="s">
        <v>86</v>
      </c>
      <c r="C214" s="21" t="str">
        <f>CONCATENATE("&lt;# ",B214," #&gt;")</f>
        <v>&lt;# Unknown #&gt;</v>
      </c>
    </row>
    <row r="215" spans="1:3" x14ac:dyDescent="0.25">
      <c r="A215" s="14" t="s">
        <v>21</v>
      </c>
      <c r="B215" s="15" t="str">
        <f>K60</f>
        <v>[78898723C&gt;T]</v>
      </c>
    </row>
    <row r="216" spans="1:3" x14ac:dyDescent="0.25">
      <c r="A216" s="14" t="s">
        <v>72</v>
      </c>
      <c r="C216" s="3" t="str">
        <f>CONCATENATE("  &lt;Analysis name=",CHAR(34),B214,CHAR(34), " case=true&gt;")</f>
        <v xml:space="preserve">  &lt;Analysis name="Unknown" case=true&gt;</v>
      </c>
    </row>
    <row r="217" spans="1:3" x14ac:dyDescent="0.25">
      <c r="A217" s="26" t="s">
        <v>75</v>
      </c>
      <c r="B217" s="15" t="s">
        <v>31</v>
      </c>
    </row>
    <row r="218" spans="1:3" x14ac:dyDescent="0.25">
      <c r="A218" s="26" t="s">
        <v>73</v>
      </c>
      <c r="B218" s="15">
        <v>0</v>
      </c>
      <c r="C218" s="3" t="s">
        <v>26</v>
      </c>
    </row>
    <row r="219" spans="1:3" x14ac:dyDescent="0.25">
      <c r="A219" s="26"/>
    </row>
    <row r="220" spans="1:3" x14ac:dyDescent="0.25">
      <c r="A220" s="14"/>
      <c r="C220" s="3" t="str">
        <f>CONCATENATE("    ",B217)</f>
        <v xml:space="preserve">    The effect is unknown.</v>
      </c>
    </row>
    <row r="221" spans="1:3" x14ac:dyDescent="0.25">
      <c r="A221" s="14"/>
    </row>
    <row r="222" spans="1:3" x14ac:dyDescent="0.25">
      <c r="A222" s="14"/>
      <c r="C222" s="3" t="s">
        <v>30</v>
      </c>
    </row>
    <row r="223" spans="1:3" x14ac:dyDescent="0.25">
      <c r="A223" s="26"/>
    </row>
    <row r="224" spans="1:3" x14ac:dyDescent="0.25">
      <c r="A224" s="26"/>
      <c r="C224" s="3" t="str">
        <f>CONCATENATE( "    &lt;piechart percentage=",B218," /&gt;")</f>
        <v xml:space="preserve">    &lt;piechart percentage=0 /&gt;</v>
      </c>
    </row>
    <row r="225" spans="1:3" x14ac:dyDescent="0.25">
      <c r="A225" s="26"/>
      <c r="C225" s="3" t="str">
        <f>"  &lt;/Analysis&gt;"</f>
        <v xml:space="preserve">  &lt;/Analysis&gt;</v>
      </c>
    </row>
    <row r="226" spans="1:3" x14ac:dyDescent="0.25">
      <c r="A226" s="14"/>
      <c r="C226" s="31" t="s">
        <v>78</v>
      </c>
    </row>
    <row r="227" spans="1:3" s="21" customFormat="1" x14ac:dyDescent="0.25">
      <c r="A227" s="19"/>
      <c r="B227" s="20"/>
      <c r="C227" s="35"/>
    </row>
    <row r="228" spans="1:3" x14ac:dyDescent="0.25">
      <c r="A228" s="14" t="s">
        <v>79</v>
      </c>
      <c r="B228" s="30" t="s">
        <v>47</v>
      </c>
      <c r="C228" s="10" t="str">
        <f>CONCATENATE("&lt;# ",A228," ",B228," #&gt;")</f>
        <v>&lt;# Tissues brain D001921 bone marrow and immune system D007107  #&gt;</v>
      </c>
    </row>
    <row r="229" spans="1:3" x14ac:dyDescent="0.25">
      <c r="A229" s="14"/>
    </row>
    <row r="230" spans="1:3" x14ac:dyDescent="0.25">
      <c r="A230" s="14"/>
      <c r="B230" s="30" t="s">
        <v>166</v>
      </c>
      <c r="C230" s="31" t="str">
        <f>CONCATENATE("&lt;TopicBar ",B230," /&gt;")</f>
        <v>&lt;TopicBar mesh_D001921 mesh_D007107  /&gt;</v>
      </c>
    </row>
    <row r="231" spans="1:3" x14ac:dyDescent="0.25">
      <c r="A231" s="14"/>
    </row>
    <row r="232" spans="1:3" x14ac:dyDescent="0.25">
      <c r="A232" s="14" t="s">
        <v>32</v>
      </c>
      <c r="B232" s="30" t="s">
        <v>46</v>
      </c>
      <c r="C232" s="10" t="str">
        <f>CONCATENATE("&lt;# ",A232," ",B232," #&gt;")</f>
        <v>&lt;# Symptoms fatigue D005221 inflamation D007249 anxiety D001007 depression D003863 #&gt;</v>
      </c>
    </row>
    <row r="233" spans="1:3" x14ac:dyDescent="0.25">
      <c r="A233" s="14"/>
    </row>
    <row r="234" spans="1:3" x14ac:dyDescent="0.25">
      <c r="A234" s="14"/>
      <c r="B234" s="30" t="s">
        <v>167</v>
      </c>
      <c r="C234" s="31" t="str">
        <f>CONCATENATE("&lt;TopicBar ",B234," /&gt;")</f>
        <v>&lt;TopicBar mesh_D005221 mesh_D007249 mesh_D001007 mesh_D003863 /&gt;</v>
      </c>
    </row>
    <row r="235" spans="1:3" x14ac:dyDescent="0.25">
      <c r="A235" s="14"/>
      <c r="C235" s="31"/>
    </row>
    <row r="236" spans="1:3" x14ac:dyDescent="0.25">
      <c r="A236" s="14" t="s">
        <v>48</v>
      </c>
      <c r="B236" s="3" t="s">
        <v>49</v>
      </c>
      <c r="C236" s="10" t="str">
        <f>CONCATENATE("&lt;# ",A236," ",B236," #&gt;")</f>
        <v>&lt;# Diseases cancer;  COPD; anxiety disorder; ME/CFS; nicotine dependency; autoimmune disorder; Disease susceptibility - increased susceptibility to viral, bacterial, and parasitical infections; cocaine dependence; schizophrenia, Major depression; coronary heart disease; #&gt;</v>
      </c>
    </row>
    <row r="237" spans="1:3" x14ac:dyDescent="0.25">
      <c r="A237" s="14"/>
    </row>
    <row r="238" spans="1:3" x14ac:dyDescent="0.25">
      <c r="A238" s="14"/>
      <c r="B238" s="3" t="s">
        <v>168</v>
      </c>
      <c r="C238" s="31" t="str">
        <f>CONCATENATE("&lt;TopicBar ",B238," /&gt;")</f>
        <v>&lt;TopicBar mesh_D009369 mesh_D029424 mesh_D001008 mesh_D015673 mesh_D014029 mesh_D001327 mesh_D004198 mesh_D019970 mesh_D012559 mesh_D003866 mesh_D003327  /&gt;</v>
      </c>
    </row>
    <row r="239" spans="1:3" x14ac:dyDescent="0.25">
      <c r="A239" s="14"/>
    </row>
    <row r="240" spans="1:3" s="21" customFormat="1" x14ac:dyDescent="0.25">
      <c r="A240" s="28"/>
      <c r="B240" s="20"/>
    </row>
    <row r="241" spans="2:2" x14ac:dyDescent="0.25">
      <c r="B241" s="30"/>
    </row>
    <row r="243" spans="2:2" x14ac:dyDescent="0.25">
      <c r="B243" s="30"/>
    </row>
    <row r="245" spans="2:2" x14ac:dyDescent="0.25">
      <c r="B245" s="30"/>
    </row>
    <row r="247" spans="2:2" x14ac:dyDescent="0.25">
      <c r="B247" s="30"/>
    </row>
    <row r="249" spans="2:2" x14ac:dyDescent="0.25">
      <c r="B249" s="3"/>
    </row>
    <row r="251" spans="2:2" x14ac:dyDescent="0.25">
      <c r="B251" s="3"/>
    </row>
    <row r="923" spans="3:3" x14ac:dyDescent="0.25">
      <c r="C923" s="3" t="str">
        <f>CONCATENATE("    This variant is a change at a specific point in the ",B914," gene from ",B923," to ",B924," resulting in incorrect ",B917,"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929" spans="3:3" x14ac:dyDescent="0.25">
      <c r="C929" s="3" t="str">
        <f>CONCATENATE("    This variant is a change at a specific point in the ",B914," gene from ",B929," to ",B930," resulting in incorrect ",B917,"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059" spans="3:3" x14ac:dyDescent="0.25">
      <c r="C1059" s="3" t="str">
        <f>CONCATENATE("    This variant is a change at a specific point in the ",B1050," gene from ",B1059," to ",B1060," resulting in incorrect ",B1053,"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065" spans="3:3" x14ac:dyDescent="0.25">
      <c r="C1065" s="3" t="str">
        <f>CONCATENATE("    This variant is a change at a specific point in the ",B1050," gene from ",B1065," to ",B1066," resulting in incorrect ",B1053,"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467" spans="3:3" x14ac:dyDescent="0.25">
      <c r="C1467" s="3" t="str">
        <f>CONCATENATE("    This variant is a change at a specific point in the ",B1458," gene from ",B1467," to ",B1468," resulting in incorrect ",B1461,"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473" spans="3:3" x14ac:dyDescent="0.25">
      <c r="C1473" s="3" t="str">
        <f>CONCATENATE("    This variant is a change at a specific point in the ",B1458," gene from ",B1473," to ",B1474," resulting in incorrect ",B1461,"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03" spans="3:3" x14ac:dyDescent="0.25">
      <c r="C1603" s="3" t="str">
        <f>CONCATENATE("    This variant is a change at a specific point in the ",B1594," gene from ",B1603," to ",B1604," resulting in incorrect ",B1597,"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09" spans="3:3" x14ac:dyDescent="0.25">
      <c r="C1609" s="3" t="str">
        <f>CONCATENATE("    This variant is a change at a specific point in the ",B1594," gene from ",B1609," to ",B1610," resulting in incorrect ",B1597,"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739" spans="3:3" x14ac:dyDescent="0.25">
      <c r="C1739" s="3" t="str">
        <f>CONCATENATE("    This variant is a change at a specific point in the ",B1730," gene from ",B1739," to ",B1740," resulting in incorrect ",B1733,"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745" spans="3:3" x14ac:dyDescent="0.25">
      <c r="C1745" s="3" t="str">
        <f>CONCATENATE("    This variant is a change at a specific point in the ",B1730," gene from ",B1745," to ",B1746," resulting in incorrect ",B1733,"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75" spans="3:3" x14ac:dyDescent="0.25">
      <c r="C1875" s="3" t="str">
        <f>CONCATENATE("    This variant is a change at a specific point in the ",B1866," gene from ",B1875," to ",B1876," resulting in incorrect ",B1869,"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81" spans="3:3" x14ac:dyDescent="0.25">
      <c r="C1881" s="3" t="str">
        <f>CONCATENATE("    This variant is a change at a specific point in the ",B1866," gene from ",B1881," to ",B1882," resulting in incorrect ",B1869,"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11" spans="3:3" x14ac:dyDescent="0.25">
      <c r="C2011" s="3" t="str">
        <f>CONCATENATE("    This variant is a change at a specific point in the ",B2002," gene from ",B2011," to ",B2012," resulting in incorrect ",B2005,"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17" spans="3:3" x14ac:dyDescent="0.25">
      <c r="C2017" s="3" t="str">
        <f>CONCATENATE("    This variant is a change at a specific point in the ",B2002," gene from ",B2017," to ",B2018," resulting in incorrect ",B2005,"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47" spans="3:3" x14ac:dyDescent="0.25">
      <c r="C2147" s="3" t="str">
        <f>CONCATENATE("    This variant is a change at a specific point in the ",B2138," gene from ",B2147," to ",B2148," resulting in incorrect ",B2141,"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53" spans="3:3" x14ac:dyDescent="0.25">
      <c r="C2153" s="3" t="str">
        <f>CONCATENATE("    This variant is a change at a specific point in the ",B2138," gene from ",B2153," to ",B2154," resulting in incorrect ",B2141,"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83" spans="3:3" x14ac:dyDescent="0.25">
      <c r="C2283" s="3" t="str">
        <f>CONCATENATE("    This variant is a change at a specific point in the ",B2274," gene from ",B2283," to ",B2284," resulting in incorrect ",B2277,"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89" spans="3:3" x14ac:dyDescent="0.25">
      <c r="C2289" s="3" t="str">
        <f>CONCATENATE("    This variant is a change at a specific point in the ",B2274," gene from ",B2289," to ",B2290," resulting in incorrect ",B2277,"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419" spans="3:3" x14ac:dyDescent="0.25">
      <c r="C2419" s="3" t="str">
        <f>CONCATENATE("    This variant is a change at a specific point in the ",B2410," gene from ",B2419," to ",B2420," resulting in incorrect ",B2413,"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425" spans="3:3" x14ac:dyDescent="0.25">
      <c r="C2425" s="3" t="str">
        <f>CONCATENATE("    This variant is a change at a specific point in the ",B2410," gene from ",B2425," to ",B2426," resulting in incorrect ",B2413," function. This substitution of a single nucleotide is known as a missense variant.")</f>
        <v xml:space="preserve">    This variant is a change at a specific point in the  gene from  to  resulting in incorrect  function. This substitution of a single nucleotide is known as a missense variant.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9C589-B3EC-4896-9168-158D0864AD60}">
  <dimension ref="A1:AJ2563"/>
  <sheetViews>
    <sheetView tabSelected="1" topLeftCell="A335" workbookViewId="0">
      <selection activeCell="B206" sqref="B206"/>
    </sheetView>
  </sheetViews>
  <sheetFormatPr defaultRowHeight="15.75" x14ac:dyDescent="0.25"/>
  <cols>
    <col min="1" max="1" width="16.28515625" style="3" customWidth="1"/>
    <col min="2" max="2" width="58.28515625" style="15" customWidth="1"/>
    <col min="3" max="6" width="9.140625" style="3"/>
    <col min="7" max="7" width="10.28515625" style="3" bestFit="1" customWidth="1"/>
    <col min="8" max="8" width="13" style="3" customWidth="1"/>
    <col min="9" max="9" width="13.42578125" style="3" customWidth="1"/>
    <col min="10" max="10" width="11.85546875" style="3" customWidth="1"/>
    <col min="11" max="11" width="12.85546875" style="3" customWidth="1"/>
    <col min="12" max="12" width="13.5703125" style="3" customWidth="1"/>
    <col min="13" max="13" width="12" style="3" customWidth="1"/>
    <col min="14" max="14" width="12.85546875" style="3" customWidth="1"/>
    <col min="15" max="16" width="9.140625" style="3"/>
    <col min="17" max="17" width="17.42578125" style="3" customWidth="1"/>
    <col min="18" max="18" width="15.5703125" style="3" customWidth="1"/>
    <col min="19" max="23" width="15.42578125" style="3" bestFit="1" customWidth="1"/>
    <col min="24" max="24" width="14.85546875" style="3" customWidth="1"/>
    <col min="25" max="25" width="16.7109375" style="3" customWidth="1"/>
    <col min="26" max="26" width="19.42578125" style="3" customWidth="1"/>
    <col min="27" max="27" width="18" style="3" customWidth="1"/>
    <col min="28" max="28" width="17.85546875" style="3" customWidth="1"/>
    <col min="29" max="29" width="16" style="3" customWidth="1"/>
    <col min="30" max="30" width="9.140625" style="3"/>
    <col min="31" max="31" width="12.85546875" style="3" bestFit="1" customWidth="1"/>
    <col min="32" max="32" width="11.7109375" style="3" bestFit="1" customWidth="1"/>
    <col min="33" max="16384" width="9.140625" style="3"/>
  </cols>
  <sheetData>
    <row r="1" spans="1:36" x14ac:dyDescent="0.25">
      <c r="A1" s="8" t="s">
        <v>0</v>
      </c>
      <c r="B1" s="9" t="s">
        <v>1</v>
      </c>
      <c r="C1" s="8" t="s">
        <v>2</v>
      </c>
      <c r="H1" s="10"/>
      <c r="I1" s="11"/>
      <c r="J1" s="10"/>
      <c r="K1" s="10"/>
      <c r="L1" s="10"/>
      <c r="Y1" s="12"/>
      <c r="AC1" s="12"/>
      <c r="AF1" s="13"/>
      <c r="AG1" s="13"/>
      <c r="AJ1" s="13"/>
    </row>
    <row r="2" spans="1:36" x14ac:dyDescent="0.25">
      <c r="A2" s="14" t="s">
        <v>35</v>
      </c>
      <c r="B2" s="15" t="s">
        <v>169</v>
      </c>
      <c r="C2" s="3" t="str">
        <f>CONCATENATE("&lt;",A2," ",B2," /&gt;")</f>
        <v>&lt;Gene_Name CHRNA5 /&gt;</v>
      </c>
      <c r="D2" s="15"/>
      <c r="H2" s="10"/>
      <c r="I2" s="11"/>
      <c r="J2" s="10"/>
      <c r="K2" s="10"/>
      <c r="L2" s="10"/>
      <c r="Y2" s="12"/>
      <c r="AC2" s="12"/>
      <c r="AF2" s="13"/>
      <c r="AG2" s="13"/>
      <c r="AJ2" s="13"/>
    </row>
    <row r="3" spans="1:36" x14ac:dyDescent="0.25">
      <c r="A3" s="8"/>
      <c r="B3" s="9"/>
      <c r="C3" s="8"/>
      <c r="D3" s="15"/>
      <c r="H3" s="10"/>
      <c r="I3" s="11"/>
      <c r="J3" s="10"/>
      <c r="K3" s="10"/>
      <c r="L3" s="10"/>
      <c r="Y3" s="12"/>
      <c r="AC3" s="12"/>
      <c r="AF3" s="13"/>
      <c r="AG3" s="13"/>
      <c r="AJ3" s="13"/>
    </row>
    <row r="4" spans="1:36" x14ac:dyDescent="0.25">
      <c r="A4" s="14" t="s">
        <v>37</v>
      </c>
      <c r="B4" s="15" t="s">
        <v>170</v>
      </c>
      <c r="C4" s="3" t="str">
        <f>CONCATENATE("&lt;",A4," ",B4," /&gt;")</f>
        <v>&lt;GeneName_full neuronal acetylcholine receptor subunit alpha-5 /&gt;</v>
      </c>
      <c r="D4" s="15"/>
      <c r="H4" s="10"/>
      <c r="I4" s="11"/>
      <c r="J4" s="10"/>
      <c r="K4" s="10"/>
      <c r="L4" s="10"/>
      <c r="Y4" s="12"/>
      <c r="AC4" s="12"/>
      <c r="AF4" s="13"/>
      <c r="AG4" s="13"/>
      <c r="AJ4" s="13"/>
    </row>
    <row r="5" spans="1:36" x14ac:dyDescent="0.25">
      <c r="A5" s="14"/>
      <c r="B5" s="9"/>
      <c r="C5" s="8"/>
      <c r="D5" s="15"/>
      <c r="H5" s="10"/>
      <c r="I5" s="11"/>
      <c r="J5" s="10"/>
      <c r="K5" s="10"/>
      <c r="L5" s="10"/>
      <c r="Y5" s="12"/>
      <c r="AC5" s="12"/>
      <c r="AF5" s="13"/>
      <c r="AG5" s="13"/>
      <c r="AJ5" s="13"/>
    </row>
    <row r="6" spans="1:36" x14ac:dyDescent="0.25">
      <c r="A6" s="14"/>
      <c r="B6" s="3"/>
      <c r="C6" s="3" t="str">
        <f>CONCATENATE("# What does the ",B2," gene do?")</f>
        <v># What does the CHRNA5 gene do?</v>
      </c>
      <c r="H6" s="10"/>
      <c r="I6" s="11"/>
      <c r="J6" s="10"/>
      <c r="K6" s="10"/>
      <c r="L6" s="10"/>
      <c r="Y6" s="16"/>
      <c r="Z6" s="16"/>
      <c r="AA6" s="16"/>
      <c r="AC6" s="16"/>
      <c r="AF6" s="13"/>
      <c r="AJ6" s="13"/>
    </row>
    <row r="7" spans="1:36" x14ac:dyDescent="0.25">
      <c r="A7" s="14"/>
      <c r="I7" s="17"/>
      <c r="Y7" s="16"/>
      <c r="Z7" s="16"/>
      <c r="AA7" s="16"/>
      <c r="AC7" s="16"/>
      <c r="AF7" s="13"/>
      <c r="AJ7" s="13"/>
    </row>
    <row r="8" spans="1:36" x14ac:dyDescent="0.25">
      <c r="A8" s="14" t="s">
        <v>5</v>
      </c>
      <c r="B8" s="37" t="s">
        <v>194</v>
      </c>
      <c r="C8" s="3" t="str">
        <f>CONCATENATE(B8," This gene is located on chromosome ",B9,".")</f>
        <v>[CHRNA5](https://www.genecards.org/cgi-bin/carddisp.pl?gene=CHRNA5) creates a protein that controls signals between between [motor neurons and muscle fiber](https://www.ebi.ac.uk/QuickGO/term/GO:0007274)s as well as the body’s response to [nicotine](http://www.uniprot.org/citations/18227835). Variants in CHRNA5 are associated with [anxiety](https://www.ncbi.nlm.nih.gov/pubmed/25826680) and decreased function of [natural killer cells (NKC)](https://www.ncbi.nlm.nih.gov/pubmed/27099524), a type of white blood cell that helps the body respond to viral infections. This gene is located on chromosome 15.</v>
      </c>
      <c r="I8" s="17"/>
      <c r="X8" s="18"/>
      <c r="Y8" s="16"/>
      <c r="Z8" s="16"/>
      <c r="AA8" s="16"/>
      <c r="AC8" s="16"/>
    </row>
    <row r="9" spans="1:36" x14ac:dyDescent="0.25">
      <c r="A9" s="14" t="s">
        <v>6</v>
      </c>
      <c r="B9" s="2">
        <v>15</v>
      </c>
      <c r="I9" s="17"/>
      <c r="Y9" s="16"/>
      <c r="Z9" s="16"/>
      <c r="AA9" s="16"/>
      <c r="AC9" s="16"/>
    </row>
    <row r="10" spans="1:36" x14ac:dyDescent="0.25">
      <c r="A10" s="14" t="s">
        <v>7</v>
      </c>
      <c r="B10" s="2" t="s">
        <v>40</v>
      </c>
      <c r="Y10" s="12"/>
      <c r="AC10" s="16"/>
    </row>
    <row r="11" spans="1:36" s="21" customFormat="1" ht="16.5" thickBot="1" x14ac:dyDescent="0.3">
      <c r="A11" s="19"/>
      <c r="B11" s="20"/>
    </row>
    <row r="12" spans="1:36" ht="16.5" thickBot="1" x14ac:dyDescent="0.3">
      <c r="A12" s="14" t="s">
        <v>3</v>
      </c>
      <c r="B12" s="15" t="s">
        <v>169</v>
      </c>
      <c r="C12" s="3" t="str">
        <f>CONCATENATE("&lt;GeneMap name= ",CHAR(34),B12,CHAR(34)," interval=",CHAR(34),B13,"=",CHAR(34),"&gt;")</f>
        <v>&lt;GeneMap name= "CHRNA5" interval="NC_000015.9:g.78857862_78887611="&gt;</v>
      </c>
      <c r="J12" s="23"/>
      <c r="K12" s="23"/>
      <c r="L12" s="23"/>
      <c r="M12" s="23"/>
      <c r="N12" s="23"/>
      <c r="O12" s="24"/>
      <c r="P12" s="25"/>
      <c r="Q12" s="24"/>
      <c r="R12" s="24"/>
      <c r="S12" s="25"/>
      <c r="T12" s="25"/>
      <c r="U12" s="24"/>
      <c r="V12" s="24"/>
      <c r="W12" s="25"/>
      <c r="X12" s="25"/>
      <c r="Y12" s="25"/>
      <c r="Z12" s="25"/>
    </row>
    <row r="13" spans="1:36" x14ac:dyDescent="0.25">
      <c r="A13" s="14" t="s">
        <v>9</v>
      </c>
      <c r="B13" t="s">
        <v>177</v>
      </c>
      <c r="J13" s="15"/>
      <c r="K13" s="15"/>
      <c r="L13" s="15"/>
      <c r="M13" s="15"/>
      <c r="N13" s="15"/>
      <c r="O13" s="15"/>
      <c r="P13" s="15"/>
      <c r="Q13" s="15"/>
      <c r="R13" s="15"/>
      <c r="S13" s="15"/>
      <c r="T13" s="15"/>
      <c r="U13" s="15"/>
      <c r="V13" s="15"/>
      <c r="W13" s="15"/>
      <c r="X13" s="15"/>
      <c r="Y13" s="15"/>
      <c r="Z13" s="15"/>
    </row>
    <row r="14" spans="1:36" x14ac:dyDescent="0.25">
      <c r="A14" s="14" t="s">
        <v>11</v>
      </c>
      <c r="B14" t="s">
        <v>91</v>
      </c>
      <c r="C14" s="3" t="str">
        <f>CONCATENATE("# What are some common variants of ",B12,"?")</f>
        <v># What are some common variants of CHRNA5?</v>
      </c>
      <c r="J14" s="15"/>
      <c r="K14" s="15"/>
      <c r="L14" s="15"/>
      <c r="M14" s="15"/>
      <c r="N14" s="15"/>
      <c r="O14" s="15"/>
      <c r="P14" s="15"/>
      <c r="Q14" s="15"/>
      <c r="R14" s="15"/>
      <c r="S14" s="15"/>
      <c r="T14" s="15"/>
      <c r="U14" s="15"/>
      <c r="V14" s="15"/>
      <c r="W14" s="15"/>
      <c r="X14" s="15"/>
      <c r="Y14" s="15"/>
      <c r="Z14" s="15"/>
    </row>
    <row r="15" spans="1:36" x14ac:dyDescent="0.25">
      <c r="A15" s="14"/>
      <c r="B15" s="2"/>
      <c r="C15" s="3" t="s">
        <v>13</v>
      </c>
      <c r="J15" s="15"/>
      <c r="K15" s="15"/>
      <c r="L15" s="15"/>
      <c r="M15" s="15"/>
      <c r="N15" s="15"/>
      <c r="O15" s="15"/>
      <c r="P15" s="15"/>
      <c r="Q15" s="15"/>
      <c r="R15" s="15"/>
      <c r="S15" s="15"/>
      <c r="T15" s="15"/>
      <c r="U15" s="15"/>
      <c r="V15" s="15"/>
      <c r="W15" s="15"/>
      <c r="X15" s="15"/>
      <c r="Y15" s="15"/>
      <c r="Z15" s="15"/>
    </row>
    <row r="16" spans="1:36" x14ac:dyDescent="0.25">
      <c r="B16" s="2"/>
      <c r="C16" s="3" t="str">
        <f>CONCATENATE("A variant is a change at a specific point in the gene from the expected nucleotide sequence to another, resulting in incorrect ", B10," function. There are ",B14," common variants in ",B12,": ",B22,", ",B31,", and ",B40,".")</f>
        <v>A variant is a change at a specific point in the gene from the expected nucleotide sequence to another, resulting in incorrect protein function. There are three common variants in CHRNA5: [G1192A (Asp398Asn)](https://www.ncbi.nlm.nih.gov/clinvar/variation/17497/), [A78573551G](https://www.ncbi.nlm.nih.gov/projects/SNP/snp_ref.cgi?rs=6495306), and [A78581651T](https://www.ncbi.nlm.nih.gov/projects/SNP/snp_ref.cgi?rs=7180002).</v>
      </c>
      <c r="J16" s="15"/>
      <c r="K16" s="15"/>
      <c r="L16" s="15"/>
      <c r="M16" s="15"/>
      <c r="N16" s="15"/>
      <c r="O16" s="15"/>
      <c r="P16" s="15"/>
      <c r="Q16" s="15"/>
      <c r="R16" s="15"/>
      <c r="S16" s="15"/>
      <c r="T16" s="15"/>
      <c r="U16" s="15"/>
      <c r="V16" s="15"/>
      <c r="W16" s="15"/>
      <c r="X16" s="15"/>
      <c r="Y16" s="15"/>
      <c r="Z16" s="15"/>
    </row>
    <row r="17" spans="1:26" x14ac:dyDescent="0.25">
      <c r="B17" s="2"/>
      <c r="J17" s="15"/>
      <c r="K17" s="15"/>
      <c r="L17" s="15"/>
      <c r="M17" s="15"/>
      <c r="N17" s="15"/>
      <c r="O17" s="15"/>
      <c r="P17" s="15"/>
      <c r="Q17" s="15"/>
      <c r="R17" s="15"/>
      <c r="S17" s="15"/>
      <c r="T17" s="15"/>
      <c r="U17" s="15"/>
      <c r="V17" s="15"/>
      <c r="W17" s="15"/>
      <c r="X17" s="15"/>
      <c r="Y17" s="15"/>
      <c r="Z17" s="15"/>
    </row>
    <row r="18" spans="1:26" x14ac:dyDescent="0.25">
      <c r="A18" s="14" t="s">
        <v>14</v>
      </c>
      <c r="B18" s="6" t="s">
        <v>184</v>
      </c>
      <c r="C18" s="3" t="str">
        <f>CONCATENATE("&lt;# ",B19," #&gt;")</f>
        <v>&lt;# G1192A #&gt;</v>
      </c>
      <c r="J18" s="15"/>
      <c r="K18" s="15"/>
      <c r="L18" s="15"/>
      <c r="M18" s="15"/>
      <c r="N18" s="15"/>
      <c r="O18" s="15"/>
      <c r="P18" s="15"/>
      <c r="Q18" s="15"/>
      <c r="R18" s="15"/>
      <c r="S18" s="15"/>
      <c r="T18" s="15"/>
      <c r="U18" s="15"/>
      <c r="V18" s="15"/>
      <c r="W18" s="15"/>
      <c r="X18" s="15"/>
      <c r="Y18" s="15"/>
      <c r="Z18" s="15"/>
    </row>
    <row r="19" spans="1:26" x14ac:dyDescent="0.25">
      <c r="A19" s="26" t="s">
        <v>15</v>
      </c>
      <c r="B19" s="7" t="s">
        <v>178</v>
      </c>
      <c r="J19" s="6"/>
      <c r="K19" s="15"/>
      <c r="L19" s="15"/>
      <c r="M19" s="15"/>
      <c r="N19" s="15"/>
      <c r="O19" s="15"/>
      <c r="P19" s="15"/>
      <c r="Q19" s="15"/>
      <c r="R19" s="15"/>
      <c r="S19" s="15"/>
      <c r="T19" s="15"/>
      <c r="U19" s="15"/>
      <c r="V19" s="15"/>
      <c r="W19" s="15"/>
      <c r="X19" s="15"/>
      <c r="Y19" s="15"/>
      <c r="Z19" s="15"/>
    </row>
    <row r="20" spans="1:26" x14ac:dyDescent="0.25">
      <c r="A20" s="26" t="s">
        <v>17</v>
      </c>
      <c r="B20" s="2" t="s">
        <v>44</v>
      </c>
      <c r="C20" s="3" t="str">
        <f>CONCATENATE("  &lt;Variant hgvs=",CHAR(34),B18,CHAR(34)," name=",CHAR(34),B19,CHAR(34),"&gt; ")</f>
        <v xml:space="preserve">  &lt;Variant hgvs="NC_000015.9:g.78882925G&gt;A" name="G1192A"&gt; </v>
      </c>
      <c r="J20" s="2"/>
      <c r="K20" s="15"/>
      <c r="L20" s="15"/>
      <c r="M20" s="15"/>
      <c r="N20" s="15"/>
      <c r="O20" s="15"/>
      <c r="P20" s="15"/>
      <c r="Q20" s="15"/>
      <c r="R20" s="15"/>
      <c r="S20" s="15"/>
      <c r="T20" s="15"/>
      <c r="U20" s="15"/>
      <c r="V20" s="15"/>
      <c r="W20" s="15"/>
      <c r="X20" s="15"/>
      <c r="Y20" s="15"/>
      <c r="Z20" s="15"/>
    </row>
    <row r="21" spans="1:26" x14ac:dyDescent="0.25">
      <c r="A21" s="26" t="s">
        <v>19</v>
      </c>
      <c r="B21" s="2" t="s">
        <v>24</v>
      </c>
      <c r="H21" s="15"/>
      <c r="I21" s="15"/>
      <c r="J21" s="2"/>
      <c r="K21" s="15"/>
      <c r="L21" s="15"/>
      <c r="M21" s="15"/>
      <c r="N21" s="15"/>
      <c r="O21" s="15"/>
      <c r="P21" s="15"/>
      <c r="Q21" s="15"/>
      <c r="R21" s="15"/>
      <c r="S21" s="15"/>
      <c r="T21" s="15"/>
      <c r="U21" s="15"/>
      <c r="V21" s="15"/>
      <c r="W21" s="15"/>
      <c r="X21" s="15"/>
      <c r="Y21" s="15"/>
      <c r="Z21" s="15"/>
    </row>
    <row r="22" spans="1:26" x14ac:dyDescent="0.25">
      <c r="A22" s="26" t="s">
        <v>21</v>
      </c>
      <c r="B22" s="7" t="s">
        <v>179</v>
      </c>
      <c r="C22" s="3" t="str">
        <f>CONCATENATE("    Instead of ",B20,", there is an ",B21," nucleotide.")</f>
        <v xml:space="preserve">    Instead of guanine (G), there is an adenine (A) nucleotide.</v>
      </c>
      <c r="H22" s="15"/>
      <c r="I22" s="15"/>
      <c r="J22" s="7"/>
      <c r="K22" s="15"/>
      <c r="L22" s="15"/>
      <c r="M22" s="15"/>
      <c r="N22" s="15"/>
      <c r="O22" s="15"/>
      <c r="P22" s="15"/>
      <c r="Q22" s="15"/>
      <c r="R22" s="15"/>
      <c r="S22" s="15"/>
      <c r="T22" s="15"/>
      <c r="U22" s="15"/>
      <c r="V22" s="15"/>
      <c r="W22" s="15"/>
      <c r="X22" s="15"/>
      <c r="Y22" s="15"/>
      <c r="Z22" s="15"/>
    </row>
    <row r="23" spans="1:26" x14ac:dyDescent="0.25">
      <c r="A23" s="3" t="s">
        <v>65</v>
      </c>
      <c r="B23" s="6" t="s">
        <v>153</v>
      </c>
      <c r="H23" s="2"/>
      <c r="I23" s="2"/>
      <c r="J23" s="15"/>
      <c r="K23" s="15"/>
      <c r="L23" s="15"/>
      <c r="M23" s="15"/>
      <c r="N23" s="15"/>
      <c r="O23" s="15"/>
      <c r="P23" s="15"/>
      <c r="Q23" s="15"/>
      <c r="R23" s="15"/>
      <c r="S23" s="15"/>
      <c r="T23" s="15"/>
      <c r="U23" s="15"/>
      <c r="V23" s="15"/>
      <c r="W23" s="15"/>
      <c r="X23" s="15"/>
      <c r="Y23" s="15"/>
      <c r="Z23" s="15"/>
    </row>
    <row r="24" spans="1:26" x14ac:dyDescent="0.25">
      <c r="A24" s="3" t="s">
        <v>51</v>
      </c>
      <c r="B24" s="7" t="s">
        <v>186</v>
      </c>
      <c r="C24" s="3" t="str">
        <f>"  &lt;/Variant&gt;"</f>
        <v xml:space="preserve">  &lt;/Variant&gt;</v>
      </c>
      <c r="H24" s="2"/>
      <c r="I24" s="2"/>
      <c r="J24" s="15"/>
      <c r="K24" s="15"/>
      <c r="L24" s="15"/>
      <c r="M24" s="15"/>
      <c r="N24" s="15"/>
      <c r="O24" s="15"/>
      <c r="P24" s="15"/>
      <c r="Q24" s="15"/>
      <c r="R24" s="15"/>
      <c r="S24" s="15"/>
      <c r="T24" s="15"/>
      <c r="U24" s="15"/>
      <c r="V24" s="15"/>
      <c r="W24" s="15"/>
      <c r="X24" s="15"/>
      <c r="Y24" s="15"/>
      <c r="Z24" s="15"/>
    </row>
    <row r="25" spans="1:26" x14ac:dyDescent="0.25">
      <c r="A25" s="26" t="s">
        <v>52</v>
      </c>
      <c r="B25" s="7" t="s">
        <v>187</v>
      </c>
      <c r="J25" s="6"/>
    </row>
    <row r="26" spans="1:26" x14ac:dyDescent="0.25">
      <c r="A26" s="26"/>
      <c r="B26" s="7"/>
      <c r="J26" s="6"/>
    </row>
    <row r="27" spans="1:26" x14ac:dyDescent="0.25">
      <c r="A27" s="14" t="s">
        <v>14</v>
      </c>
      <c r="B27" s="41" t="s">
        <v>188</v>
      </c>
      <c r="C27" s="3" t="str">
        <f>CONCATENATE("&lt;# ",B28," #&gt;")</f>
        <v>&lt;# A78573551G #&gt;</v>
      </c>
      <c r="J27" s="6"/>
    </row>
    <row r="28" spans="1:26" x14ac:dyDescent="0.25">
      <c r="A28" s="26" t="s">
        <v>15</v>
      </c>
      <c r="B28" s="7" t="s">
        <v>180</v>
      </c>
      <c r="J28" s="2"/>
    </row>
    <row r="29" spans="1:26" x14ac:dyDescent="0.25">
      <c r="A29" s="26" t="s">
        <v>17</v>
      </c>
      <c r="B29" s="2" t="s">
        <v>24</v>
      </c>
      <c r="C29" s="3" t="str">
        <f>CONCATENATE("  &lt;Variant hgvs=",CHAR(34),B27,CHAR(34)," name=",CHAR(34),B28,CHAR(34),"&gt; ")</f>
        <v xml:space="preserve">  &lt;Variant hgvs="NC_000015.9:g.78865893G&gt;A" name="A78573551G"&gt; </v>
      </c>
      <c r="J29" s="2"/>
    </row>
    <row r="30" spans="1:26" x14ac:dyDescent="0.25">
      <c r="A30" s="26" t="s">
        <v>19</v>
      </c>
      <c r="B30" s="2" t="s">
        <v>44</v>
      </c>
      <c r="J30" s="7"/>
    </row>
    <row r="31" spans="1:26" x14ac:dyDescent="0.25">
      <c r="A31" s="26" t="s">
        <v>21</v>
      </c>
      <c r="B31" s="7" t="s">
        <v>181</v>
      </c>
      <c r="C31" s="3" t="str">
        <f>CONCATENATE("    Instead of ",B29,", there is an ",B30," nucleotide.")</f>
        <v xml:space="preserve">    Instead of adenine (A), there is an guanine (G) nucleotide.</v>
      </c>
    </row>
    <row r="32" spans="1:26" x14ac:dyDescent="0.25">
      <c r="A32" s="3" t="s">
        <v>65</v>
      </c>
      <c r="B32" s="3" t="s">
        <v>153</v>
      </c>
      <c r="J32" s="7"/>
    </row>
    <row r="33" spans="1:13" x14ac:dyDescent="0.25">
      <c r="A33" s="3" t="s">
        <v>51</v>
      </c>
      <c r="B33" s="3" t="s">
        <v>189</v>
      </c>
      <c r="C33" s="3" t="str">
        <f>"  &lt;/Variant&gt;"</f>
        <v xml:space="preserve">  &lt;/Variant&gt;</v>
      </c>
      <c r="J33" s="7"/>
    </row>
    <row r="34" spans="1:13" x14ac:dyDescent="0.25">
      <c r="A34" s="26" t="s">
        <v>52</v>
      </c>
      <c r="B34" s="7" t="s">
        <v>190</v>
      </c>
    </row>
    <row r="35" spans="1:13" x14ac:dyDescent="0.25">
      <c r="B35" s="3"/>
    </row>
    <row r="36" spans="1:13" x14ac:dyDescent="0.25">
      <c r="A36" s="14" t="s">
        <v>14</v>
      </c>
      <c r="B36" s="41" t="s">
        <v>191</v>
      </c>
      <c r="C36" s="3" t="str">
        <f>CONCATENATE("&lt;# ",B37," #&gt;")</f>
        <v>&lt;# A78581651T #&gt;</v>
      </c>
      <c r="J36" s="6"/>
    </row>
    <row r="37" spans="1:13" x14ac:dyDescent="0.25">
      <c r="A37" s="26" t="s">
        <v>15</v>
      </c>
      <c r="B37" s="42" t="s">
        <v>182</v>
      </c>
      <c r="J37" s="2"/>
    </row>
    <row r="38" spans="1:13" x14ac:dyDescent="0.25">
      <c r="A38" s="26" t="s">
        <v>17</v>
      </c>
      <c r="B38" s="2" t="s">
        <v>24</v>
      </c>
      <c r="C38" s="3" t="str">
        <f>CONCATENATE("  &lt;Variant hgvs=",CHAR(34),B36,CHAR(34)," name=",CHAR(34),B37,CHAR(34),"&gt; ")</f>
        <v xml:space="preserve">  &lt;Variant hgvs="NC_000015.9:g.78873993A&gt;T" name="A78581651T"&gt; </v>
      </c>
      <c r="J38" s="2"/>
    </row>
    <row r="39" spans="1:13" x14ac:dyDescent="0.25">
      <c r="A39" s="26" t="s">
        <v>19</v>
      </c>
      <c r="B39" s="2" t="s">
        <v>20</v>
      </c>
      <c r="J39" s="7"/>
    </row>
    <row r="40" spans="1:13" x14ac:dyDescent="0.25">
      <c r="A40" s="26" t="s">
        <v>21</v>
      </c>
      <c r="B40" s="7" t="s">
        <v>183</v>
      </c>
      <c r="C40" s="3" t="str">
        <f>CONCATENATE("    Instead of ",B38,", there is a ",B39," nucleotide.")</f>
        <v xml:space="preserve">    Instead of adenine (A), there is a thymine (T) nucleotide.</v>
      </c>
    </row>
    <row r="41" spans="1:13" x14ac:dyDescent="0.25">
      <c r="A41" s="3" t="s">
        <v>65</v>
      </c>
      <c r="B41" s="3" t="s">
        <v>153</v>
      </c>
      <c r="J41" s="7"/>
    </row>
    <row r="42" spans="1:13" x14ac:dyDescent="0.25">
      <c r="A42" s="3" t="s">
        <v>51</v>
      </c>
      <c r="B42" s="3" t="s">
        <v>192</v>
      </c>
      <c r="C42" s="3" t="str">
        <f>"  &lt;/Variant&gt;"</f>
        <v xml:space="preserve">  &lt;/Variant&gt;</v>
      </c>
      <c r="J42" s="7"/>
    </row>
    <row r="43" spans="1:13" x14ac:dyDescent="0.25">
      <c r="A43" s="26" t="s">
        <v>52</v>
      </c>
      <c r="B43" s="7" t="s">
        <v>193</v>
      </c>
    </row>
    <row r="44" spans="1:13" x14ac:dyDescent="0.25">
      <c r="B44" s="3"/>
    </row>
    <row r="45" spans="1:13" s="21" customFormat="1" x14ac:dyDescent="0.25">
      <c r="A45" s="28"/>
      <c r="B45" s="20"/>
    </row>
    <row r="46" spans="1:13" s="10" customFormat="1" x14ac:dyDescent="0.25">
      <c r="A46" s="32"/>
      <c r="B46" s="33"/>
      <c r="C46" s="34" t="s">
        <v>62</v>
      </c>
      <c r="L46" s="38"/>
    </row>
    <row r="47" spans="1:13" s="10" customFormat="1" x14ac:dyDescent="0.25">
      <c r="A47" s="32"/>
      <c r="B47" s="33"/>
      <c r="K47" s="10" t="s">
        <v>185</v>
      </c>
      <c r="L47" s="38" t="s">
        <v>110</v>
      </c>
      <c r="M47" s="11" t="s">
        <v>109</v>
      </c>
    </row>
    <row r="48" spans="1:13" s="21" customFormat="1" x14ac:dyDescent="0.25">
      <c r="A48" s="28" t="s">
        <v>70</v>
      </c>
      <c r="B48" s="20" t="str">
        <f>CONCATENATE(B19," (G;A)")</f>
        <v>G1192A (G;A)</v>
      </c>
      <c r="C48" s="21" t="str">
        <f>CONCATENATE("&lt;# ",B48," #&gt;")</f>
        <v>&lt;# G1192A (G;A) #&gt;</v>
      </c>
      <c r="K48" s="21" t="str">
        <f>B19</f>
        <v>G1192A</v>
      </c>
      <c r="L48" s="21" t="str">
        <f>B28</f>
        <v>A78573551G</v>
      </c>
      <c r="M48" s="21" t="str">
        <f>B37</f>
        <v>A78581651T</v>
      </c>
    </row>
    <row r="49" spans="1:13" s="10" customFormat="1" x14ac:dyDescent="0.25">
      <c r="A49" s="3" t="s">
        <v>21</v>
      </c>
      <c r="B49" s="29" t="str">
        <f>K52</f>
        <v>NC_000015.9:g.[78882925G&gt;A];[78882925=]</v>
      </c>
      <c r="J49" s="3"/>
      <c r="K49" s="22" t="str">
        <f>B23</f>
        <v>NC_000015.9:g.</v>
      </c>
      <c r="L49" s="22" t="str">
        <f>B32</f>
        <v>NC_000015.9:g.</v>
      </c>
      <c r="M49" s="10" t="str">
        <f>B41</f>
        <v>NC_000015.9:g.</v>
      </c>
    </row>
    <row r="50" spans="1:13" x14ac:dyDescent="0.25">
      <c r="B50" s="29"/>
      <c r="C50" s="3" t="str">
        <f>CONCATENATE("  &lt;Analysis name=",CHAR(34),B48,CHAR(34))</f>
        <v xml:space="preserve">  &lt;Analysis name="G1192A (G;A)"</v>
      </c>
      <c r="J50" s="3" t="s">
        <v>21</v>
      </c>
      <c r="K50" s="15" t="str">
        <f>B24</f>
        <v>[78882925G&gt;A]</v>
      </c>
      <c r="L50" s="22" t="str">
        <f>B33</f>
        <v>[78865893G&gt;A]</v>
      </c>
      <c r="M50" s="10" t="str">
        <f t="shared" ref="M50:M51" si="0">B42</f>
        <v>[78873993A&gt;T]</v>
      </c>
    </row>
    <row r="51" spans="1:13" x14ac:dyDescent="0.25">
      <c r="A51" s="5" t="s">
        <v>27</v>
      </c>
      <c r="B51" s="2" t="str">
        <f>CONCATENATE("People with this variant have one copy of the ",B22," variant. This substitution of a single nucleotide is known as a missense mutation.")</f>
        <v>People with this variant have one copy of the [G1192A (Asp398Asn)](https://www.ncbi.nlm.nih.gov/clinvar/variation/17497/) variant. This substitution of a single nucleotide is known as a missense mutation.</v>
      </c>
      <c r="C51" s="3" t="str">
        <f>CONCATENATE("            case={  variantCall ",CHAR(40),CHAR(34),K52,CHAR(34),CHAR(41))</f>
        <v xml:space="preserve">            case={  variantCall ("NC_000015.9:g.[78882925G&gt;A];[78882925=]")</v>
      </c>
      <c r="J51" s="3" t="s">
        <v>52</v>
      </c>
      <c r="K51" s="15" t="str">
        <f>B25</f>
        <v>[78882925=]</v>
      </c>
      <c r="L51" s="22" t="str">
        <f>B34</f>
        <v>[78865893=]</v>
      </c>
      <c r="M51" s="10" t="str">
        <f t="shared" si="0"/>
        <v>[78873993=]</v>
      </c>
    </row>
    <row r="52" spans="1:13" x14ac:dyDescent="0.25">
      <c r="A52" s="1" t="s">
        <v>28</v>
      </c>
      <c r="B52" s="2" t="s">
        <v>197</v>
      </c>
      <c r="C52" s="3" t="s">
        <v>71</v>
      </c>
      <c r="J52" s="3" t="s">
        <v>63</v>
      </c>
      <c r="K52" s="15" t="str">
        <f>CONCATENATE(K49,K50,";",K51)</f>
        <v>NC_000015.9:g.[78882925G&gt;A];[78882925=]</v>
      </c>
      <c r="L52" s="15" t="str">
        <f>CONCATENATE(L49,L50,";",L51)</f>
        <v>NC_000015.9:g.[78865893G&gt;A];[78865893=]</v>
      </c>
      <c r="M52" s="15" t="str">
        <f>CONCATENATE(M49,M50,";",M51)</f>
        <v>NC_000015.9:g.[78873993A&gt;T];[78873993=]</v>
      </c>
    </row>
    <row r="53" spans="1:13" x14ac:dyDescent="0.25">
      <c r="A53" s="3" t="s">
        <v>73</v>
      </c>
      <c r="B53" s="29">
        <f>K55</f>
        <v>39.200000000000003</v>
      </c>
      <c r="C53" s="3" t="str">
        <f>CONCATENATE("                    ","variantCall ",CHAR(40),CHAR(34),L54,CHAR(34),CHAR(41))</f>
        <v xml:space="preserve">                    variantCall ("NC_000015.9:g.[78865893=];[78865893=]")</v>
      </c>
      <c r="J53" s="3" t="s">
        <v>64</v>
      </c>
      <c r="K53" s="15" t="str">
        <f>CONCATENATE(K49,K50,";",K50)</f>
        <v>NC_000015.9:g.[78882925G&gt;A];[78882925G&gt;A]</v>
      </c>
      <c r="L53" s="15" t="str">
        <f>CONCATENATE(L49,L50,";",L50)</f>
        <v>NC_000015.9:g.[78865893G&gt;A];[78865893G&gt;A]</v>
      </c>
      <c r="M53" s="15" t="str">
        <f>CONCATENATE(M49,M50,";",M50)</f>
        <v>NC_000015.9:g.[78873993A&gt;T];[78873993A&gt;T]</v>
      </c>
    </row>
    <row r="54" spans="1:13" x14ac:dyDescent="0.25">
      <c r="C54" s="3" t="s">
        <v>71</v>
      </c>
      <c r="J54" s="3" t="s">
        <v>52</v>
      </c>
      <c r="K54" s="2" t="str">
        <f>CONCATENATE(K49,K51,";",K51)</f>
        <v>NC_000015.9:g.[78882925=];[78882925=]</v>
      </c>
      <c r="L54" s="2" t="str">
        <f>CONCATENATE(L49,L51,";",L51)</f>
        <v>NC_000015.9:g.[78865893=];[78865893=]</v>
      </c>
      <c r="M54" s="2" t="str">
        <f>CONCATENATE(M49,M51,";",M51)</f>
        <v>NC_000015.9:g.[78873993=];[78873993=]</v>
      </c>
    </row>
    <row r="55" spans="1:13" x14ac:dyDescent="0.25">
      <c r="C55" s="3" t="str">
        <f>CONCATENATE("                    ","variantCall ",CHAR(40),CHAR(34),M54,CHAR(34),CHAR(41))</f>
        <v xml:space="preserve">                    variantCall ("NC_000015.9:g.[78873993=];[78873993=]")</v>
      </c>
      <c r="J55" s="3" t="s">
        <v>67</v>
      </c>
      <c r="K55">
        <v>39.200000000000003</v>
      </c>
      <c r="L55" s="2">
        <v>39.200000000000003</v>
      </c>
      <c r="M55" s="2">
        <v>27.3</v>
      </c>
    </row>
    <row r="56" spans="1:13" x14ac:dyDescent="0.25">
      <c r="A56" s="14"/>
      <c r="C56" s="3" t="str">
        <f>CONCATENATE("                  } &gt; ")</f>
        <v xml:space="preserve">                  } &gt; </v>
      </c>
      <c r="J56" s="3" t="s">
        <v>68</v>
      </c>
      <c r="K56">
        <v>5.2</v>
      </c>
      <c r="L56" s="2">
        <v>17.899999999999999</v>
      </c>
      <c r="M56" s="2">
        <v>9.5</v>
      </c>
    </row>
    <row r="57" spans="1:13" x14ac:dyDescent="0.25">
      <c r="A57" s="26"/>
      <c r="J57" s="3" t="s">
        <v>69</v>
      </c>
      <c r="K57" s="2">
        <v>55.6</v>
      </c>
      <c r="L57" s="2">
        <v>42.9</v>
      </c>
      <c r="M57" s="2">
        <v>63.2</v>
      </c>
    </row>
    <row r="58" spans="1:13" x14ac:dyDescent="0.25">
      <c r="A58" s="14"/>
      <c r="C58" s="3" t="s">
        <v>26</v>
      </c>
      <c r="K58"/>
      <c r="L58" s="2"/>
      <c r="M58" s="2"/>
    </row>
    <row r="59" spans="1:13" x14ac:dyDescent="0.25">
      <c r="A59" s="14"/>
      <c r="K59" s="15"/>
      <c r="L59" s="15"/>
      <c r="M59" s="15"/>
    </row>
    <row r="60" spans="1:13" x14ac:dyDescent="0.25">
      <c r="A60" s="26"/>
      <c r="C60" s="3" t="str">
        <f>CONCATENATE("    ",B51)</f>
        <v xml:space="preserve">    People with this variant have one copy of the [G1192A (Asp398Asn)](https://www.ncbi.nlm.nih.gov/clinvar/variation/17497/) variant. This substitution of a single nucleotide is known as a missense mutation.</v>
      </c>
      <c r="K60" s="15"/>
      <c r="L60" s="15"/>
      <c r="M60" s="15"/>
    </row>
    <row r="61" spans="1:13" x14ac:dyDescent="0.25">
      <c r="A61" s="14"/>
      <c r="K61" s="2"/>
      <c r="L61" s="2"/>
      <c r="M61" s="2"/>
    </row>
    <row r="62" spans="1:13" x14ac:dyDescent="0.25">
      <c r="A62" s="14"/>
      <c r="C62" s="3" t="s">
        <v>29</v>
      </c>
    </row>
    <row r="63" spans="1:13" x14ac:dyDescent="0.25">
      <c r="A63" s="14"/>
    </row>
    <row r="64" spans="1:13" x14ac:dyDescent="0.25">
      <c r="A64" s="14"/>
      <c r="C64" s="3" t="str">
        <f>CONCATENATE(B52)</f>
        <v xml:space="preserve">    This variant controls [cognitive function, working memory, and gray matter volume in the brain](https://www.ncbi.nlm.nih.gov/pubmed/24819610). Males with this variant have faster [information processing](https://www.ncbi.nlm.nih.gov/pubmed/25674902), including [much better behavioral performance, more efficient brain activity, and a larger brain volume.](https://www.ncbi.nlm.nih.gov/pubmed/24819610) Females with this variant exhibit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 greater risk for [lung cancer and COPD](https://www.ncbi.nlm.nih.gov/pubmed/27344179).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v>
      </c>
    </row>
    <row r="65" spans="1:13" x14ac:dyDescent="0.25">
      <c r="A65" s="26"/>
    </row>
    <row r="66" spans="1:13" x14ac:dyDescent="0.25">
      <c r="A66" s="26"/>
      <c r="C66" s="3" t="s">
        <v>30</v>
      </c>
    </row>
    <row r="67" spans="1:13" x14ac:dyDescent="0.25">
      <c r="A67" s="26"/>
    </row>
    <row r="68" spans="1:13" x14ac:dyDescent="0.25">
      <c r="A68" s="26"/>
      <c r="C68" s="3" t="str">
        <f>CONCATENATE( "    &lt;piechart percentage=",B53," /&gt;")</f>
        <v xml:space="preserve">    &lt;piechart percentage=39.2 /&gt;</v>
      </c>
    </row>
    <row r="69" spans="1:13" x14ac:dyDescent="0.25">
      <c r="A69" s="26"/>
      <c r="C69" s="3" t="str">
        <f>"  &lt;/Analysis&gt;"</f>
        <v xml:space="preserve">  &lt;/Analysis&gt;</v>
      </c>
      <c r="K69" s="3" t="str">
        <f t="shared" ref="K69:M69" si="1">K47</f>
        <v>rs16969968</v>
      </c>
      <c r="L69" s="3" t="str">
        <f t="shared" si="1"/>
        <v>rs3913434</v>
      </c>
      <c r="M69" s="3" t="str">
        <f t="shared" si="1"/>
        <v>rs270838</v>
      </c>
    </row>
    <row r="70" spans="1:13" s="21" customFormat="1" x14ac:dyDescent="0.25">
      <c r="A70" s="28" t="s">
        <v>70</v>
      </c>
      <c r="B70" s="20" t="str">
        <f>CONCATENATE(B19," (A;A)")</f>
        <v>G1192A (A;A)</v>
      </c>
      <c r="C70" s="21" t="str">
        <f>CONCATENATE("&lt;# ",B70," #&gt;")</f>
        <v>&lt;# G1192A (A;A) #&gt;</v>
      </c>
      <c r="K70" s="21" t="str">
        <f>K48</f>
        <v>G1192A</v>
      </c>
      <c r="L70" s="21" t="str">
        <f>L48</f>
        <v>A78573551G</v>
      </c>
      <c r="M70" s="21" t="str">
        <f>M48</f>
        <v>A78581651T</v>
      </c>
    </row>
    <row r="71" spans="1:13" x14ac:dyDescent="0.25">
      <c r="A71" s="3" t="s">
        <v>21</v>
      </c>
      <c r="B71" s="29" t="str">
        <f>K53</f>
        <v>NC_000015.9:g.[78882925G&gt;A];[78882925G&gt;A]</v>
      </c>
      <c r="C71" s="10"/>
      <c r="K71" s="3" t="str">
        <f>K49</f>
        <v>NC_000015.9:g.</v>
      </c>
      <c r="L71" s="3" t="str">
        <f>L49</f>
        <v>NC_000015.9:g.</v>
      </c>
      <c r="M71" s="3" t="str">
        <f>M49</f>
        <v>NC_000015.9:g.</v>
      </c>
    </row>
    <row r="72" spans="1:13" x14ac:dyDescent="0.25">
      <c r="B72" s="29"/>
      <c r="C72" s="3" t="str">
        <f>CONCATENATE("  &lt;Analysis name=",CHAR(34),B70,CHAR(34))</f>
        <v xml:space="preserve">  &lt;Analysis name="G1192A (A;A)"</v>
      </c>
      <c r="J72" s="3" t="str">
        <f t="shared" ref="J72:M79" si="2">J50</f>
        <v>Variant</v>
      </c>
      <c r="K72" s="3" t="str">
        <f t="shared" si="2"/>
        <v>[78882925G&gt;A]</v>
      </c>
      <c r="L72" s="3" t="str">
        <f t="shared" si="2"/>
        <v>[78865893G&gt;A]</v>
      </c>
      <c r="M72" s="3" t="str">
        <f t="shared" si="2"/>
        <v>[78873993A&gt;T]</v>
      </c>
    </row>
    <row r="73" spans="1:13" x14ac:dyDescent="0.25">
      <c r="A73" s="5" t="s">
        <v>75</v>
      </c>
      <c r="B73" s="2" t="str">
        <f>CONCATENATE("People with this variant have two copies of the ",B22," variant. This substitution of a single nucleotide is known as a missense mutation.")</f>
        <v>People with this variant have two copies of the [G1192A (Asp398Asn)](https://www.ncbi.nlm.nih.gov/clinvar/variation/17497/) variant. This substitution of a single nucleotide is known as a missense mutation.</v>
      </c>
      <c r="C73" s="3" t="str">
        <f>CONCATENATE("            case={  variantCall ",CHAR(40),CHAR(34),B71,CHAR(34),CHAR(41))</f>
        <v xml:space="preserve">            case={  variantCall ("NC_000015.9:g.[78882925G&gt;A];[78882925G&gt;A]")</v>
      </c>
      <c r="J73" s="3" t="str">
        <f t="shared" si="2"/>
        <v>Wildtype</v>
      </c>
      <c r="K73" s="3" t="str">
        <f t="shared" si="2"/>
        <v>[78882925=]</v>
      </c>
      <c r="L73" s="3" t="str">
        <f t="shared" si="2"/>
        <v>[78865893=]</v>
      </c>
      <c r="M73" s="3" t="str">
        <f t="shared" si="2"/>
        <v>[78873993=]</v>
      </c>
    </row>
    <row r="74" spans="1:13" x14ac:dyDescent="0.25">
      <c r="A74" s="1" t="s">
        <v>28</v>
      </c>
      <c r="B74" s="29" t="s">
        <v>196</v>
      </c>
      <c r="C74" s="3" t="s">
        <v>71</v>
      </c>
      <c r="J74" s="3" t="str">
        <f t="shared" si="2"/>
        <v>Het</v>
      </c>
      <c r="K74" s="3" t="str">
        <f t="shared" si="2"/>
        <v>NC_000015.9:g.[78882925G&gt;A];[78882925=]</v>
      </c>
      <c r="L74" s="3" t="str">
        <f t="shared" si="2"/>
        <v>NC_000015.9:g.[78865893G&gt;A];[78865893=]</v>
      </c>
      <c r="M74" s="3" t="str">
        <f t="shared" si="2"/>
        <v>NC_000015.9:g.[78873993A&gt;T];[78873993=]</v>
      </c>
    </row>
    <row r="75" spans="1:13" x14ac:dyDescent="0.25">
      <c r="A75" s="3" t="s">
        <v>73</v>
      </c>
      <c r="B75" s="29">
        <f>K56</f>
        <v>5.2</v>
      </c>
      <c r="C75" s="3" t="str">
        <f>CONCATENATE("                    ","variantCall ",CHAR(40),CHAR(34),L76,CHAR(34),CHAR(41))</f>
        <v xml:space="preserve">                    variantCall ("NC_000015.9:g.[78865893=];[78865893=]")</v>
      </c>
      <c r="J75" s="3" t="str">
        <f t="shared" si="2"/>
        <v>Homo</v>
      </c>
      <c r="K75" s="3" t="str">
        <f t="shared" si="2"/>
        <v>NC_000015.9:g.[78882925G&gt;A];[78882925G&gt;A]</v>
      </c>
      <c r="L75" s="3" t="str">
        <f t="shared" si="2"/>
        <v>NC_000015.9:g.[78865893G&gt;A];[78865893G&gt;A]</v>
      </c>
      <c r="M75" s="3" t="str">
        <f t="shared" si="2"/>
        <v>NC_000015.9:g.[78873993A&gt;T];[78873993A&gt;T]</v>
      </c>
    </row>
    <row r="76" spans="1:13" x14ac:dyDescent="0.25">
      <c r="C76" s="3" t="s">
        <v>71</v>
      </c>
      <c r="J76" s="3" t="str">
        <f t="shared" si="2"/>
        <v>Wildtype</v>
      </c>
      <c r="K76" s="3" t="str">
        <f t="shared" si="2"/>
        <v>NC_000015.9:g.[78882925=];[78882925=]</v>
      </c>
      <c r="L76" s="3" t="str">
        <f t="shared" si="2"/>
        <v>NC_000015.9:g.[78865893=];[78865893=]</v>
      </c>
      <c r="M76" s="3" t="str">
        <f t="shared" si="2"/>
        <v>NC_000015.9:g.[78873993=];[78873993=]</v>
      </c>
    </row>
    <row r="77" spans="1:13" x14ac:dyDescent="0.25">
      <c r="C77" s="3" t="str">
        <f>CONCATENATE("                    ","variantCall ",CHAR(40),CHAR(34),M76,CHAR(34),CHAR(41))</f>
        <v xml:space="preserve">                    variantCall ("NC_000015.9:g.[78873993=];[78873993=]")</v>
      </c>
      <c r="J77" s="3" t="str">
        <f t="shared" si="2"/>
        <v>Het%</v>
      </c>
      <c r="K77" s="3">
        <f t="shared" si="2"/>
        <v>39.200000000000003</v>
      </c>
      <c r="L77" s="3">
        <f t="shared" si="2"/>
        <v>39.200000000000003</v>
      </c>
      <c r="M77" s="3">
        <f t="shared" si="2"/>
        <v>27.3</v>
      </c>
    </row>
    <row r="78" spans="1:13" x14ac:dyDescent="0.25">
      <c r="A78" s="14"/>
      <c r="C78" s="3" t="str">
        <f>CONCATENATE("                  } &gt; ")</f>
        <v xml:space="preserve">                  } &gt; </v>
      </c>
      <c r="J78" s="3" t="str">
        <f t="shared" si="2"/>
        <v>Homo%</v>
      </c>
      <c r="K78" s="3">
        <f t="shared" si="2"/>
        <v>5.2</v>
      </c>
      <c r="L78" s="3">
        <f t="shared" si="2"/>
        <v>17.899999999999999</v>
      </c>
      <c r="M78" s="3">
        <f t="shared" si="2"/>
        <v>9.5</v>
      </c>
    </row>
    <row r="79" spans="1:13" x14ac:dyDescent="0.25">
      <c r="A79" s="26"/>
      <c r="J79" s="3" t="str">
        <f t="shared" si="2"/>
        <v>Wildtype%</v>
      </c>
      <c r="K79" s="3">
        <f t="shared" si="2"/>
        <v>55.6</v>
      </c>
      <c r="L79" s="3">
        <f t="shared" si="2"/>
        <v>42.9</v>
      </c>
      <c r="M79" s="3">
        <f t="shared" si="2"/>
        <v>63.2</v>
      </c>
    </row>
    <row r="80" spans="1:13" x14ac:dyDescent="0.25">
      <c r="A80" s="14"/>
      <c r="C80" s="3" t="s">
        <v>26</v>
      </c>
    </row>
    <row r="81" spans="1:13" x14ac:dyDescent="0.25">
      <c r="A81" s="14"/>
    </row>
    <row r="82" spans="1:13" x14ac:dyDescent="0.25">
      <c r="A82" s="26"/>
      <c r="C82" s="3" t="str">
        <f>CONCATENATE("    ",B73)</f>
        <v xml:space="preserve">    People with this variant have two copies of the [G1192A (Asp398Asn)](https://www.ncbi.nlm.nih.gov/clinvar/variation/17497/) variant. This substitution of a single nucleotide is known as a missense mutation.</v>
      </c>
    </row>
    <row r="83" spans="1:13" x14ac:dyDescent="0.25">
      <c r="A83" s="14"/>
    </row>
    <row r="84" spans="1:13" x14ac:dyDescent="0.25">
      <c r="A84" s="14"/>
      <c r="C84" s="3" t="s">
        <v>29</v>
      </c>
    </row>
    <row r="85" spans="1:13" x14ac:dyDescent="0.25">
      <c r="A85" s="14"/>
    </row>
    <row r="86" spans="1:13" x14ac:dyDescent="0.25">
      <c r="A86" s="14"/>
      <c r="C86" s="3" t="str">
        <f>CONCATENATE(B74)</f>
        <v xml:space="preserve">    This variant controls [cognitive function, working memory, and gray matter volume in the brain](https://www.ncbi.nlm.nih.gov/pubmed/24819610). Males with this variant have much faster [information processing](https://www.ncbi.nlm.nih.gov/pubmed/25674902), including [much better behavioral performance, more efficient brain activity, and a larger brain volume.](https://www.ncbi.nlm.nih.gov/pubmed/24819610) Females with this variant exhibit much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an elevated risk and earlier onset of [lung cancer](https://www.ncbi.nlm.nih.gov/pubmed/27543155), [COPD](https://www.ncbi.nlm.nih.gov/pubmed/26771213) and [newborn lung and breathing problems](https://www.ncbi.nlm.nih.gov/pubmed/24838476) in the children of smoking mothers.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Pregnant women should consider [supplemental vitamin C](https://www.ncbi.nlm.nih.gov/pubmed/24838476).
    Consult your physician on [medications](http://www.uniprot.org/uniprot/P30532#pathology_and_biotech) that act on variants in CHRNA5, including [Ethanol](https://www.drugbank.ca/drugs/DB00898), [Galantamine](https://www.drugbank.ca/drugs/DB00674), and [nicotine](https://www.drugbank.ca/drugs/DB00184).</v>
      </c>
    </row>
    <row r="87" spans="1:13" x14ac:dyDescent="0.25">
      <c r="A87" s="26"/>
    </row>
    <row r="88" spans="1:13" x14ac:dyDescent="0.25">
      <c r="A88" s="26"/>
      <c r="C88" s="3" t="s">
        <v>30</v>
      </c>
    </row>
    <row r="89" spans="1:13" x14ac:dyDescent="0.25">
      <c r="A89" s="26"/>
    </row>
    <row r="90" spans="1:13" x14ac:dyDescent="0.25">
      <c r="A90" s="26"/>
      <c r="C90" s="3" t="str">
        <f>CONCATENATE( "    &lt;piechart percentage=",B75," /&gt;")</f>
        <v xml:space="preserve">    &lt;piechart percentage=5.2 /&gt;</v>
      </c>
    </row>
    <row r="91" spans="1:13" x14ac:dyDescent="0.25">
      <c r="A91" s="26"/>
      <c r="C91" s="3" t="str">
        <f>"  &lt;/Analysis&gt;"</f>
        <v xml:space="preserve">  &lt;/Analysis&gt;</v>
      </c>
      <c r="K91" s="3" t="str">
        <f t="shared" ref="K91:M93" si="3">K69</f>
        <v>rs16969968</v>
      </c>
      <c r="L91" s="3" t="str">
        <f t="shared" si="3"/>
        <v>rs3913434</v>
      </c>
      <c r="M91" s="3" t="str">
        <f t="shared" si="3"/>
        <v>rs270838</v>
      </c>
    </row>
    <row r="92" spans="1:13" s="21" customFormat="1" x14ac:dyDescent="0.25">
      <c r="A92" s="28" t="s">
        <v>70</v>
      </c>
      <c r="B92" s="20" t="str">
        <f>CONCATENATE(B28," (A;G)")</f>
        <v>A78573551G (A;G)</v>
      </c>
      <c r="C92" s="21" t="str">
        <f>CONCATENATE("&lt;# ",B92," #&gt;")</f>
        <v>&lt;# A78573551G (A;G) #&gt;</v>
      </c>
      <c r="K92" s="21" t="str">
        <f t="shared" si="3"/>
        <v>G1192A</v>
      </c>
      <c r="L92" s="21" t="str">
        <f t="shared" si="3"/>
        <v>A78573551G</v>
      </c>
      <c r="M92" s="21" t="str">
        <f t="shared" si="3"/>
        <v>A78581651T</v>
      </c>
    </row>
    <row r="93" spans="1:13" s="10" customFormat="1" x14ac:dyDescent="0.25">
      <c r="A93" s="3" t="s">
        <v>21</v>
      </c>
      <c r="B93" s="29" t="str">
        <f>L96</f>
        <v>NC_000015.9:g.[78865893G&gt;A];[78865893=]</v>
      </c>
      <c r="J93" s="3"/>
      <c r="K93" s="22" t="str">
        <f t="shared" si="3"/>
        <v>NC_000015.9:g.</v>
      </c>
      <c r="L93" s="22" t="str">
        <f t="shared" si="3"/>
        <v>NC_000015.9:g.</v>
      </c>
      <c r="M93" s="10" t="str">
        <f t="shared" si="3"/>
        <v>NC_000015.9:g.</v>
      </c>
    </row>
    <row r="94" spans="1:13" x14ac:dyDescent="0.25">
      <c r="A94" s="3" t="s">
        <v>72</v>
      </c>
      <c r="B94" s="29"/>
      <c r="C94" s="3" t="str">
        <f>CONCATENATE("  &lt;Analysis name=",CHAR(34),B92,CHAR(34))</f>
        <v xml:space="preserve">  &lt;Analysis name="A78573551G (A;G)"</v>
      </c>
      <c r="J94" s="3" t="str">
        <f t="shared" ref="J94:M97" si="4">J72</f>
        <v>Variant</v>
      </c>
      <c r="K94" s="15" t="str">
        <f t="shared" si="4"/>
        <v>[78882925G&gt;A]</v>
      </c>
      <c r="L94" s="22" t="str">
        <f t="shared" si="4"/>
        <v>[78865893G&gt;A]</v>
      </c>
      <c r="M94" s="3" t="str">
        <f t="shared" si="4"/>
        <v>[78873993A&gt;T]</v>
      </c>
    </row>
    <row r="95" spans="1:13" x14ac:dyDescent="0.25">
      <c r="A95" s="5" t="s">
        <v>27</v>
      </c>
      <c r="B95" s="2" t="str">
        <f>CONCATENATE("People with this variant have one copy of the ",B31," variant. This substitution of a single nucleotide is known as a missense mutation.")</f>
        <v>People with this variant have one copy of the [A78573551G](https://www.ncbi.nlm.nih.gov/projects/SNP/snp_ref.cgi?rs=6495306) variant. This substitution of a single nucleotide is known as a missense mutation.</v>
      </c>
      <c r="C95" s="3" t="str">
        <f>CONCATENATE("            case={  variantCall ",CHAR(40),CHAR(34),L96,CHAR(34),CHAR(41))</f>
        <v xml:space="preserve">            case={  variantCall ("NC_000015.9:g.[78865893G&gt;A];[78865893=]")</v>
      </c>
      <c r="J95" s="3" t="str">
        <f t="shared" si="4"/>
        <v>Wildtype</v>
      </c>
      <c r="K95" s="15" t="str">
        <f t="shared" si="4"/>
        <v>[78882925=]</v>
      </c>
      <c r="L95" s="22" t="str">
        <f t="shared" si="4"/>
        <v>[78865893=]</v>
      </c>
      <c r="M95" s="3" t="str">
        <f t="shared" si="4"/>
        <v>[78873993=]</v>
      </c>
    </row>
    <row r="96" spans="1:13" x14ac:dyDescent="0.25">
      <c r="A96" s="1" t="s">
        <v>28</v>
      </c>
      <c r="B96" s="2" t="s">
        <v>195</v>
      </c>
      <c r="C96" s="3" t="s">
        <v>71</v>
      </c>
      <c r="J96" s="3" t="str">
        <f t="shared" si="4"/>
        <v>Het</v>
      </c>
      <c r="K96" s="15" t="str">
        <f t="shared" si="4"/>
        <v>NC_000015.9:g.[78882925G&gt;A];[78882925=]</v>
      </c>
      <c r="L96" s="15" t="str">
        <f t="shared" si="4"/>
        <v>NC_000015.9:g.[78865893G&gt;A];[78865893=]</v>
      </c>
      <c r="M96" s="3" t="str">
        <f t="shared" si="4"/>
        <v>NC_000015.9:g.[78873993A&gt;T];[78873993=]</v>
      </c>
    </row>
    <row r="97" spans="1:13" x14ac:dyDescent="0.25">
      <c r="A97" s="3" t="s">
        <v>73</v>
      </c>
      <c r="B97" s="29">
        <f>L55</f>
        <v>39.200000000000003</v>
      </c>
      <c r="C97" s="3" t="str">
        <f>CONCATENATE("                    ","variantCall ",CHAR(40),CHAR(34),K98,CHAR(34),CHAR(41))</f>
        <v xml:space="preserve">                    variantCall ("NC_000015.9:g.[78882925=];[78882925=]")</v>
      </c>
      <c r="J97" s="3" t="str">
        <f t="shared" si="4"/>
        <v>Homo</v>
      </c>
      <c r="K97" s="15" t="str">
        <f t="shared" si="4"/>
        <v>NC_000015.9:g.[78882925G&gt;A];[78882925G&gt;A]</v>
      </c>
      <c r="L97" s="15" t="str">
        <f t="shared" si="4"/>
        <v>NC_000015.9:g.[78865893G&gt;A];[78865893G&gt;A]</v>
      </c>
      <c r="M97" s="3" t="str">
        <f t="shared" si="4"/>
        <v>NC_000015.9:g.[78873993A&gt;T];[78873993A&gt;T]</v>
      </c>
    </row>
    <row r="98" spans="1:13" x14ac:dyDescent="0.25">
      <c r="B98" s="29"/>
      <c r="C98" s="3" t="s">
        <v>71</v>
      </c>
      <c r="J98" s="3" t="str">
        <f>J76</f>
        <v>Wildtype</v>
      </c>
      <c r="K98" s="2" t="str">
        <f>K76</f>
        <v>NC_000015.9:g.[78882925=];[78882925=]</v>
      </c>
      <c r="L98" s="2" t="str">
        <f>L76</f>
        <v>NC_000015.9:g.[78865893=];[78865893=]</v>
      </c>
      <c r="M98" s="3" t="str">
        <f>M76</f>
        <v>NC_000015.9:g.[78873993=];[78873993=]</v>
      </c>
    </row>
    <row r="99" spans="1:13" x14ac:dyDescent="0.25">
      <c r="B99" s="29"/>
      <c r="C99" s="3" t="str">
        <f>CONCATENATE("                    ","variantCall ",CHAR(40),CHAR(34),M98,CHAR(34),CHAR(41))</f>
        <v xml:space="preserve">                    variantCall ("NC_000015.9:g.[78873993=];[78873993=]")</v>
      </c>
      <c r="J99" s="3" t="str">
        <f>J77</f>
        <v>Het%</v>
      </c>
      <c r="K99" s="15">
        <f>K77</f>
        <v>39.200000000000003</v>
      </c>
      <c r="L99" s="15">
        <f>L77</f>
        <v>39.200000000000003</v>
      </c>
      <c r="M99" s="3">
        <f>M77</f>
        <v>27.3</v>
      </c>
    </row>
    <row r="100" spans="1:13" x14ac:dyDescent="0.25">
      <c r="C100" s="3" t="str">
        <f>CONCATENATE("                  } &gt; ")</f>
        <v xml:space="preserve">                  } &gt; </v>
      </c>
      <c r="J100" s="3" t="str">
        <f>J78</f>
        <v>Homo%</v>
      </c>
      <c r="K100" s="2">
        <f>K78</f>
        <v>5.2</v>
      </c>
      <c r="L100" s="2">
        <f>L78</f>
        <v>17.899999999999999</v>
      </c>
      <c r="M100" s="3">
        <f>M78</f>
        <v>9.5</v>
      </c>
    </row>
    <row r="101" spans="1:13" x14ac:dyDescent="0.25">
      <c r="J101" s="3" t="str">
        <f>J79</f>
        <v>Wildtype%</v>
      </c>
      <c r="K101" s="2">
        <f>K79</f>
        <v>55.6</v>
      </c>
      <c r="L101" s="2">
        <f>L79</f>
        <v>42.9</v>
      </c>
      <c r="M101" s="3">
        <f>M79</f>
        <v>63.2</v>
      </c>
    </row>
    <row r="102" spans="1:13" x14ac:dyDescent="0.25">
      <c r="A102" s="14"/>
      <c r="C102" s="3" t="s">
        <v>26</v>
      </c>
    </row>
    <row r="103" spans="1:13" x14ac:dyDescent="0.25">
      <c r="A103" s="26"/>
    </row>
    <row r="104" spans="1:13" x14ac:dyDescent="0.25">
      <c r="A104" s="14"/>
      <c r="C104" s="3" t="str">
        <f>CONCATENATE("    ",B95)</f>
        <v xml:space="preserve">    People with this variant have one copy of the [A78573551G](https://www.ncbi.nlm.nih.gov/projects/SNP/snp_ref.cgi?rs=6495306) variant. This substitution of a single nucleotide is known as a missense mutation.</v>
      </c>
    </row>
    <row r="105" spans="1:13" x14ac:dyDescent="0.25">
      <c r="A105" s="14"/>
    </row>
    <row r="106" spans="1:13" x14ac:dyDescent="0.25">
      <c r="A106" s="26"/>
      <c r="C106" s="3" t="s">
        <v>29</v>
      </c>
    </row>
    <row r="107" spans="1:13" x14ac:dyDescent="0.25">
      <c r="A107" s="14"/>
    </row>
    <row r="108" spans="1:13" x14ac:dyDescent="0.25">
      <c r="A108" s="14"/>
      <c r="C108" s="3" t="str">
        <f>CONCATENATE(B96)</f>
        <v xml:space="preserve">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v>
      </c>
    </row>
    <row r="109" spans="1:13" x14ac:dyDescent="0.25">
      <c r="A109" s="14"/>
    </row>
    <row r="110" spans="1:13" x14ac:dyDescent="0.25">
      <c r="A110" s="14"/>
      <c r="C110" s="3" t="s">
        <v>30</v>
      </c>
    </row>
    <row r="111" spans="1:13" x14ac:dyDescent="0.25">
      <c r="A111" s="26"/>
    </row>
    <row r="112" spans="1:13" x14ac:dyDescent="0.25">
      <c r="A112" s="26"/>
      <c r="C112" s="3" t="str">
        <f>CONCATENATE( "    &lt;piechart percentage=",B97," /&gt;")</f>
        <v xml:space="preserve">    &lt;piechart percentage=39.2 /&gt;</v>
      </c>
    </row>
    <row r="113" spans="1:13" x14ac:dyDescent="0.25">
      <c r="A113" s="26"/>
      <c r="C113" s="3" t="str">
        <f>"  &lt;/Analysis&gt;"</f>
        <v xml:space="preserve">  &lt;/Analysis&gt;</v>
      </c>
      <c r="K113" s="3" t="str">
        <f t="shared" ref="K113:M113" si="5">K91</f>
        <v>rs16969968</v>
      </c>
      <c r="L113" s="3" t="str">
        <f t="shared" si="5"/>
        <v>rs3913434</v>
      </c>
      <c r="M113" s="3" t="str">
        <f t="shared" si="5"/>
        <v>rs270838</v>
      </c>
    </row>
    <row r="114" spans="1:13" s="21" customFormat="1" x14ac:dyDescent="0.25">
      <c r="A114" s="28" t="s">
        <v>70</v>
      </c>
      <c r="B114" s="20" t="str">
        <f>CONCATENATE(B28," (G;G)")</f>
        <v>A78573551G (G;G)</v>
      </c>
      <c r="C114" s="21" t="str">
        <f>CONCATENATE("&lt;# ",B114," #&gt;")</f>
        <v>&lt;# A78573551G (G;G) #&gt;</v>
      </c>
      <c r="K114" s="21" t="str">
        <f t="shared" ref="K114:M114" si="6">K92</f>
        <v>G1192A</v>
      </c>
      <c r="L114" s="21" t="str">
        <f t="shared" si="6"/>
        <v>A78573551G</v>
      </c>
      <c r="M114" s="21" t="str">
        <f t="shared" si="6"/>
        <v>A78581651T</v>
      </c>
    </row>
    <row r="115" spans="1:13" s="10" customFormat="1" x14ac:dyDescent="0.25">
      <c r="A115" s="3" t="s">
        <v>21</v>
      </c>
      <c r="B115" s="29" t="str">
        <f>L118</f>
        <v>NC_000015.9:g.[78865893G&gt;A];[78865893=]</v>
      </c>
      <c r="J115" s="3"/>
      <c r="K115" s="22" t="str">
        <f t="shared" ref="K115:M115" si="7">K93</f>
        <v>NC_000015.9:g.</v>
      </c>
      <c r="L115" s="22" t="str">
        <f t="shared" si="7"/>
        <v>NC_000015.9:g.</v>
      </c>
      <c r="M115" s="10" t="str">
        <f t="shared" si="7"/>
        <v>NC_000015.9:g.</v>
      </c>
    </row>
    <row r="116" spans="1:13" x14ac:dyDescent="0.25">
      <c r="A116" s="3" t="s">
        <v>72</v>
      </c>
      <c r="B116" s="29"/>
      <c r="C116" s="3" t="str">
        <f>CONCATENATE("  &lt;Analysis name=",CHAR(34),B114,CHAR(34))</f>
        <v xml:space="preserve">  &lt;Analysis name="A78573551G (G;G)"</v>
      </c>
      <c r="J116" s="3" t="str">
        <f t="shared" ref="J116:M116" si="8">J94</f>
        <v>Variant</v>
      </c>
      <c r="K116" s="15" t="str">
        <f t="shared" si="8"/>
        <v>[78882925G&gt;A]</v>
      </c>
      <c r="L116" s="22" t="str">
        <f t="shared" si="8"/>
        <v>[78865893G&gt;A]</v>
      </c>
      <c r="M116" s="3" t="str">
        <f t="shared" si="8"/>
        <v>[78873993A&gt;T]</v>
      </c>
    </row>
    <row r="117" spans="1:13" x14ac:dyDescent="0.25">
      <c r="A117" s="5" t="s">
        <v>27</v>
      </c>
      <c r="B117" s="2" t="str">
        <f>CONCATENATE("People with this variant have two copies of the ",B31," variant. This substitution of a single nucleotide is known as a missense mutation.")</f>
        <v>People with this variant have two copies of the [A78573551G](https://www.ncbi.nlm.nih.gov/projects/SNP/snp_ref.cgi?rs=6495306) variant. This substitution of a single nucleotide is known as a missense mutation.</v>
      </c>
      <c r="C117" s="3" t="str">
        <f>CONCATENATE("            case={  variantCall ",CHAR(40),CHAR(34),L118,CHAR(34),CHAR(41))</f>
        <v xml:space="preserve">            case={  variantCall ("NC_000015.9:g.[78865893G&gt;A];[78865893=]")</v>
      </c>
      <c r="J117" s="3" t="str">
        <f t="shared" ref="J117:M117" si="9">J95</f>
        <v>Wildtype</v>
      </c>
      <c r="K117" s="15" t="str">
        <f t="shared" si="9"/>
        <v>[78882925=]</v>
      </c>
      <c r="L117" s="22" t="str">
        <f t="shared" si="9"/>
        <v>[78865893=]</v>
      </c>
      <c r="M117" s="3" t="str">
        <f t="shared" si="9"/>
        <v>[78873993=]</v>
      </c>
    </row>
    <row r="118" spans="1:13" x14ac:dyDescent="0.25">
      <c r="A118" s="1" t="s">
        <v>28</v>
      </c>
      <c r="B118" s="2" t="s">
        <v>195</v>
      </c>
      <c r="C118" s="3" t="s">
        <v>71</v>
      </c>
      <c r="J118" s="3" t="str">
        <f t="shared" ref="J118:M118" si="10">J96</f>
        <v>Het</v>
      </c>
      <c r="K118" s="15" t="str">
        <f t="shared" si="10"/>
        <v>NC_000015.9:g.[78882925G&gt;A];[78882925=]</v>
      </c>
      <c r="L118" s="15" t="str">
        <f t="shared" si="10"/>
        <v>NC_000015.9:g.[78865893G&gt;A];[78865893=]</v>
      </c>
      <c r="M118" s="3" t="str">
        <f t="shared" si="10"/>
        <v>NC_000015.9:g.[78873993A&gt;T];[78873993=]</v>
      </c>
    </row>
    <row r="119" spans="1:13" x14ac:dyDescent="0.25">
      <c r="A119" s="3" t="s">
        <v>73</v>
      </c>
      <c r="B119" s="29">
        <f>L78</f>
        <v>17.899999999999999</v>
      </c>
      <c r="C119" s="3" t="str">
        <f>CONCATENATE("                    ","variantCall ",CHAR(40),CHAR(34),K120,CHAR(34),CHAR(41))</f>
        <v xml:space="preserve">                    variantCall ("NC_000015.9:g.[78882925=];[78882925=]")</v>
      </c>
      <c r="J119" s="3" t="str">
        <f t="shared" ref="J119:M119" si="11">J97</f>
        <v>Homo</v>
      </c>
      <c r="K119" s="15" t="str">
        <f t="shared" si="11"/>
        <v>NC_000015.9:g.[78882925G&gt;A];[78882925G&gt;A]</v>
      </c>
      <c r="L119" s="15" t="str">
        <f t="shared" si="11"/>
        <v>NC_000015.9:g.[78865893G&gt;A];[78865893G&gt;A]</v>
      </c>
      <c r="M119" s="3" t="str">
        <f t="shared" si="11"/>
        <v>NC_000015.9:g.[78873993A&gt;T];[78873993A&gt;T]</v>
      </c>
    </row>
    <row r="120" spans="1:13" x14ac:dyDescent="0.25">
      <c r="B120" s="29"/>
      <c r="C120" s="3" t="s">
        <v>71</v>
      </c>
      <c r="J120" s="3" t="str">
        <f>J98</f>
        <v>Wildtype</v>
      </c>
      <c r="K120" s="2" t="str">
        <f>K98</f>
        <v>NC_000015.9:g.[78882925=];[78882925=]</v>
      </c>
      <c r="L120" s="2" t="str">
        <f>L98</f>
        <v>NC_000015.9:g.[78865893=];[78865893=]</v>
      </c>
      <c r="M120" s="3" t="str">
        <f>M98</f>
        <v>NC_000015.9:g.[78873993=];[78873993=]</v>
      </c>
    </row>
    <row r="121" spans="1:13" x14ac:dyDescent="0.25">
      <c r="B121" s="29"/>
      <c r="C121" s="3" t="str">
        <f>CONCATENATE("                    ","variantCall ",CHAR(40),CHAR(34),M120,CHAR(34),CHAR(41))</f>
        <v xml:space="preserve">                    variantCall ("NC_000015.9:g.[78873993=];[78873993=]")</v>
      </c>
      <c r="J121" s="3" t="str">
        <f>J99</f>
        <v>Het%</v>
      </c>
      <c r="K121" s="15">
        <f>K99</f>
        <v>39.200000000000003</v>
      </c>
      <c r="L121" s="15">
        <f>L99</f>
        <v>39.200000000000003</v>
      </c>
      <c r="M121" s="3">
        <f>M99</f>
        <v>27.3</v>
      </c>
    </row>
    <row r="122" spans="1:13" x14ac:dyDescent="0.25">
      <c r="C122" s="3" t="str">
        <f>CONCATENATE("                  } &gt; ")</f>
        <v xml:space="preserve">                  } &gt; </v>
      </c>
      <c r="J122" s="3" t="str">
        <f>J100</f>
        <v>Homo%</v>
      </c>
      <c r="K122" s="2">
        <f>K100</f>
        <v>5.2</v>
      </c>
      <c r="L122" s="2">
        <f>L100</f>
        <v>17.899999999999999</v>
      </c>
      <c r="M122" s="3">
        <f>M100</f>
        <v>9.5</v>
      </c>
    </row>
    <row r="123" spans="1:13" x14ac:dyDescent="0.25">
      <c r="J123" s="3" t="str">
        <f>J101</f>
        <v>Wildtype%</v>
      </c>
      <c r="K123" s="2">
        <f>K101</f>
        <v>55.6</v>
      </c>
      <c r="L123" s="2">
        <f>L101</f>
        <v>42.9</v>
      </c>
      <c r="M123" s="3">
        <f>M101</f>
        <v>63.2</v>
      </c>
    </row>
    <row r="124" spans="1:13" x14ac:dyDescent="0.25">
      <c r="A124" s="14"/>
      <c r="C124" s="3" t="s">
        <v>26</v>
      </c>
    </row>
    <row r="125" spans="1:13" x14ac:dyDescent="0.25">
      <c r="A125" s="26"/>
    </row>
    <row r="126" spans="1:13" x14ac:dyDescent="0.25">
      <c r="A126" s="14"/>
      <c r="C126" s="3" t="str">
        <f>CONCATENATE("    ",B117)</f>
        <v xml:space="preserve">    People with this variant have two copies of the [A78573551G](https://www.ncbi.nlm.nih.gov/projects/SNP/snp_ref.cgi?rs=6495306) variant. This substitution of a single nucleotide is known as a missense mutation.</v>
      </c>
    </row>
    <row r="127" spans="1:13" x14ac:dyDescent="0.25">
      <c r="A127" s="14"/>
    </row>
    <row r="128" spans="1:13" x14ac:dyDescent="0.25">
      <c r="A128" s="26"/>
      <c r="C128" s="3" t="s">
        <v>29</v>
      </c>
    </row>
    <row r="129" spans="1:13" x14ac:dyDescent="0.25">
      <c r="A129" s="14"/>
    </row>
    <row r="130" spans="1:13" x14ac:dyDescent="0.25">
      <c r="A130" s="14"/>
      <c r="C130" s="3" t="str">
        <f>CONCATENATE(B118)</f>
        <v xml:space="preserve">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v>
      </c>
    </row>
    <row r="131" spans="1:13" x14ac:dyDescent="0.25">
      <c r="A131" s="14"/>
    </row>
    <row r="132" spans="1:13" x14ac:dyDescent="0.25">
      <c r="A132" s="14"/>
      <c r="C132" s="3" t="s">
        <v>30</v>
      </c>
    </row>
    <row r="133" spans="1:13" x14ac:dyDescent="0.25">
      <c r="A133" s="26"/>
    </row>
    <row r="134" spans="1:13" x14ac:dyDescent="0.25">
      <c r="A134" s="26"/>
      <c r="C134" s="3" t="str">
        <f>CONCATENATE( "    &lt;piechart percentage=",B119," /&gt;")</f>
        <v xml:space="preserve">    &lt;piechart percentage=17.9 /&gt;</v>
      </c>
    </row>
    <row r="135" spans="1:13" x14ac:dyDescent="0.25">
      <c r="A135" s="26"/>
      <c r="C135" s="3" t="str">
        <f>"  &lt;/Analysis&gt;"</f>
        <v xml:space="preserve">  &lt;/Analysis&gt;</v>
      </c>
      <c r="K135" s="3" t="str">
        <f>K91</f>
        <v>rs16969968</v>
      </c>
      <c r="L135" s="3" t="str">
        <f>L91</f>
        <v>rs3913434</v>
      </c>
      <c r="M135" s="3" t="str">
        <f>M91</f>
        <v>rs270838</v>
      </c>
    </row>
    <row r="136" spans="1:13" s="21" customFormat="1" x14ac:dyDescent="0.25">
      <c r="A136" s="28" t="s">
        <v>70</v>
      </c>
      <c r="B136" s="20" t="str">
        <f>CONCATENATE(B37," (A;T)")</f>
        <v>A78581651T (A;T)</v>
      </c>
      <c r="C136" s="21" t="str">
        <f>CONCATENATE("&lt;# ",B136," #&gt;")</f>
        <v>&lt;# A78581651T (A;T) #&gt;</v>
      </c>
      <c r="K136" s="21" t="str">
        <f>K92</f>
        <v>G1192A</v>
      </c>
      <c r="L136" s="21" t="str">
        <f>L92</f>
        <v>A78573551G</v>
      </c>
      <c r="M136" s="21" t="str">
        <f>M92</f>
        <v>A78581651T</v>
      </c>
    </row>
    <row r="137" spans="1:13" x14ac:dyDescent="0.25">
      <c r="A137" s="3" t="s">
        <v>21</v>
      </c>
      <c r="B137" s="29" t="str">
        <f>M140</f>
        <v>NC_000015.9:g.[78873993A&gt;T];[78873993=]</v>
      </c>
      <c r="C137" s="10"/>
      <c r="K137" s="3" t="str">
        <f>K93</f>
        <v>NC_000015.9:g.</v>
      </c>
      <c r="L137" s="3" t="str">
        <f>L93</f>
        <v>NC_000015.9:g.</v>
      </c>
      <c r="M137" s="3" t="str">
        <f>M93</f>
        <v>NC_000015.9:g.</v>
      </c>
    </row>
    <row r="138" spans="1:13" x14ac:dyDescent="0.25">
      <c r="A138" s="3" t="s">
        <v>72</v>
      </c>
      <c r="B138" s="29" t="str">
        <f>L53</f>
        <v>NC_000015.9:g.[78865893G&gt;A];[78865893G&gt;A]</v>
      </c>
      <c r="C138" s="3" t="str">
        <f>CONCATENATE("  &lt;Analysis name=",CHAR(34),B136,CHAR(34))</f>
        <v xml:space="preserve">  &lt;Analysis name="A78581651T (A;T)"</v>
      </c>
      <c r="J138" s="3" t="str">
        <f>J94</f>
        <v>Variant</v>
      </c>
      <c r="K138" s="3" t="str">
        <f>K94</f>
        <v>[78882925G&gt;A]</v>
      </c>
      <c r="L138" s="3" t="str">
        <f>L94</f>
        <v>[78865893G&gt;A]</v>
      </c>
      <c r="M138" s="3" t="str">
        <f>M94</f>
        <v>[78873993A&gt;T]</v>
      </c>
    </row>
    <row r="139" spans="1:13" x14ac:dyDescent="0.25">
      <c r="A139" s="5" t="s">
        <v>75</v>
      </c>
      <c r="B139" s="2" t="str">
        <f>CONCATENATE("People with this variant have one copy of the ",B40," variant. This substitution of a single nucleotide is known as a missense mutation.")</f>
        <v>People with this variant have one copy of the [A78581651T](https://www.ncbi.nlm.nih.gov/projects/SNP/snp_ref.cgi?rs=7180002) variant. This substitution of a single nucleotide is known as a missense mutation.</v>
      </c>
      <c r="C139" s="3" t="str">
        <f>CONCATENATE("            case={  variantCall ",CHAR(40),CHAR(34),B137,CHAR(34),CHAR(41))</f>
        <v xml:space="preserve">            case={  variantCall ("NC_000015.9:g.[78873993A&gt;T];[78873993=]")</v>
      </c>
      <c r="J139" s="3" t="str">
        <f>J95</f>
        <v>Wildtype</v>
      </c>
      <c r="K139" s="3" t="str">
        <f>K95</f>
        <v>[78882925=]</v>
      </c>
      <c r="L139" s="3" t="str">
        <f>L95</f>
        <v>[78865893=]</v>
      </c>
      <c r="M139" s="3" t="str">
        <f>M95</f>
        <v>[78873993=]</v>
      </c>
    </row>
    <row r="140" spans="1:13" x14ac:dyDescent="0.25">
      <c r="A140" s="1" t="s">
        <v>28</v>
      </c>
      <c r="B140" s="2" t="s">
        <v>198</v>
      </c>
      <c r="C140" s="3" t="s">
        <v>71</v>
      </c>
      <c r="J140" s="3" t="str">
        <f>J96</f>
        <v>Het</v>
      </c>
      <c r="K140" s="3" t="str">
        <f>K96</f>
        <v>NC_000015.9:g.[78882925G&gt;A];[78882925=]</v>
      </c>
      <c r="L140" s="3" t="str">
        <f>L96</f>
        <v>NC_000015.9:g.[78865893G&gt;A];[78865893=]</v>
      </c>
      <c r="M140" s="3" t="str">
        <f>M96</f>
        <v>NC_000015.9:g.[78873993A&gt;T];[78873993=]</v>
      </c>
    </row>
    <row r="141" spans="1:13" x14ac:dyDescent="0.25">
      <c r="A141" s="3" t="s">
        <v>73</v>
      </c>
      <c r="B141" s="29">
        <f>M143</f>
        <v>27.3</v>
      </c>
      <c r="C141" s="3" t="str">
        <f>CONCATENATE("                    ","variantCall ",CHAR(40),CHAR(34),K142,CHAR(34),CHAR(41))</f>
        <v xml:space="preserve">                    variantCall ("NC_000015.9:g.[78882925=];[78882925=]")</v>
      </c>
      <c r="J141" s="3" t="str">
        <f>J97</f>
        <v>Homo</v>
      </c>
      <c r="K141" s="3" t="str">
        <f>K97</f>
        <v>NC_000015.9:g.[78882925G&gt;A];[78882925G&gt;A]</v>
      </c>
      <c r="L141" s="3" t="str">
        <f>L97</f>
        <v>NC_000015.9:g.[78865893G&gt;A];[78865893G&gt;A]</v>
      </c>
      <c r="M141" s="3" t="str">
        <f>M97</f>
        <v>NC_000015.9:g.[78873993A&gt;T];[78873993A&gt;T]</v>
      </c>
    </row>
    <row r="142" spans="1:13" x14ac:dyDescent="0.25">
      <c r="C142" s="3" t="s">
        <v>71</v>
      </c>
      <c r="J142" s="3" t="str">
        <f>J98</f>
        <v>Wildtype</v>
      </c>
      <c r="K142" s="3" t="str">
        <f>K98</f>
        <v>NC_000015.9:g.[78882925=];[78882925=]</v>
      </c>
      <c r="L142" s="3" t="str">
        <f>L98</f>
        <v>NC_000015.9:g.[78865893=];[78865893=]</v>
      </c>
      <c r="M142" s="3" t="str">
        <f>M98</f>
        <v>NC_000015.9:g.[78873993=];[78873993=]</v>
      </c>
    </row>
    <row r="143" spans="1:13" x14ac:dyDescent="0.25">
      <c r="C143" s="3" t="str">
        <f>CONCATENATE("                    ","variantCall ",CHAR(40),CHAR(34),K142,CHAR(34),CHAR(41))</f>
        <v xml:space="preserve">                    variantCall ("NC_000015.9:g.[78882925=];[78882925=]")</v>
      </c>
      <c r="J143" s="3" t="str">
        <f>J99</f>
        <v>Het%</v>
      </c>
      <c r="K143" s="3">
        <f>K99</f>
        <v>39.200000000000003</v>
      </c>
      <c r="L143" s="3">
        <f>L99</f>
        <v>39.200000000000003</v>
      </c>
      <c r="M143" s="3">
        <f>M99</f>
        <v>27.3</v>
      </c>
    </row>
    <row r="144" spans="1:13" x14ac:dyDescent="0.25">
      <c r="A144" s="14"/>
      <c r="C144" s="3" t="str">
        <f>CONCATENATE("                  } &gt; ")</f>
        <v xml:space="preserve">                  } &gt; </v>
      </c>
      <c r="J144" s="3" t="str">
        <f>J100</f>
        <v>Homo%</v>
      </c>
      <c r="K144" s="3">
        <f>K100</f>
        <v>5.2</v>
      </c>
      <c r="L144" s="3">
        <f>L100</f>
        <v>17.899999999999999</v>
      </c>
      <c r="M144" s="3">
        <f>M100</f>
        <v>9.5</v>
      </c>
    </row>
    <row r="145" spans="1:13" x14ac:dyDescent="0.25">
      <c r="A145" s="26"/>
      <c r="J145" s="3" t="str">
        <f>J101</f>
        <v>Wildtype%</v>
      </c>
      <c r="K145" s="3">
        <f>K101</f>
        <v>55.6</v>
      </c>
      <c r="L145" s="3">
        <f>L101</f>
        <v>42.9</v>
      </c>
      <c r="M145" s="3">
        <f>M101</f>
        <v>63.2</v>
      </c>
    </row>
    <row r="146" spans="1:13" x14ac:dyDescent="0.25">
      <c r="A146" s="14"/>
      <c r="C146" s="3" t="s">
        <v>26</v>
      </c>
    </row>
    <row r="147" spans="1:13" x14ac:dyDescent="0.25">
      <c r="A147" s="14"/>
    </row>
    <row r="148" spans="1:13" x14ac:dyDescent="0.25">
      <c r="A148" s="26"/>
      <c r="C148" s="3" t="str">
        <f>CONCATENATE("    ",B139)</f>
        <v xml:space="preserve">    People with this variant have one copy of the [A78581651T](https://www.ncbi.nlm.nih.gov/projects/SNP/snp_ref.cgi?rs=7180002) variant. This substitution of a single nucleotide is known as a missense mutation.</v>
      </c>
    </row>
    <row r="149" spans="1:13" x14ac:dyDescent="0.25">
      <c r="A149" s="14"/>
    </row>
    <row r="150" spans="1:13" x14ac:dyDescent="0.25">
      <c r="A150" s="14"/>
      <c r="C150" s="3" t="s">
        <v>29</v>
      </c>
    </row>
    <row r="151" spans="1:13" x14ac:dyDescent="0.25">
      <c r="A151" s="14"/>
    </row>
    <row r="152" spans="1:13" x14ac:dyDescent="0.25">
      <c r="A152" s="14"/>
      <c r="C152" s="3" t="str">
        <f>CONCATENATE(B140)</f>
        <v xml:space="preserve">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avoid smoking, and proactively check for lung cancer if they smoke.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v>
      </c>
    </row>
    <row r="153" spans="1:13" x14ac:dyDescent="0.25">
      <c r="A153" s="26"/>
    </row>
    <row r="154" spans="1:13" x14ac:dyDescent="0.25">
      <c r="A154" s="26"/>
      <c r="C154" s="3" t="s">
        <v>30</v>
      </c>
    </row>
    <row r="155" spans="1:13" x14ac:dyDescent="0.25">
      <c r="A155" s="26"/>
    </row>
    <row r="156" spans="1:13" x14ac:dyDescent="0.25">
      <c r="A156" s="26"/>
      <c r="C156" s="3" t="str">
        <f>CONCATENATE( "    &lt;piechart percentage=",B141," /&gt;")</f>
        <v xml:space="preserve">    &lt;piechart percentage=27.3 /&gt;</v>
      </c>
    </row>
    <row r="157" spans="1:13" x14ac:dyDescent="0.25">
      <c r="A157" s="26"/>
      <c r="C157" s="3" t="str">
        <f>"  &lt;/Analysis&gt;"</f>
        <v xml:space="preserve">  &lt;/Analysis&gt;</v>
      </c>
      <c r="K157" s="3" t="str">
        <f>K113</f>
        <v>rs16969968</v>
      </c>
      <c r="L157" s="3" t="str">
        <f>L113</f>
        <v>rs3913434</v>
      </c>
      <c r="M157" s="3" t="str">
        <f>M113</f>
        <v>rs270838</v>
      </c>
    </row>
    <row r="158" spans="1:13" s="21" customFormat="1" x14ac:dyDescent="0.25">
      <c r="A158" s="28" t="s">
        <v>70</v>
      </c>
      <c r="B158" s="20" t="str">
        <f>CONCATENATE(B37," (T;T)")</f>
        <v>A78581651T (T;T)</v>
      </c>
      <c r="C158" s="21" t="str">
        <f>CONCATENATE("&lt;# ",B158," #&gt;")</f>
        <v>&lt;# A78581651T (T;T) #&gt;</v>
      </c>
      <c r="K158" s="21" t="str">
        <f>K114</f>
        <v>G1192A</v>
      </c>
      <c r="L158" s="21" t="str">
        <f>L114</f>
        <v>A78573551G</v>
      </c>
      <c r="M158" s="21" t="str">
        <f>M114</f>
        <v>A78581651T</v>
      </c>
    </row>
    <row r="159" spans="1:13" x14ac:dyDescent="0.25">
      <c r="A159" s="3" t="s">
        <v>21</v>
      </c>
      <c r="B159" s="29" t="str">
        <f>M162</f>
        <v>NC_000015.9:g.[78873993A&gt;T];[78873993=]</v>
      </c>
      <c r="C159" s="10"/>
      <c r="K159" s="3" t="str">
        <f>K115</f>
        <v>NC_000015.9:g.</v>
      </c>
      <c r="L159" s="3" t="str">
        <f>L115</f>
        <v>NC_000015.9:g.</v>
      </c>
      <c r="M159" s="3" t="str">
        <f>M115</f>
        <v>NC_000015.9:g.</v>
      </c>
    </row>
    <row r="160" spans="1:13" x14ac:dyDescent="0.25">
      <c r="A160" s="3" t="s">
        <v>72</v>
      </c>
      <c r="B160" s="29" t="str">
        <f>L75</f>
        <v>NC_000015.9:g.[78865893G&gt;A];[78865893G&gt;A]</v>
      </c>
      <c r="C160" s="3" t="str">
        <f>CONCATENATE("  &lt;Analysis name=",CHAR(34),B158,CHAR(34))</f>
        <v xml:space="preserve">  &lt;Analysis name="A78581651T (T;T)"</v>
      </c>
      <c r="J160" s="3" t="str">
        <f>J116</f>
        <v>Variant</v>
      </c>
      <c r="K160" s="3" t="str">
        <f>K116</f>
        <v>[78882925G&gt;A]</v>
      </c>
      <c r="L160" s="3" t="str">
        <f>L116</f>
        <v>[78865893G&gt;A]</v>
      </c>
      <c r="M160" s="3" t="str">
        <f>M116</f>
        <v>[78873993A&gt;T]</v>
      </c>
    </row>
    <row r="161" spans="1:13" x14ac:dyDescent="0.25">
      <c r="A161" s="5" t="s">
        <v>75</v>
      </c>
      <c r="B161" s="2" t="str">
        <f>CONCATENATE("People with this variant have two copies of the ",B40," variant. This substitution of a single nucleotide is known as a missense mutation.")</f>
        <v>People with this variant have two copies of the [A78581651T](https://www.ncbi.nlm.nih.gov/projects/SNP/snp_ref.cgi?rs=7180002) variant. This substitution of a single nucleotide is known as a missense mutation.</v>
      </c>
      <c r="C161" s="3" t="str">
        <f>CONCATENATE("            case={  variantCall ",CHAR(40),CHAR(34),B159,CHAR(34),CHAR(41))</f>
        <v xml:space="preserve">            case={  variantCall ("NC_000015.9:g.[78873993A&gt;T];[78873993=]")</v>
      </c>
      <c r="J161" s="3" t="str">
        <f>J117</f>
        <v>Wildtype</v>
      </c>
      <c r="K161" s="3" t="str">
        <f>K117</f>
        <v>[78882925=]</v>
      </c>
      <c r="L161" s="3" t="str">
        <f>L117</f>
        <v>[78865893=]</v>
      </c>
      <c r="M161" s="3" t="str">
        <f>M117</f>
        <v>[78873993=]</v>
      </c>
    </row>
    <row r="162" spans="1:13" x14ac:dyDescent="0.25">
      <c r="A162" s="1" t="s">
        <v>28</v>
      </c>
      <c r="B162" s="2" t="s">
        <v>198</v>
      </c>
      <c r="C162" s="3" t="s">
        <v>71</v>
      </c>
      <c r="J162" s="3" t="str">
        <f>J118</f>
        <v>Het</v>
      </c>
      <c r="K162" s="3" t="str">
        <f>K118</f>
        <v>NC_000015.9:g.[78882925G&gt;A];[78882925=]</v>
      </c>
      <c r="L162" s="3" t="str">
        <f>L118</f>
        <v>NC_000015.9:g.[78865893G&gt;A];[78865893=]</v>
      </c>
      <c r="M162" s="3" t="str">
        <f>M118</f>
        <v>NC_000015.9:g.[78873993A&gt;T];[78873993=]</v>
      </c>
    </row>
    <row r="163" spans="1:13" x14ac:dyDescent="0.25">
      <c r="A163" s="3" t="s">
        <v>73</v>
      </c>
      <c r="B163" s="29">
        <f>M166</f>
        <v>9.5</v>
      </c>
      <c r="C163" s="3" t="str">
        <f>CONCATENATE("                    ","variantCall ",CHAR(40),CHAR(34),K164,CHAR(34),CHAR(41))</f>
        <v xml:space="preserve">                    variantCall ("NC_000015.9:g.[78882925=];[78882925=]")</v>
      </c>
      <c r="J163" s="3" t="str">
        <f>J119</f>
        <v>Homo</v>
      </c>
      <c r="K163" s="3" t="str">
        <f>K119</f>
        <v>NC_000015.9:g.[78882925G&gt;A];[78882925G&gt;A]</v>
      </c>
      <c r="L163" s="3" t="str">
        <f>L119</f>
        <v>NC_000015.9:g.[78865893G&gt;A];[78865893G&gt;A]</v>
      </c>
      <c r="M163" s="3" t="str">
        <f>M119</f>
        <v>NC_000015.9:g.[78873993A&gt;T];[78873993A&gt;T]</v>
      </c>
    </row>
    <row r="164" spans="1:13" x14ac:dyDescent="0.25">
      <c r="C164" s="3" t="s">
        <v>71</v>
      </c>
      <c r="J164" s="3" t="str">
        <f>J120</f>
        <v>Wildtype</v>
      </c>
      <c r="K164" s="3" t="str">
        <f>K120</f>
        <v>NC_000015.9:g.[78882925=];[78882925=]</v>
      </c>
      <c r="L164" s="3" t="str">
        <f>L120</f>
        <v>NC_000015.9:g.[78865893=];[78865893=]</v>
      </c>
      <c r="M164" s="3" t="str">
        <f>M120</f>
        <v>NC_000015.9:g.[78873993=];[78873993=]</v>
      </c>
    </row>
    <row r="165" spans="1:13" x14ac:dyDescent="0.25">
      <c r="C165" s="3" t="str">
        <f>CONCATENATE("                    ","variantCall ",CHAR(40),CHAR(34),K164,CHAR(34),CHAR(41))</f>
        <v xml:space="preserve">                    variantCall ("NC_000015.9:g.[78882925=];[78882925=]")</v>
      </c>
      <c r="J165" s="3" t="str">
        <f>J121</f>
        <v>Het%</v>
      </c>
      <c r="K165" s="3">
        <f>K121</f>
        <v>39.200000000000003</v>
      </c>
      <c r="L165" s="3">
        <f>L121</f>
        <v>39.200000000000003</v>
      </c>
      <c r="M165" s="3">
        <f>M121</f>
        <v>27.3</v>
      </c>
    </row>
    <row r="166" spans="1:13" x14ac:dyDescent="0.25">
      <c r="A166" s="14"/>
      <c r="C166" s="3" t="str">
        <f>CONCATENATE("                  } &gt; ")</f>
        <v xml:space="preserve">                  } &gt; </v>
      </c>
      <c r="J166" s="3" t="str">
        <f>J122</f>
        <v>Homo%</v>
      </c>
      <c r="K166" s="3">
        <f>K122</f>
        <v>5.2</v>
      </c>
      <c r="L166" s="3">
        <f>L122</f>
        <v>17.899999999999999</v>
      </c>
      <c r="M166" s="3">
        <f>M122</f>
        <v>9.5</v>
      </c>
    </row>
    <row r="167" spans="1:13" x14ac:dyDescent="0.25">
      <c r="A167" s="26"/>
      <c r="J167" s="3" t="str">
        <f>J123</f>
        <v>Wildtype%</v>
      </c>
      <c r="K167" s="3">
        <f>K123</f>
        <v>55.6</v>
      </c>
      <c r="L167" s="3">
        <f>L123</f>
        <v>42.9</v>
      </c>
      <c r="M167" s="3">
        <f>M123</f>
        <v>63.2</v>
      </c>
    </row>
    <row r="168" spans="1:13" x14ac:dyDescent="0.25">
      <c r="A168" s="14"/>
      <c r="C168" s="3" t="s">
        <v>26</v>
      </c>
    </row>
    <row r="169" spans="1:13" x14ac:dyDescent="0.25">
      <c r="A169" s="14"/>
    </row>
    <row r="170" spans="1:13" x14ac:dyDescent="0.25">
      <c r="A170" s="26"/>
      <c r="C170" s="3" t="str">
        <f>CONCATENATE("    ",B161)</f>
        <v xml:space="preserve">    People with this variant have two copies of the [A78581651T](https://www.ncbi.nlm.nih.gov/projects/SNP/snp_ref.cgi?rs=7180002) variant. This substitution of a single nucleotide is known as a missense mutation.</v>
      </c>
    </row>
    <row r="171" spans="1:13" x14ac:dyDescent="0.25">
      <c r="A171" s="14"/>
    </row>
    <row r="172" spans="1:13" x14ac:dyDescent="0.25">
      <c r="A172" s="14"/>
      <c r="C172" s="3" t="s">
        <v>29</v>
      </c>
    </row>
    <row r="173" spans="1:13" x14ac:dyDescent="0.25">
      <c r="A173" s="14"/>
    </row>
    <row r="174" spans="1:13" x14ac:dyDescent="0.25">
      <c r="A174" s="14"/>
      <c r="C174" s="3" t="str">
        <f>CONCATENATE(B162)</f>
        <v xml:space="preserve">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avoid smoking, and proactively check for lung cancer if they smoke.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v>
      </c>
    </row>
    <row r="175" spans="1:13" x14ac:dyDescent="0.25">
      <c r="A175" s="26"/>
    </row>
    <row r="176" spans="1:13" x14ac:dyDescent="0.25">
      <c r="A176" s="26"/>
      <c r="C176" s="3" t="s">
        <v>30</v>
      </c>
    </row>
    <row r="177" spans="1:13" x14ac:dyDescent="0.25">
      <c r="A177" s="26"/>
    </row>
    <row r="178" spans="1:13" x14ac:dyDescent="0.25">
      <c r="A178" s="26"/>
      <c r="C178" s="3" t="str">
        <f>CONCATENATE( "    &lt;piechart percentage=",B163," /&gt;")</f>
        <v xml:space="preserve">    &lt;piechart percentage=9.5 /&gt;</v>
      </c>
    </row>
    <row r="179" spans="1:13" x14ac:dyDescent="0.25">
      <c r="A179" s="26"/>
      <c r="C179" s="3" t="str">
        <f>"  &lt;/Analysis&gt;"</f>
        <v xml:space="preserve">  &lt;/Analysis&gt;</v>
      </c>
      <c r="K179" s="3" t="str">
        <f>K135</f>
        <v>rs16969968</v>
      </c>
      <c r="L179" s="3" t="str">
        <f>L135</f>
        <v>rs3913434</v>
      </c>
      <c r="M179" s="3" t="str">
        <f>M135</f>
        <v>rs270838</v>
      </c>
    </row>
    <row r="180" spans="1:13" s="21" customFormat="1" x14ac:dyDescent="0.25">
      <c r="A180" s="28" t="s">
        <v>70</v>
      </c>
      <c r="B180" s="20" t="str">
        <f>CONCATENATE(B48," and ",B92," and ",B136)</f>
        <v>G1192A (G;A) and A78573551G (A;G) and A78581651T (A;T)</v>
      </c>
      <c r="C180" s="21" t="str">
        <f>CONCATENATE("&lt;# ",B180," #&gt;")</f>
        <v>&lt;# G1192A (G;A) and A78573551G (A;G) and A78581651T (A;T) #&gt;</v>
      </c>
      <c r="K180" s="21" t="str">
        <f>K136</f>
        <v>G1192A</v>
      </c>
      <c r="L180" s="21" t="str">
        <f>L136</f>
        <v>A78573551G</v>
      </c>
      <c r="M180" s="21" t="str">
        <f>M136</f>
        <v>A78581651T</v>
      </c>
    </row>
    <row r="181" spans="1:13" x14ac:dyDescent="0.25">
      <c r="A181" s="14" t="s">
        <v>21</v>
      </c>
      <c r="B181" s="15" t="str">
        <f>K52</f>
        <v>NC_000015.9:g.[78882925G&gt;A];[78882925=]</v>
      </c>
      <c r="K181" s="3" t="str">
        <f>K137</f>
        <v>NC_000015.9:g.</v>
      </c>
      <c r="L181" s="3" t="str">
        <f>L137</f>
        <v>NC_000015.9:g.</v>
      </c>
      <c r="M181" s="3" t="str">
        <f>M137</f>
        <v>NC_000015.9:g.</v>
      </c>
    </row>
    <row r="182" spans="1:13" x14ac:dyDescent="0.25">
      <c r="A182" s="14" t="s">
        <v>72</v>
      </c>
      <c r="C182" s="3" t="str">
        <f>CONCATENATE("  &lt;Analysis name=",CHAR(34),B180,CHAR(34))</f>
        <v xml:space="preserve">  &lt;Analysis name="G1192A (G;A) and A78573551G (A;G) and A78581651T (A;T)"</v>
      </c>
      <c r="J182" s="3" t="str">
        <f>J138</f>
        <v>Variant</v>
      </c>
      <c r="K182" s="3" t="str">
        <f>K138</f>
        <v>[78882925G&gt;A]</v>
      </c>
      <c r="L182" s="3" t="str">
        <f>L138</f>
        <v>[78865893G&gt;A]</v>
      </c>
      <c r="M182" s="3" t="str">
        <f>M138</f>
        <v>[78873993A&gt;T]</v>
      </c>
    </row>
    <row r="183" spans="1:13" x14ac:dyDescent="0.25">
      <c r="A183" s="26" t="s">
        <v>75</v>
      </c>
      <c r="B183" s="15" t="str">
        <f>CONCATENATE("People with this variant have copies of the ",B22,", ",B31, ", and ",B40," variants. This substitution of a single nucleotide is known as a missense mutation.")</f>
        <v>People with this variant have copies of the [G1192A (Asp398Asn)](https://www.ncbi.nlm.nih.gov/clinvar/variation/17497/), [A78573551G](https://www.ncbi.nlm.nih.gov/projects/SNP/snp_ref.cgi?rs=6495306), and [A78581651T](https://www.ncbi.nlm.nih.gov/projects/SNP/snp_ref.cgi?rs=7180002) variants. This substitution of a single nucleotide is known as a missense mutation.</v>
      </c>
      <c r="C183" s="3" t="str">
        <f>CONCATENATE("            case={  variantCall ",CHAR(40),CHAR(34),K184,CHAR(34),CHAR(41))</f>
        <v xml:space="preserve">            case={  variantCall ("NC_000015.9:g.[78882925G&gt;A];[78882925=]")</v>
      </c>
      <c r="J183" s="3" t="str">
        <f>J139</f>
        <v>Wildtype</v>
      </c>
      <c r="K183" s="3" t="str">
        <f>K139</f>
        <v>[78882925=]</v>
      </c>
      <c r="L183" s="3" t="str">
        <f>L139</f>
        <v>[78865893=]</v>
      </c>
      <c r="M183" s="3" t="str">
        <f>M139</f>
        <v>[78873993=]</v>
      </c>
    </row>
    <row r="184" spans="1:13" x14ac:dyDescent="0.25">
      <c r="A184" s="26" t="s">
        <v>28</v>
      </c>
      <c r="B184" s="15" t="s">
        <v>199</v>
      </c>
      <c r="C184" s="3" t="s">
        <v>71</v>
      </c>
      <c r="J184" s="3" t="str">
        <f>J140</f>
        <v>Het</v>
      </c>
      <c r="K184" s="3" t="str">
        <f>K140</f>
        <v>NC_000015.9:g.[78882925G&gt;A];[78882925=]</v>
      </c>
      <c r="L184" s="3" t="str">
        <f>L140</f>
        <v>NC_000015.9:g.[78865893G&gt;A];[78865893=]</v>
      </c>
      <c r="M184" s="3" t="str">
        <f>M140</f>
        <v>NC_000015.9:g.[78873993A&gt;T];[78873993=]</v>
      </c>
    </row>
    <row r="185" spans="1:13" x14ac:dyDescent="0.25">
      <c r="A185" s="26" t="s">
        <v>73</v>
      </c>
      <c r="C185" s="3" t="str">
        <f>CONCATENATE("                    ",CHAR(40),"variantCall ",CHAR(40),CHAR(34),L184,CHAR(34),CHAR(41)," or variantCall ",CHAR(40),CHAR(34),L185,CHAR(34),CHAR(41),CHAR(41))</f>
        <v xml:space="preserve">                    (variantCall ("NC_000015.9:g.[78865893G&gt;A];[78865893=]") or variantCall ("NC_000015.9:g.[78865893G&gt;A];[78865893G&gt;A]"))</v>
      </c>
      <c r="J185" s="3" t="str">
        <f>J141</f>
        <v>Homo</v>
      </c>
      <c r="K185" s="3" t="str">
        <f>K141</f>
        <v>NC_000015.9:g.[78882925G&gt;A];[78882925G&gt;A]</v>
      </c>
      <c r="L185" s="3" t="str">
        <f>L141</f>
        <v>NC_000015.9:g.[78865893G&gt;A];[78865893G&gt;A]</v>
      </c>
      <c r="M185" s="3" t="str">
        <f>M141</f>
        <v>NC_000015.9:g.[78873993A&gt;T];[78873993A&gt;T]</v>
      </c>
    </row>
    <row r="186" spans="1:13" x14ac:dyDescent="0.25">
      <c r="A186" s="26"/>
      <c r="C186" s="3" t="s">
        <v>71</v>
      </c>
      <c r="J186" s="3" t="str">
        <f>J142</f>
        <v>Wildtype</v>
      </c>
      <c r="K186" s="3" t="str">
        <f>K142</f>
        <v>NC_000015.9:g.[78882925=];[78882925=]</v>
      </c>
      <c r="L186" s="3" t="str">
        <f>L142</f>
        <v>NC_000015.9:g.[78865893=];[78865893=]</v>
      </c>
      <c r="M186" s="3" t="str">
        <f>M142</f>
        <v>NC_000015.9:g.[78873993=];[78873993=]</v>
      </c>
    </row>
    <row r="187" spans="1:13" x14ac:dyDescent="0.25">
      <c r="A187" s="26"/>
      <c r="C187" s="3" t="str">
        <f>CONCATENATE("                    ",CHAR(40),"variantCall ",CHAR(40),CHAR(34),M184,CHAR(34),CHAR(41)," or variantCall ",CHAR(40),CHAR(34),M185,CHAR(34),CHAR(41),CHAR(41))</f>
        <v xml:space="preserve">                    (variantCall ("NC_000015.9:g.[78873993A&gt;T];[78873993=]") or variantCall ("NC_000015.9:g.[78873993A&gt;T];[78873993A&gt;T]"))</v>
      </c>
      <c r="J187" s="3" t="str">
        <f>J143</f>
        <v>Het%</v>
      </c>
      <c r="K187" s="3">
        <f>K143</f>
        <v>39.200000000000003</v>
      </c>
      <c r="L187" s="3">
        <f>L143</f>
        <v>39.200000000000003</v>
      </c>
      <c r="M187" s="3">
        <f>M143</f>
        <v>27.3</v>
      </c>
    </row>
    <row r="188" spans="1:13" x14ac:dyDescent="0.25">
      <c r="A188" s="26"/>
      <c r="C188" s="3" t="str">
        <f>CONCATENATE("                  } &gt; ")</f>
        <v xml:space="preserve">                  } &gt; </v>
      </c>
      <c r="J188" s="3" t="str">
        <f>J144</f>
        <v>Homo%</v>
      </c>
      <c r="K188" s="3">
        <f>K144</f>
        <v>5.2</v>
      </c>
      <c r="L188" s="3">
        <f>L144</f>
        <v>17.899999999999999</v>
      </c>
      <c r="M188" s="3">
        <f>M144</f>
        <v>9.5</v>
      </c>
    </row>
    <row r="189" spans="1:13" x14ac:dyDescent="0.25">
      <c r="A189" s="14"/>
      <c r="J189" s="3" t="str">
        <f>J145</f>
        <v>Wildtype%</v>
      </c>
      <c r="K189" s="3">
        <f>K145</f>
        <v>55.6</v>
      </c>
      <c r="L189" s="3">
        <f>L145</f>
        <v>42.9</v>
      </c>
      <c r="M189" s="3">
        <f>M145</f>
        <v>63.2</v>
      </c>
    </row>
    <row r="190" spans="1:13" x14ac:dyDescent="0.25">
      <c r="A190" s="14"/>
      <c r="C190" s="3" t="s">
        <v>26</v>
      </c>
    </row>
    <row r="191" spans="1:13" x14ac:dyDescent="0.25">
      <c r="A191" s="14"/>
    </row>
    <row r="192" spans="1:13" x14ac:dyDescent="0.25">
      <c r="A192" s="14"/>
      <c r="C192" s="3" t="str">
        <f>CONCATENATE("    ",B183)</f>
        <v xml:space="preserve">    People with this variant have copies of the [G1192A (Asp398Asn)](https://www.ncbi.nlm.nih.gov/clinvar/variation/17497/), [A78573551G](https://www.ncbi.nlm.nih.gov/projects/SNP/snp_ref.cgi?rs=6495306), and [A78581651T](https://www.ncbi.nlm.nih.gov/projects/SNP/snp_ref.cgi?rs=7180002) variants. This substitution of a single nucleotide is known as a missense mutation.</v>
      </c>
    </row>
    <row r="193" spans="1:13" x14ac:dyDescent="0.25">
      <c r="A193" s="14"/>
    </row>
    <row r="194" spans="1:13" x14ac:dyDescent="0.25">
      <c r="A194" s="26"/>
      <c r="C194" s="3" t="s">
        <v>29</v>
      </c>
    </row>
    <row r="195" spans="1:13" x14ac:dyDescent="0.25">
      <c r="A195" s="26"/>
    </row>
    <row r="196" spans="1:13" x14ac:dyDescent="0.25">
      <c r="A196" s="26"/>
      <c r="C196" s="3" t="str">
        <f>CONCATENATE(B184)</f>
        <v xml:space="preserve">    There is currently no data on the interaction between these variants.  However, some information exists on the individual variants.
    # What is the effect of G1192A (G;A)?
    This variant controls [cognitive function, working memory, and gray matter volume in the brain](https://www.ncbi.nlm.nih.gov/pubmed/24819610). Males with this variant have faster [information processing](https://www.ncbi.nlm.nih.gov/pubmed/25674902), including [much better behavioral performance, more efficient brain activity, and a larger brain volume.](https://www.ncbi.nlm.nih.gov/pubmed/24819610) Females with this variant exhibit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 greater risk for [lung cancer and COPD](https://www.ncbi.nlm.nih.gov/pubmed/27344179).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v>
      </c>
    </row>
    <row r="197" spans="1:13" x14ac:dyDescent="0.25">
      <c r="A197" s="26"/>
    </row>
    <row r="198" spans="1:13" x14ac:dyDescent="0.25">
      <c r="A198" s="26"/>
      <c r="C198" s="3" t="s">
        <v>30</v>
      </c>
    </row>
    <row r="199" spans="1:13" x14ac:dyDescent="0.25">
      <c r="A199" s="26"/>
    </row>
    <row r="200" spans="1:13" x14ac:dyDescent="0.25">
      <c r="A200" s="26"/>
      <c r="C200" s="3" t="str">
        <f>CONCATENATE( "    &lt;piechart percentage=",B185," /&gt;")</f>
        <v xml:space="preserve">    &lt;piechart percentage= /&gt;</v>
      </c>
    </row>
    <row r="201" spans="1:13" x14ac:dyDescent="0.25">
      <c r="A201" s="26"/>
      <c r="C201" s="3" t="str">
        <f>"  &lt;/Analysis&gt;"</f>
        <v xml:space="preserve">  &lt;/Analysis&gt;</v>
      </c>
      <c r="K201" s="3" t="str">
        <f t="shared" ref="K201:M203" si="12">K179</f>
        <v>rs16969968</v>
      </c>
      <c r="L201" s="3" t="str">
        <f t="shared" si="12"/>
        <v>rs3913434</v>
      </c>
      <c r="M201" s="3" t="str">
        <f t="shared" si="12"/>
        <v>rs270838</v>
      </c>
    </row>
    <row r="202" spans="1:13" s="21" customFormat="1" x14ac:dyDescent="0.25">
      <c r="A202" s="28" t="s">
        <v>70</v>
      </c>
      <c r="B202" s="20" t="str">
        <f>CONCATENATE(B70," and ",B92," and ",B136)</f>
        <v>G1192A (A;A) and A78573551G (A;G) and A78581651T (A;T)</v>
      </c>
      <c r="C202" s="21" t="str">
        <f>CONCATENATE("&lt;# ",B202," #&gt;")</f>
        <v>&lt;# G1192A (A;A) and A78573551G (A;G) and A78581651T (A;T) #&gt;</v>
      </c>
      <c r="K202" s="21" t="str">
        <f t="shared" si="12"/>
        <v>G1192A</v>
      </c>
      <c r="L202" s="21" t="str">
        <f t="shared" si="12"/>
        <v>A78573551G</v>
      </c>
      <c r="M202" s="21" t="str">
        <f t="shared" si="12"/>
        <v>A78581651T</v>
      </c>
    </row>
    <row r="203" spans="1:13" x14ac:dyDescent="0.25">
      <c r="A203" s="14" t="s">
        <v>21</v>
      </c>
      <c r="B203" s="15" t="str">
        <f>K74</f>
        <v>NC_000015.9:g.[78882925G&gt;A];[78882925=]</v>
      </c>
      <c r="K203" s="3" t="str">
        <f t="shared" si="12"/>
        <v>NC_000015.9:g.</v>
      </c>
      <c r="L203" s="3" t="str">
        <f t="shared" si="12"/>
        <v>NC_000015.9:g.</v>
      </c>
      <c r="M203" s="3" t="str">
        <f t="shared" si="12"/>
        <v>NC_000015.9:g.</v>
      </c>
    </row>
    <row r="204" spans="1:13" x14ac:dyDescent="0.25">
      <c r="A204" s="14" t="s">
        <v>72</v>
      </c>
      <c r="C204" s="3" t="str">
        <f>CONCATENATE("  &lt;Analysis name=",CHAR(34),B202,CHAR(34))</f>
        <v xml:space="preserve">  &lt;Analysis name="G1192A (A;A) and A78573551G (A;G) and A78581651T (A;T)"</v>
      </c>
      <c r="J204" s="3" t="str">
        <f t="shared" ref="J204:M211" si="13">J182</f>
        <v>Variant</v>
      </c>
      <c r="K204" s="3" t="str">
        <f t="shared" si="13"/>
        <v>[78882925G&gt;A]</v>
      </c>
      <c r="L204" s="3" t="str">
        <f t="shared" si="13"/>
        <v>[78865893G&gt;A]</v>
      </c>
      <c r="M204" s="3" t="str">
        <f t="shared" si="13"/>
        <v>[78873993A&gt;T]</v>
      </c>
    </row>
    <row r="205" spans="1:13" x14ac:dyDescent="0.25">
      <c r="A205" s="26" t="s">
        <v>75</v>
      </c>
      <c r="B205" s="15" t="str">
        <f>CONCATENATE("People with this variant have copies of the ",B22,", ",B31, ", and ",B40," variants. This substitution of a single nucleotide is known as a missense mutation.")</f>
        <v>People with this variant have copies of the [G1192A (Asp398Asn)](https://www.ncbi.nlm.nih.gov/clinvar/variation/17497/), [A78573551G](https://www.ncbi.nlm.nih.gov/projects/SNP/snp_ref.cgi?rs=6495306), and [A78581651T](https://www.ncbi.nlm.nih.gov/projects/SNP/snp_ref.cgi?rs=7180002) variants. This substitution of a single nucleotide is known as a missense mutation.</v>
      </c>
      <c r="C205" s="3" t="str">
        <f>CONCATENATE("            case={  variantCall ",CHAR(40),CHAR(34),K207,CHAR(34),CHAR(41))</f>
        <v xml:space="preserve">            case={  variantCall ("NC_000015.9:g.[78882925G&gt;A];[78882925G&gt;A]")</v>
      </c>
      <c r="J205" s="3" t="str">
        <f t="shared" si="13"/>
        <v>Wildtype</v>
      </c>
      <c r="K205" s="3" t="str">
        <f t="shared" si="13"/>
        <v>[78882925=]</v>
      </c>
      <c r="L205" s="3" t="str">
        <f t="shared" si="13"/>
        <v>[78865893=]</v>
      </c>
      <c r="M205" s="3" t="str">
        <f t="shared" si="13"/>
        <v>[78873993=]</v>
      </c>
    </row>
    <row r="206" spans="1:13" x14ac:dyDescent="0.25">
      <c r="A206" s="26" t="s">
        <v>28</v>
      </c>
      <c r="B206" s="15" t="s">
        <v>200</v>
      </c>
      <c r="C206" s="3" t="s">
        <v>71</v>
      </c>
      <c r="J206" s="3" t="str">
        <f t="shared" si="13"/>
        <v>Het</v>
      </c>
      <c r="K206" s="3" t="str">
        <f t="shared" si="13"/>
        <v>NC_000015.9:g.[78882925G&gt;A];[78882925=]</v>
      </c>
      <c r="L206" s="3" t="str">
        <f t="shared" si="13"/>
        <v>NC_000015.9:g.[78865893G&gt;A];[78865893=]</v>
      </c>
      <c r="M206" s="3" t="str">
        <f t="shared" si="13"/>
        <v>NC_000015.9:g.[78873993A&gt;T];[78873993=]</v>
      </c>
    </row>
    <row r="207" spans="1:13" x14ac:dyDescent="0.25">
      <c r="A207" s="26" t="s">
        <v>73</v>
      </c>
      <c r="C207" s="3" t="str">
        <f>CONCATENATE("                    ",CHAR(40),"variantCall ",CHAR(40),CHAR(34),L206,CHAR(34),CHAR(41)," or variantCall ",CHAR(40),CHAR(34),L207,CHAR(34),CHAR(41),CHAR(41))</f>
        <v xml:space="preserve">                    (variantCall ("NC_000015.9:g.[78865893G&gt;A];[78865893=]") or variantCall ("NC_000015.9:g.[78865893G&gt;A];[78865893G&gt;A]"))</v>
      </c>
      <c r="J207" s="3" t="str">
        <f t="shared" si="13"/>
        <v>Homo</v>
      </c>
      <c r="K207" s="3" t="str">
        <f t="shared" si="13"/>
        <v>NC_000015.9:g.[78882925G&gt;A];[78882925G&gt;A]</v>
      </c>
      <c r="L207" s="3" t="str">
        <f t="shared" si="13"/>
        <v>NC_000015.9:g.[78865893G&gt;A];[78865893G&gt;A]</v>
      </c>
      <c r="M207" s="3" t="str">
        <f t="shared" si="13"/>
        <v>NC_000015.9:g.[78873993A&gt;T];[78873993A&gt;T]</v>
      </c>
    </row>
    <row r="208" spans="1:13" x14ac:dyDescent="0.25">
      <c r="A208" s="26"/>
      <c r="C208" s="3" t="s">
        <v>71</v>
      </c>
      <c r="J208" s="3" t="str">
        <f t="shared" si="13"/>
        <v>Wildtype</v>
      </c>
      <c r="K208" s="3" t="str">
        <f t="shared" si="13"/>
        <v>NC_000015.9:g.[78882925=];[78882925=]</v>
      </c>
      <c r="L208" s="3" t="str">
        <f t="shared" si="13"/>
        <v>NC_000015.9:g.[78865893=];[78865893=]</v>
      </c>
      <c r="M208" s="3" t="str">
        <f t="shared" si="13"/>
        <v>NC_000015.9:g.[78873993=];[78873993=]</v>
      </c>
    </row>
    <row r="209" spans="1:13" x14ac:dyDescent="0.25">
      <c r="A209" s="26"/>
      <c r="C209" s="3" t="str">
        <f>CONCATENATE("                    ",CHAR(40),"variantCall ",CHAR(40),CHAR(34),M206,CHAR(34),CHAR(41)," or variantCall ",CHAR(40),CHAR(34),M207,CHAR(34),CHAR(41),CHAR(41))</f>
        <v xml:space="preserve">                    (variantCall ("NC_000015.9:g.[78873993A&gt;T];[78873993=]") or variantCall ("NC_000015.9:g.[78873993A&gt;T];[78873993A&gt;T]"))</v>
      </c>
      <c r="J209" s="3" t="str">
        <f t="shared" si="13"/>
        <v>Het%</v>
      </c>
      <c r="K209" s="3">
        <f t="shared" si="13"/>
        <v>39.200000000000003</v>
      </c>
      <c r="L209" s="3">
        <f t="shared" si="13"/>
        <v>39.200000000000003</v>
      </c>
      <c r="M209" s="3">
        <f t="shared" si="13"/>
        <v>27.3</v>
      </c>
    </row>
    <row r="210" spans="1:13" x14ac:dyDescent="0.25">
      <c r="A210" s="26"/>
      <c r="C210" s="3" t="str">
        <f>CONCATENATE("                  } &gt; ")</f>
        <v xml:space="preserve">                  } &gt; </v>
      </c>
      <c r="J210" s="3" t="str">
        <f t="shared" si="13"/>
        <v>Homo%</v>
      </c>
      <c r="K210" s="3">
        <f t="shared" si="13"/>
        <v>5.2</v>
      </c>
      <c r="L210" s="3">
        <f t="shared" si="13"/>
        <v>17.899999999999999</v>
      </c>
      <c r="M210" s="3">
        <f t="shared" si="13"/>
        <v>9.5</v>
      </c>
    </row>
    <row r="211" spans="1:13" x14ac:dyDescent="0.25">
      <c r="A211" s="14"/>
      <c r="J211" s="3" t="str">
        <f t="shared" si="13"/>
        <v>Wildtype%</v>
      </c>
      <c r="K211" s="3">
        <f t="shared" si="13"/>
        <v>55.6</v>
      </c>
      <c r="L211" s="3">
        <f t="shared" si="13"/>
        <v>42.9</v>
      </c>
      <c r="M211" s="3">
        <f t="shared" si="13"/>
        <v>63.2</v>
      </c>
    </row>
    <row r="212" spans="1:13" x14ac:dyDescent="0.25">
      <c r="A212" s="14"/>
      <c r="C212" s="3" t="s">
        <v>26</v>
      </c>
    </row>
    <row r="213" spans="1:13" x14ac:dyDescent="0.25">
      <c r="A213" s="14"/>
    </row>
    <row r="214" spans="1:13" x14ac:dyDescent="0.25">
      <c r="A214" s="14"/>
      <c r="C214" s="3" t="str">
        <f>CONCATENATE("    ",B205)</f>
        <v xml:space="preserve">    People with this variant have copies of the [G1192A (Asp398Asn)](https://www.ncbi.nlm.nih.gov/clinvar/variation/17497/), [A78573551G](https://www.ncbi.nlm.nih.gov/projects/SNP/snp_ref.cgi?rs=6495306), and [A78581651T](https://www.ncbi.nlm.nih.gov/projects/SNP/snp_ref.cgi?rs=7180002) variants. This substitution of a single nucleotide is known as a missense mutation.</v>
      </c>
    </row>
    <row r="215" spans="1:13" x14ac:dyDescent="0.25">
      <c r="A215" s="14"/>
    </row>
    <row r="216" spans="1:13" x14ac:dyDescent="0.25">
      <c r="A216" s="26"/>
      <c r="C216" s="3" t="s">
        <v>29</v>
      </c>
    </row>
    <row r="217" spans="1:13" x14ac:dyDescent="0.25">
      <c r="A217" s="26"/>
    </row>
    <row r="218" spans="1:13" x14ac:dyDescent="0.25">
      <c r="A218" s="26"/>
      <c r="C218" s="3" t="str">
        <f>CONCATENATE(B206)</f>
        <v xml:space="preserve">    There is currently no data on the interaction between these variants.  However, some information exists on the individual variants.
    # What is the effect of G1192A (A;A)?
    This variant controls [cognitive function, working memory, and gray matter volume in the brain](https://www.ncbi.nlm.nih.gov/pubmed/24819610). Males with this variant have much faster [information processing](https://www.ncbi.nlm.nih.gov/pubmed/25674902), including [much better behavioral performance, more efficient brain activity, and a larger brain volume.](https://www.ncbi.nlm.nih.gov/pubmed/24819610) Females with this variant exhibit much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an elevated risk and earlier onset of [lung cancer](https://www.ncbi.nlm.nih.gov/pubmed/27543155), [COPD](https://www.ncbi.nlm.nih.gov/pubmed/26771213) and [newborn lung and breathing problems](https://www.ncbi.nlm.nih.gov/pubmed/24838476) in the children of smoking mothers.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v>
      </c>
    </row>
    <row r="219" spans="1:13" x14ac:dyDescent="0.25">
      <c r="A219" s="26"/>
    </row>
    <row r="220" spans="1:13" x14ac:dyDescent="0.25">
      <c r="A220" s="26"/>
      <c r="C220" s="3" t="s">
        <v>30</v>
      </c>
    </row>
    <row r="221" spans="1:13" x14ac:dyDescent="0.25">
      <c r="A221" s="26"/>
    </row>
    <row r="222" spans="1:13" x14ac:dyDescent="0.25">
      <c r="A222" s="26"/>
      <c r="C222" s="3" t="str">
        <f>CONCATENATE( "    &lt;piechart percentage=",B207," /&gt;")</f>
        <v xml:space="preserve">    &lt;piechart percentage= /&gt;</v>
      </c>
    </row>
    <row r="223" spans="1:13" x14ac:dyDescent="0.25">
      <c r="A223" s="26"/>
      <c r="C223" s="3" t="str">
        <f>"  &lt;/Analysis&gt;"</f>
        <v xml:space="preserve">  &lt;/Analysis&gt;</v>
      </c>
      <c r="K223" s="3" t="str">
        <f t="shared" ref="K223:M225" si="14">K201</f>
        <v>rs16969968</v>
      </c>
      <c r="L223" s="3" t="str">
        <f t="shared" si="14"/>
        <v>rs3913434</v>
      </c>
      <c r="M223" s="3" t="str">
        <f t="shared" si="14"/>
        <v>rs270838</v>
      </c>
    </row>
    <row r="224" spans="1:13" s="21" customFormat="1" x14ac:dyDescent="0.25">
      <c r="A224" s="28" t="s">
        <v>70</v>
      </c>
      <c r="B224" s="20" t="str">
        <f>CONCATENATE(B48," and ",B92)</f>
        <v>G1192A (G;A) and A78573551G (A;G)</v>
      </c>
      <c r="C224" s="21" t="str">
        <f>CONCATENATE("&lt;# ",B224," #&gt;")</f>
        <v>&lt;# G1192A (G;A) and A78573551G (A;G) #&gt;</v>
      </c>
      <c r="K224" s="21" t="str">
        <f t="shared" si="14"/>
        <v>G1192A</v>
      </c>
      <c r="L224" s="21" t="str">
        <f t="shared" si="14"/>
        <v>A78573551G</v>
      </c>
      <c r="M224" s="21" t="str">
        <f t="shared" si="14"/>
        <v>A78581651T</v>
      </c>
    </row>
    <row r="225" spans="1:13" x14ac:dyDescent="0.25">
      <c r="A225" s="14" t="s">
        <v>21</v>
      </c>
      <c r="B225" s="15" t="str">
        <f>K96</f>
        <v>NC_000015.9:g.[78882925G&gt;A];[78882925=]</v>
      </c>
      <c r="K225" s="3" t="str">
        <f t="shared" si="14"/>
        <v>NC_000015.9:g.</v>
      </c>
      <c r="L225" s="3" t="str">
        <f t="shared" si="14"/>
        <v>NC_000015.9:g.</v>
      </c>
      <c r="M225" s="3" t="str">
        <f t="shared" si="14"/>
        <v>NC_000015.9:g.</v>
      </c>
    </row>
    <row r="226" spans="1:13" x14ac:dyDescent="0.25">
      <c r="A226" s="14" t="s">
        <v>72</v>
      </c>
      <c r="C226" s="3" t="str">
        <f>CONCATENATE("  &lt;Analysis name=",CHAR(34),B224,CHAR(34))</f>
        <v xml:space="preserve">  &lt;Analysis name="G1192A (G;A) and A78573551G (A;G)"</v>
      </c>
      <c r="J226" s="3" t="str">
        <f t="shared" ref="J226:M233" si="15">J204</f>
        <v>Variant</v>
      </c>
      <c r="K226" s="3" t="str">
        <f t="shared" si="15"/>
        <v>[78882925G&gt;A]</v>
      </c>
      <c r="L226" s="3" t="str">
        <f t="shared" si="15"/>
        <v>[78865893G&gt;A]</v>
      </c>
      <c r="M226" s="3" t="str">
        <f t="shared" si="15"/>
        <v>[78873993A&gt;T]</v>
      </c>
    </row>
    <row r="227" spans="1:13" x14ac:dyDescent="0.25">
      <c r="A227" s="26" t="s">
        <v>75</v>
      </c>
      <c r="B227" s="15" t="str">
        <f>CONCATENATE("People with this variant have copies of the ",B22, ", and ",B31," variants. This substitution of a single nucleotide is known as a missense mutation.")</f>
        <v>People with this variant have copies of the [G1192A (Asp398Asn)](https://www.ncbi.nlm.nih.gov/clinvar/variation/17497/), and [A78573551G](https://www.ncbi.nlm.nih.gov/projects/SNP/snp_ref.cgi?rs=6495306) variants. This substitution of a single nucleotide is known as a missense mutation.</v>
      </c>
      <c r="C227" s="3" t="str">
        <f>CONCATENATE("            case={  variantCall ",CHAR(40),CHAR(34),K228,CHAR(34),CHAR(41))</f>
        <v xml:space="preserve">            case={  variantCall ("NC_000015.9:g.[78882925G&gt;A];[78882925=]")</v>
      </c>
      <c r="J227" s="3" t="str">
        <f t="shared" si="15"/>
        <v>Wildtype</v>
      </c>
      <c r="K227" s="3" t="str">
        <f t="shared" si="15"/>
        <v>[78882925=]</v>
      </c>
      <c r="L227" s="3" t="str">
        <f t="shared" si="15"/>
        <v>[78865893=]</v>
      </c>
      <c r="M227" s="3" t="str">
        <f t="shared" si="15"/>
        <v>[78873993=]</v>
      </c>
    </row>
    <row r="228" spans="1:13" x14ac:dyDescent="0.25">
      <c r="A228" s="26" t="s">
        <v>28</v>
      </c>
      <c r="B228" s="15" t="s">
        <v>205</v>
      </c>
      <c r="C228" s="3" t="s">
        <v>71</v>
      </c>
      <c r="J228" s="3" t="str">
        <f t="shared" si="15"/>
        <v>Het</v>
      </c>
      <c r="K228" s="3" t="str">
        <f t="shared" si="15"/>
        <v>NC_000015.9:g.[78882925G&gt;A];[78882925=]</v>
      </c>
      <c r="L228" s="3" t="str">
        <f t="shared" si="15"/>
        <v>NC_000015.9:g.[78865893G&gt;A];[78865893=]</v>
      </c>
      <c r="M228" s="3" t="str">
        <f t="shared" si="15"/>
        <v>NC_000015.9:g.[78873993A&gt;T];[78873993=]</v>
      </c>
    </row>
    <row r="229" spans="1:13" x14ac:dyDescent="0.25">
      <c r="A229" s="26" t="s">
        <v>73</v>
      </c>
      <c r="C229" s="3" t="str">
        <f>CONCATENATE("                    ",CHAR(40),"variantCall ",CHAR(40),CHAR(34),L228,CHAR(34),CHAR(41)," or variantCall ",CHAR(40),CHAR(34),L229,CHAR(34),CHAR(41),CHAR(41))</f>
        <v xml:space="preserve">                    (variantCall ("NC_000015.9:g.[78865893G&gt;A];[78865893=]") or variantCall ("NC_000015.9:g.[78865893G&gt;A];[78865893G&gt;A]"))</v>
      </c>
      <c r="J229" s="3" t="str">
        <f t="shared" si="15"/>
        <v>Homo</v>
      </c>
      <c r="K229" s="3" t="str">
        <f t="shared" si="15"/>
        <v>NC_000015.9:g.[78882925G&gt;A];[78882925G&gt;A]</v>
      </c>
      <c r="L229" s="3" t="str">
        <f t="shared" si="15"/>
        <v>NC_000015.9:g.[78865893G&gt;A];[78865893G&gt;A]</v>
      </c>
      <c r="M229" s="3" t="str">
        <f t="shared" si="15"/>
        <v>NC_000015.9:g.[78873993A&gt;T];[78873993A&gt;T]</v>
      </c>
    </row>
    <row r="230" spans="1:13" x14ac:dyDescent="0.25">
      <c r="A230" s="26"/>
      <c r="C230" s="3" t="s">
        <v>71</v>
      </c>
      <c r="J230" s="3" t="str">
        <f t="shared" si="15"/>
        <v>Wildtype</v>
      </c>
      <c r="K230" s="3" t="str">
        <f t="shared" si="15"/>
        <v>NC_000015.9:g.[78882925=];[78882925=]</v>
      </c>
      <c r="L230" s="3" t="str">
        <f t="shared" si="15"/>
        <v>NC_000015.9:g.[78865893=];[78865893=]</v>
      </c>
      <c r="M230" s="3" t="str">
        <f t="shared" si="15"/>
        <v>NC_000015.9:g.[78873993=];[78873993=]</v>
      </c>
    </row>
    <row r="231" spans="1:13" x14ac:dyDescent="0.25">
      <c r="A231" s="26"/>
      <c r="C231" s="3" t="str">
        <f>CONCATENATE("                    variantCall ",CHAR(40),CHAR(34),M230,CHAR(34),CHAR(41))</f>
        <v xml:space="preserve">                    variantCall ("NC_000015.9:g.[78873993=];[78873993=]")</v>
      </c>
      <c r="J231" s="3" t="str">
        <f t="shared" si="15"/>
        <v>Het%</v>
      </c>
      <c r="K231" s="3">
        <f t="shared" si="15"/>
        <v>39.200000000000003</v>
      </c>
      <c r="L231" s="3">
        <f t="shared" si="15"/>
        <v>39.200000000000003</v>
      </c>
      <c r="M231" s="3">
        <f t="shared" si="15"/>
        <v>27.3</v>
      </c>
    </row>
    <row r="232" spans="1:13" x14ac:dyDescent="0.25">
      <c r="A232" s="26"/>
      <c r="C232" s="3" t="str">
        <f>CONCATENATE("                  } &gt; ")</f>
        <v xml:space="preserve">                  } &gt; </v>
      </c>
      <c r="J232" s="3" t="str">
        <f t="shared" si="15"/>
        <v>Homo%</v>
      </c>
      <c r="K232" s="3">
        <f t="shared" si="15"/>
        <v>5.2</v>
      </c>
      <c r="L232" s="3">
        <f t="shared" si="15"/>
        <v>17.899999999999999</v>
      </c>
      <c r="M232" s="3">
        <f t="shared" si="15"/>
        <v>9.5</v>
      </c>
    </row>
    <row r="233" spans="1:13" x14ac:dyDescent="0.25">
      <c r="A233" s="14"/>
      <c r="J233" s="3" t="str">
        <f t="shared" si="15"/>
        <v>Wildtype%</v>
      </c>
      <c r="K233" s="3">
        <f t="shared" si="15"/>
        <v>55.6</v>
      </c>
      <c r="L233" s="3">
        <f t="shared" si="15"/>
        <v>42.9</v>
      </c>
      <c r="M233" s="3">
        <f t="shared" si="15"/>
        <v>63.2</v>
      </c>
    </row>
    <row r="234" spans="1:13" x14ac:dyDescent="0.25">
      <c r="A234" s="14"/>
      <c r="C234" s="3" t="s">
        <v>26</v>
      </c>
    </row>
    <row r="235" spans="1:13" x14ac:dyDescent="0.25">
      <c r="A235" s="14"/>
    </row>
    <row r="236" spans="1:13" x14ac:dyDescent="0.25">
      <c r="A236" s="14"/>
      <c r="C236" s="3" t="str">
        <f>CONCATENATE("    ",B227)</f>
        <v xml:space="preserve">    People with this variant have copies of the [G1192A (Asp398Asn)](https://www.ncbi.nlm.nih.gov/clinvar/variation/17497/), and [A78573551G](https://www.ncbi.nlm.nih.gov/projects/SNP/snp_ref.cgi?rs=6495306) variants. This substitution of a single nucleotide is known as a missense mutation.</v>
      </c>
    </row>
    <row r="237" spans="1:13" x14ac:dyDescent="0.25">
      <c r="A237" s="14"/>
    </row>
    <row r="238" spans="1:13" x14ac:dyDescent="0.25">
      <c r="A238" s="26"/>
      <c r="C238" s="3" t="s">
        <v>29</v>
      </c>
    </row>
    <row r="239" spans="1:13" x14ac:dyDescent="0.25">
      <c r="A239" s="26"/>
    </row>
    <row r="240" spans="1:13" x14ac:dyDescent="0.25">
      <c r="A240" s="26"/>
      <c r="C240" s="3" t="str">
        <f>CONCATENATE(B228)</f>
        <v xml:space="preserve">    There is currently no data on the interaction between these variants.  However, some information exists on the individual variants.
    # What is the effect of G1192A (G;A)?
    This variant controls [cognitive function, working memory, and gray matter volume in the brain](https://www.ncbi.nlm.nih.gov/pubmed/24819610). Males with this variant have faster [information processing](https://www.ncbi.nlm.nih.gov/pubmed/25674902), including [much better behavioral performance, more efficient brain activity, and a larger brain volume.](https://www.ncbi.nlm.nih.gov/pubmed/24819610) Females with this variant exhibit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 greater risk for [lung cancer and COPD](https://www.ncbi.nlm.nih.gov/pubmed/27344179).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v>
      </c>
    </row>
    <row r="241" spans="1:13" x14ac:dyDescent="0.25">
      <c r="A241" s="26"/>
    </row>
    <row r="242" spans="1:13" x14ac:dyDescent="0.25">
      <c r="A242" s="26"/>
      <c r="C242" s="3" t="s">
        <v>30</v>
      </c>
    </row>
    <row r="243" spans="1:13" x14ac:dyDescent="0.25">
      <c r="A243" s="26"/>
    </row>
    <row r="244" spans="1:13" x14ac:dyDescent="0.25">
      <c r="A244" s="26"/>
      <c r="C244" s="3" t="str">
        <f>CONCATENATE( "    &lt;piechart percentage=",B229," /&gt;")</f>
        <v xml:space="preserve">    &lt;piechart percentage= /&gt;</v>
      </c>
    </row>
    <row r="245" spans="1:13" x14ac:dyDescent="0.25">
      <c r="A245" s="26"/>
      <c r="C245" s="3" t="str">
        <f>"  &lt;/Analysis&gt;"</f>
        <v xml:space="preserve">  &lt;/Analysis&gt;</v>
      </c>
      <c r="K245" s="3" t="str">
        <f>K223</f>
        <v>rs16969968</v>
      </c>
      <c r="L245" s="3" t="str">
        <f>L223</f>
        <v>rs3913434</v>
      </c>
      <c r="M245" s="3" t="str">
        <f>M223</f>
        <v>rs270838</v>
      </c>
    </row>
    <row r="246" spans="1:13" s="21" customFormat="1" x14ac:dyDescent="0.25">
      <c r="A246" s="28" t="s">
        <v>70</v>
      </c>
      <c r="B246" s="20" t="str">
        <f>CONCATENATE(B48," and ",B136)</f>
        <v>G1192A (G;A) and A78581651T (A;T)</v>
      </c>
      <c r="C246" s="21" t="str">
        <f>CONCATENATE("&lt;# ",B246," #&gt;")</f>
        <v>&lt;# G1192A (G;A) and A78581651T (A;T) #&gt;</v>
      </c>
      <c r="K246" s="21" t="str">
        <f>K224</f>
        <v>G1192A</v>
      </c>
      <c r="L246" s="21" t="str">
        <f>L224</f>
        <v>A78573551G</v>
      </c>
      <c r="M246" s="21" t="str">
        <f>M224</f>
        <v>A78581651T</v>
      </c>
    </row>
    <row r="247" spans="1:13" x14ac:dyDescent="0.25">
      <c r="A247" s="14" t="s">
        <v>21</v>
      </c>
      <c r="B247" s="15" t="str">
        <f>K140</f>
        <v>NC_000015.9:g.[78882925G&gt;A];[78882925=]</v>
      </c>
      <c r="K247" s="3" t="str">
        <f>K225</f>
        <v>NC_000015.9:g.</v>
      </c>
      <c r="L247" s="3" t="str">
        <f>L225</f>
        <v>NC_000015.9:g.</v>
      </c>
      <c r="M247" s="3" t="str">
        <f>M225</f>
        <v>NC_000015.9:g.</v>
      </c>
    </row>
    <row r="248" spans="1:13" x14ac:dyDescent="0.25">
      <c r="A248" s="14" t="s">
        <v>72</v>
      </c>
      <c r="C248" s="3" t="str">
        <f>CONCATENATE("  &lt;Analysis name=",CHAR(34),B246,CHAR(34))</f>
        <v xml:space="preserve">  &lt;Analysis name="G1192A (G;A) and A78581651T (A;T)"</v>
      </c>
      <c r="J248" s="3" t="str">
        <f>J226</f>
        <v>Variant</v>
      </c>
      <c r="K248" s="3" t="str">
        <f>K226</f>
        <v>[78882925G&gt;A]</v>
      </c>
      <c r="L248" s="3" t="str">
        <f>L226</f>
        <v>[78865893G&gt;A]</v>
      </c>
      <c r="M248" s="3" t="str">
        <f>M226</f>
        <v>[78873993A&gt;T]</v>
      </c>
    </row>
    <row r="249" spans="1:13" x14ac:dyDescent="0.25">
      <c r="A249" s="26" t="s">
        <v>75</v>
      </c>
      <c r="B249" s="15" t="str">
        <f>CONCATENATE("People with this variant have copies of the ",B22," and ",B40," variants. This substitution of a single nucleotide is known as a missense mutation.")</f>
        <v>People with this variant have copies of the [G1192A (Asp398Asn)](https://www.ncbi.nlm.nih.gov/clinvar/variation/17497/) and [A78581651T](https://www.ncbi.nlm.nih.gov/projects/SNP/snp_ref.cgi?rs=7180002) variants. This substitution of a single nucleotide is known as a missense mutation.</v>
      </c>
      <c r="C249" s="3" t="str">
        <f>CONCATENATE("            case={  variantCall ",CHAR(40),CHAR(34),K250,CHAR(34),CHAR(41))</f>
        <v xml:space="preserve">            case={  variantCall ("NC_000015.9:g.[78882925G&gt;A];[78882925=]")</v>
      </c>
      <c r="J249" s="3" t="str">
        <f>J227</f>
        <v>Wildtype</v>
      </c>
      <c r="K249" s="3" t="str">
        <f>K227</f>
        <v>[78882925=]</v>
      </c>
      <c r="L249" s="3" t="str">
        <f>L227</f>
        <v>[78865893=]</v>
      </c>
      <c r="M249" s="3" t="str">
        <f>M227</f>
        <v>[78873993=]</v>
      </c>
    </row>
    <row r="250" spans="1:13" x14ac:dyDescent="0.25">
      <c r="A250" s="26" t="s">
        <v>28</v>
      </c>
      <c r="B250" s="15" t="s">
        <v>204</v>
      </c>
      <c r="C250" s="3" t="s">
        <v>71</v>
      </c>
      <c r="J250" s="3" t="str">
        <f>J228</f>
        <v>Het</v>
      </c>
      <c r="K250" s="3" t="str">
        <f>K228</f>
        <v>NC_000015.9:g.[78882925G&gt;A];[78882925=]</v>
      </c>
      <c r="L250" s="3" t="str">
        <f>L228</f>
        <v>NC_000015.9:g.[78865893G&gt;A];[78865893=]</v>
      </c>
      <c r="M250" s="3" t="str">
        <f>M228</f>
        <v>NC_000015.9:g.[78873993A&gt;T];[78873993=]</v>
      </c>
    </row>
    <row r="251" spans="1:13" x14ac:dyDescent="0.25">
      <c r="A251" s="26" t="s">
        <v>73</v>
      </c>
      <c r="C251" s="3" t="str">
        <f>CONCATENATE("                    variantCall ",CHAR(40),CHAR(34),L252,CHAR(34),CHAR(41))</f>
        <v xml:space="preserve">                    variantCall ("NC_000015.9:g.[78865893=];[78865893=]")</v>
      </c>
      <c r="J251" s="3" t="str">
        <f>J229</f>
        <v>Homo</v>
      </c>
      <c r="K251" s="3" t="str">
        <f>K229</f>
        <v>NC_000015.9:g.[78882925G&gt;A];[78882925G&gt;A]</v>
      </c>
      <c r="L251" s="3" t="str">
        <f>L229</f>
        <v>NC_000015.9:g.[78865893G&gt;A];[78865893G&gt;A]</v>
      </c>
      <c r="M251" s="3" t="str">
        <f>M229</f>
        <v>NC_000015.9:g.[78873993A&gt;T];[78873993A&gt;T]</v>
      </c>
    </row>
    <row r="252" spans="1:13" x14ac:dyDescent="0.25">
      <c r="A252" s="26"/>
      <c r="C252" s="3" t="s">
        <v>71</v>
      </c>
      <c r="J252" s="3" t="str">
        <f>J230</f>
        <v>Wildtype</v>
      </c>
      <c r="K252" s="3" t="str">
        <f>K230</f>
        <v>NC_000015.9:g.[78882925=];[78882925=]</v>
      </c>
      <c r="L252" s="3" t="str">
        <f>L230</f>
        <v>NC_000015.9:g.[78865893=];[78865893=]</v>
      </c>
      <c r="M252" s="3" t="str">
        <f>M230</f>
        <v>NC_000015.9:g.[78873993=];[78873993=]</v>
      </c>
    </row>
    <row r="253" spans="1:13" x14ac:dyDescent="0.25">
      <c r="A253" s="26"/>
      <c r="C253" s="3" t="str">
        <f>CONCATENATE("                    ",CHAR(40),"variantCall ",CHAR(40),CHAR(34),M250,CHAR(34),CHAR(41)," or variantCall ",CHAR(40),CHAR(34),M251,CHAR(34),CHAR(41),CHAR(41))</f>
        <v xml:space="preserve">                    (variantCall ("NC_000015.9:g.[78873993A&gt;T];[78873993=]") or variantCall ("NC_000015.9:g.[78873993A&gt;T];[78873993A&gt;T]"))</v>
      </c>
      <c r="J253" s="3" t="str">
        <f>J231</f>
        <v>Het%</v>
      </c>
      <c r="K253" s="3">
        <f>K231</f>
        <v>39.200000000000003</v>
      </c>
      <c r="L253" s="3">
        <f>L231</f>
        <v>39.200000000000003</v>
      </c>
      <c r="M253" s="3">
        <f>M231</f>
        <v>27.3</v>
      </c>
    </row>
    <row r="254" spans="1:13" x14ac:dyDescent="0.25">
      <c r="A254" s="26"/>
      <c r="C254" s="3" t="str">
        <f>CONCATENATE("                  } &gt; ")</f>
        <v xml:space="preserve">                  } &gt; </v>
      </c>
      <c r="J254" s="3" t="str">
        <f>J232</f>
        <v>Homo%</v>
      </c>
      <c r="K254" s="3">
        <f>K232</f>
        <v>5.2</v>
      </c>
      <c r="L254" s="3">
        <f>L232</f>
        <v>17.899999999999999</v>
      </c>
      <c r="M254" s="3">
        <f>M232</f>
        <v>9.5</v>
      </c>
    </row>
    <row r="255" spans="1:13" x14ac:dyDescent="0.25">
      <c r="A255" s="14"/>
      <c r="J255" s="3" t="str">
        <f>J233</f>
        <v>Wildtype%</v>
      </c>
      <c r="K255" s="3">
        <f>K233</f>
        <v>55.6</v>
      </c>
      <c r="L255" s="3">
        <f>L233</f>
        <v>42.9</v>
      </c>
      <c r="M255" s="3">
        <f>M233</f>
        <v>63.2</v>
      </c>
    </row>
    <row r="256" spans="1:13" x14ac:dyDescent="0.25">
      <c r="A256" s="14"/>
      <c r="C256" s="3" t="s">
        <v>26</v>
      </c>
    </row>
    <row r="257" spans="1:13" x14ac:dyDescent="0.25">
      <c r="A257" s="14"/>
    </row>
    <row r="258" spans="1:13" x14ac:dyDescent="0.25">
      <c r="A258" s="14"/>
      <c r="C258" s="3" t="str">
        <f>CONCATENATE("    ",B249)</f>
        <v xml:space="preserve">    People with this variant have copies of the [G1192A (Asp398Asn)](https://www.ncbi.nlm.nih.gov/clinvar/variation/17497/) and [A78581651T](https://www.ncbi.nlm.nih.gov/projects/SNP/snp_ref.cgi?rs=7180002) variants. This substitution of a single nucleotide is known as a missense mutation.</v>
      </c>
    </row>
    <row r="259" spans="1:13" x14ac:dyDescent="0.25">
      <c r="A259" s="14"/>
    </row>
    <row r="260" spans="1:13" x14ac:dyDescent="0.25">
      <c r="A260" s="26"/>
      <c r="C260" s="3" t="s">
        <v>29</v>
      </c>
    </row>
    <row r="261" spans="1:13" x14ac:dyDescent="0.25">
      <c r="A261" s="26"/>
    </row>
    <row r="262" spans="1:13" x14ac:dyDescent="0.25">
      <c r="A262" s="26"/>
      <c r="C262" s="3" t="str">
        <f>CONCATENATE(B250)</f>
        <v xml:space="preserve">    There is currently no data on the interaction between these variants.  However, some information exists on the individual variants.
    # What is the effect of G1192A (G;A)?
    This variant controls [cognitive function, working memory, and gray matter volume in the brain](https://www.ncbi.nlm.nih.gov/pubmed/24819610). Males with this variant have faster [information processing](https://www.ncbi.nlm.nih.gov/pubmed/25674902), including [much better behavioral performance, more efficient brain activity, and a larger brain volume.](https://www.ncbi.nlm.nih.gov/pubmed/24819610) Females with this variant exhibit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 greater risk for [lung cancer and COPD](https://www.ncbi.nlm.nih.gov/pubmed/27344179).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v>
      </c>
    </row>
    <row r="263" spans="1:13" x14ac:dyDescent="0.25">
      <c r="A263" s="26"/>
    </row>
    <row r="264" spans="1:13" x14ac:dyDescent="0.25">
      <c r="A264" s="26"/>
      <c r="C264" s="3" t="s">
        <v>30</v>
      </c>
    </row>
    <row r="265" spans="1:13" x14ac:dyDescent="0.25">
      <c r="A265" s="26"/>
    </row>
    <row r="266" spans="1:13" x14ac:dyDescent="0.25">
      <c r="A266" s="26"/>
      <c r="C266" s="3" t="str">
        <f>CONCATENATE( "    &lt;piechart percentage=",B251," /&gt;")</f>
        <v xml:space="preserve">    &lt;piechart percentage= /&gt;</v>
      </c>
    </row>
    <row r="267" spans="1:13" x14ac:dyDescent="0.25">
      <c r="A267" s="26"/>
      <c r="C267" s="3" t="str">
        <f>"  &lt;/Analysis&gt;"</f>
        <v xml:space="preserve">  &lt;/Analysis&gt;</v>
      </c>
      <c r="K267" s="3" t="str">
        <f t="shared" ref="K267:M269" si="16">K245</f>
        <v>rs16969968</v>
      </c>
      <c r="L267" s="3" t="str">
        <f t="shared" si="16"/>
        <v>rs3913434</v>
      </c>
      <c r="M267" s="3" t="str">
        <f t="shared" si="16"/>
        <v>rs270838</v>
      </c>
    </row>
    <row r="268" spans="1:13" s="21" customFormat="1" x14ac:dyDescent="0.25">
      <c r="A268" s="28" t="s">
        <v>70</v>
      </c>
      <c r="B268" s="20" t="str">
        <f>CONCATENATE(B70," and ",B92)</f>
        <v>G1192A (A;A) and A78573551G (A;G)</v>
      </c>
      <c r="C268" s="21" t="str">
        <f>CONCATENATE("&lt;# ",B268," #&gt;")</f>
        <v>&lt;# G1192A (A;A) and A78573551G (A;G) #&gt;</v>
      </c>
      <c r="K268" s="21" t="str">
        <f t="shared" si="16"/>
        <v>G1192A</v>
      </c>
      <c r="L268" s="21" t="str">
        <f t="shared" si="16"/>
        <v>A78573551G</v>
      </c>
      <c r="M268" s="21" t="str">
        <f t="shared" si="16"/>
        <v>A78581651T</v>
      </c>
    </row>
    <row r="269" spans="1:13" x14ac:dyDescent="0.25">
      <c r="A269" s="14" t="s">
        <v>21</v>
      </c>
      <c r="B269" s="15" t="str">
        <f>K184</f>
        <v>NC_000015.9:g.[78882925G&gt;A];[78882925=]</v>
      </c>
      <c r="K269" s="3" t="str">
        <f t="shared" si="16"/>
        <v>NC_000015.9:g.</v>
      </c>
      <c r="L269" s="3" t="str">
        <f t="shared" si="16"/>
        <v>NC_000015.9:g.</v>
      </c>
      <c r="M269" s="3" t="str">
        <f t="shared" si="16"/>
        <v>NC_000015.9:g.</v>
      </c>
    </row>
    <row r="270" spans="1:13" x14ac:dyDescent="0.25">
      <c r="A270" s="14" t="s">
        <v>72</v>
      </c>
      <c r="C270" s="3" t="str">
        <f>CONCATENATE("  &lt;Analysis name=",CHAR(34),B268,CHAR(34))</f>
        <v xml:space="preserve">  &lt;Analysis name="G1192A (A;A) and A78573551G (A;G)"</v>
      </c>
      <c r="J270" s="3" t="str">
        <f t="shared" ref="J270:M277" si="17">J248</f>
        <v>Variant</v>
      </c>
      <c r="K270" s="3" t="str">
        <f t="shared" si="17"/>
        <v>[78882925G&gt;A]</v>
      </c>
      <c r="L270" s="3" t="str">
        <f t="shared" si="17"/>
        <v>[78865893G&gt;A]</v>
      </c>
      <c r="M270" s="3" t="str">
        <f t="shared" si="17"/>
        <v>[78873993A&gt;T]</v>
      </c>
    </row>
    <row r="271" spans="1:13" x14ac:dyDescent="0.25">
      <c r="A271" s="26" t="s">
        <v>75</v>
      </c>
      <c r="B271" s="15" t="str">
        <f>CONCATENATE("People with this variant have copies of the ",B22," variant and one copy of the ",B31," variant. This substitution of a single nucleotide is known as a missense mutation.")</f>
        <v>People with this variant have copies of the [G1192A (Asp398Asn)](https://www.ncbi.nlm.nih.gov/clinvar/variation/17497/) variant and one copy of the [A78573551G](https://www.ncbi.nlm.nih.gov/projects/SNP/snp_ref.cgi?rs=6495306) variant. This substitution of a single nucleotide is known as a missense mutation.</v>
      </c>
      <c r="C271" s="3" t="str">
        <f>CONCATENATE("            case={  variantCall ",CHAR(40),CHAR(34),K272,CHAR(34),CHAR(41))</f>
        <v xml:space="preserve">            case={  variantCall ("NC_000015.9:g.[78882925G&gt;A];[78882925=]")</v>
      </c>
      <c r="J271" s="3" t="str">
        <f t="shared" si="17"/>
        <v>Wildtype</v>
      </c>
      <c r="K271" s="3" t="str">
        <f t="shared" si="17"/>
        <v>[78882925=]</v>
      </c>
      <c r="L271" s="3" t="str">
        <f t="shared" si="17"/>
        <v>[78865893=]</v>
      </c>
      <c r="M271" s="3" t="str">
        <f t="shared" si="17"/>
        <v>[78873993=]</v>
      </c>
    </row>
    <row r="272" spans="1:13" x14ac:dyDescent="0.25">
      <c r="A272" s="26" t="s">
        <v>28</v>
      </c>
      <c r="B272" s="15" t="s">
        <v>203</v>
      </c>
      <c r="C272" s="3" t="s">
        <v>71</v>
      </c>
      <c r="J272" s="3" t="str">
        <f t="shared" si="17"/>
        <v>Het</v>
      </c>
      <c r="K272" s="3" t="str">
        <f t="shared" si="17"/>
        <v>NC_000015.9:g.[78882925G&gt;A];[78882925=]</v>
      </c>
      <c r="L272" s="3" t="str">
        <f t="shared" si="17"/>
        <v>NC_000015.9:g.[78865893G&gt;A];[78865893=]</v>
      </c>
      <c r="M272" s="3" t="str">
        <f t="shared" si="17"/>
        <v>NC_000015.9:g.[78873993A&gt;T];[78873993=]</v>
      </c>
    </row>
    <row r="273" spans="1:13" x14ac:dyDescent="0.25">
      <c r="A273" s="26" t="s">
        <v>73</v>
      </c>
      <c r="C273" s="3" t="str">
        <f>CONCATENATE("                    ",CHAR(40),"variantCall ",CHAR(40),CHAR(34),L272,CHAR(34),CHAR(41)," or variantCall ",CHAR(40),CHAR(34),L273,CHAR(34),CHAR(41),CHAR(41))</f>
        <v xml:space="preserve">                    (variantCall ("NC_000015.9:g.[78865893G&gt;A];[78865893=]") or variantCall ("NC_000015.9:g.[78865893G&gt;A];[78865893G&gt;A]"))</v>
      </c>
      <c r="J273" s="3" t="str">
        <f t="shared" si="17"/>
        <v>Homo</v>
      </c>
      <c r="K273" s="3" t="str">
        <f t="shared" si="17"/>
        <v>NC_000015.9:g.[78882925G&gt;A];[78882925G&gt;A]</v>
      </c>
      <c r="L273" s="3" t="str">
        <f t="shared" si="17"/>
        <v>NC_000015.9:g.[78865893G&gt;A];[78865893G&gt;A]</v>
      </c>
      <c r="M273" s="3" t="str">
        <f t="shared" si="17"/>
        <v>NC_000015.9:g.[78873993A&gt;T];[78873993A&gt;T]</v>
      </c>
    </row>
    <row r="274" spans="1:13" x14ac:dyDescent="0.25">
      <c r="A274" s="26"/>
      <c r="C274" s="3" t="s">
        <v>71</v>
      </c>
      <c r="J274" s="3" t="str">
        <f t="shared" si="17"/>
        <v>Wildtype</v>
      </c>
      <c r="K274" s="3" t="str">
        <f t="shared" si="17"/>
        <v>NC_000015.9:g.[78882925=];[78882925=]</v>
      </c>
      <c r="L274" s="3" t="str">
        <f t="shared" si="17"/>
        <v>NC_000015.9:g.[78865893=];[78865893=]</v>
      </c>
      <c r="M274" s="3" t="str">
        <f t="shared" si="17"/>
        <v>NC_000015.9:g.[78873993=];[78873993=]</v>
      </c>
    </row>
    <row r="275" spans="1:13" x14ac:dyDescent="0.25">
      <c r="A275" s="26"/>
      <c r="C275" s="3" t="str">
        <f>CONCATENATE("                    variantCall ",CHAR(40),CHAR(34),M274,CHAR(34),CHAR(41))</f>
        <v xml:space="preserve">                    variantCall ("NC_000015.9:g.[78873993=];[78873993=]")</v>
      </c>
      <c r="J275" s="3" t="str">
        <f t="shared" si="17"/>
        <v>Het%</v>
      </c>
      <c r="K275" s="3">
        <f t="shared" si="17"/>
        <v>39.200000000000003</v>
      </c>
      <c r="L275" s="3">
        <f t="shared" si="17"/>
        <v>39.200000000000003</v>
      </c>
      <c r="M275" s="3">
        <f t="shared" si="17"/>
        <v>27.3</v>
      </c>
    </row>
    <row r="276" spans="1:13" x14ac:dyDescent="0.25">
      <c r="A276" s="26"/>
      <c r="C276" s="3" t="str">
        <f>CONCATENATE("                  } &gt; ")</f>
        <v xml:space="preserve">                  } &gt; </v>
      </c>
      <c r="J276" s="3" t="str">
        <f t="shared" si="17"/>
        <v>Homo%</v>
      </c>
      <c r="K276" s="3">
        <f t="shared" si="17"/>
        <v>5.2</v>
      </c>
      <c r="L276" s="3">
        <f t="shared" si="17"/>
        <v>17.899999999999999</v>
      </c>
      <c r="M276" s="3">
        <f t="shared" si="17"/>
        <v>9.5</v>
      </c>
    </row>
    <row r="277" spans="1:13" x14ac:dyDescent="0.25">
      <c r="A277" s="14"/>
      <c r="J277" s="3" t="str">
        <f t="shared" si="17"/>
        <v>Wildtype%</v>
      </c>
      <c r="K277" s="3">
        <f t="shared" si="17"/>
        <v>55.6</v>
      </c>
      <c r="L277" s="3">
        <f t="shared" si="17"/>
        <v>42.9</v>
      </c>
      <c r="M277" s="3">
        <f t="shared" si="17"/>
        <v>63.2</v>
      </c>
    </row>
    <row r="278" spans="1:13" x14ac:dyDescent="0.25">
      <c r="A278" s="14"/>
      <c r="C278" s="3" t="s">
        <v>26</v>
      </c>
    </row>
    <row r="279" spans="1:13" x14ac:dyDescent="0.25">
      <c r="A279" s="14"/>
    </row>
    <row r="280" spans="1:13" x14ac:dyDescent="0.25">
      <c r="A280" s="14"/>
      <c r="C280" s="3" t="str">
        <f>CONCATENATE("    ",B271)</f>
        <v xml:space="preserve">    People with this variant have copies of the [G1192A (Asp398Asn)](https://www.ncbi.nlm.nih.gov/clinvar/variation/17497/) variant and one copy of the [A78573551G](https://www.ncbi.nlm.nih.gov/projects/SNP/snp_ref.cgi?rs=6495306) variant. This substitution of a single nucleotide is known as a missense mutation.</v>
      </c>
    </row>
    <row r="281" spans="1:13" x14ac:dyDescent="0.25">
      <c r="A281" s="14"/>
    </row>
    <row r="282" spans="1:13" x14ac:dyDescent="0.25">
      <c r="A282" s="26"/>
      <c r="C282" s="3" t="s">
        <v>29</v>
      </c>
    </row>
    <row r="283" spans="1:13" x14ac:dyDescent="0.25">
      <c r="A283" s="26"/>
    </row>
    <row r="284" spans="1:13" x14ac:dyDescent="0.25">
      <c r="A284" s="26"/>
      <c r="C284" s="3" t="str">
        <f>CONCATENATE(B272)</f>
        <v xml:space="preserve">    There is currently no data on the interaction between these variants.  However, some information exists on the individual variants.
    # What is the effect of G1192A (A;A)?
    This variant controls [cognitive function, working memory, and gray matter volume in the brain](https://www.ncbi.nlm.nih.gov/pubmed/24819610). Males with this variant have much faster [information processing](https://www.ncbi.nlm.nih.gov/pubmed/25674902), including [much better behavioral performance, more efficient brain activity, and a larger brain volume.](https://www.ncbi.nlm.nih.gov/pubmed/24819610) Females with this variant exhibit much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an elevated risk and earlier onset of [lung cancer](https://www.ncbi.nlm.nih.gov/pubmed/27543155), [COPD](https://www.ncbi.nlm.nih.gov/pubmed/26771213) and [newborn lung and breathing problems](https://www.ncbi.nlm.nih.gov/pubmed/24838476) in the children of smoking mothers.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Consult your physician on [medications](http://www.uniprot.org/uniprot/P30532#pathology_and_biotech) that act on variants in CHRNA5, including [Ethanol](https://www.drugbank.ca/drugs/DB00898), [Galantamine](https://www.drugbank.ca/drugs/DB00674), and [nicotine](https://www.drugbank.ca/drugs/DB00184).</v>
      </c>
    </row>
    <row r="285" spans="1:13" x14ac:dyDescent="0.25">
      <c r="A285" s="26"/>
    </row>
    <row r="286" spans="1:13" x14ac:dyDescent="0.25">
      <c r="A286" s="26"/>
      <c r="C286" s="3" t="s">
        <v>30</v>
      </c>
    </row>
    <row r="287" spans="1:13" x14ac:dyDescent="0.25">
      <c r="A287" s="26"/>
    </row>
    <row r="288" spans="1:13" x14ac:dyDescent="0.25">
      <c r="A288" s="26"/>
      <c r="C288" s="3" t="str">
        <f>CONCATENATE( "    &lt;piechart percentage=",B273," /&gt;")</f>
        <v xml:space="preserve">    &lt;piechart percentage= /&gt;</v>
      </c>
    </row>
    <row r="289" spans="1:13" x14ac:dyDescent="0.25">
      <c r="A289" s="26"/>
      <c r="C289" s="3" t="str">
        <f>"  &lt;/Analysis&gt;"</f>
        <v xml:space="preserve">  &lt;/Analysis&gt;</v>
      </c>
      <c r="K289" s="3" t="str">
        <f t="shared" ref="K289:M291" si="18">K267</f>
        <v>rs16969968</v>
      </c>
      <c r="L289" s="3" t="str">
        <f t="shared" si="18"/>
        <v>rs3913434</v>
      </c>
      <c r="M289" s="3" t="str">
        <f t="shared" si="18"/>
        <v>rs270838</v>
      </c>
    </row>
    <row r="290" spans="1:13" s="21" customFormat="1" x14ac:dyDescent="0.25">
      <c r="A290" s="28" t="s">
        <v>70</v>
      </c>
      <c r="B290" s="20" t="str">
        <f>CONCATENATE(B70," and ",B136)</f>
        <v>G1192A (A;A) and A78581651T (A;T)</v>
      </c>
      <c r="C290" s="21" t="str">
        <f>CONCATENATE("&lt;# ",B290," #&gt;")</f>
        <v>&lt;# G1192A (A;A) and A78581651T (A;T) #&gt;</v>
      </c>
      <c r="K290" s="21" t="str">
        <f t="shared" si="18"/>
        <v>G1192A</v>
      </c>
      <c r="L290" s="21" t="str">
        <f t="shared" si="18"/>
        <v>A78573551G</v>
      </c>
      <c r="M290" s="21" t="str">
        <f t="shared" si="18"/>
        <v>A78581651T</v>
      </c>
    </row>
    <row r="291" spans="1:13" x14ac:dyDescent="0.25">
      <c r="A291" s="14" t="s">
        <v>21</v>
      </c>
      <c r="B291" s="15" t="str">
        <f>K206</f>
        <v>NC_000015.9:g.[78882925G&gt;A];[78882925=]</v>
      </c>
      <c r="K291" s="3" t="str">
        <f t="shared" si="18"/>
        <v>NC_000015.9:g.</v>
      </c>
      <c r="L291" s="3" t="str">
        <f t="shared" si="18"/>
        <v>NC_000015.9:g.</v>
      </c>
      <c r="M291" s="3" t="str">
        <f t="shared" si="18"/>
        <v>NC_000015.9:g.</v>
      </c>
    </row>
    <row r="292" spans="1:13" x14ac:dyDescent="0.25">
      <c r="A292" s="14" t="s">
        <v>72</v>
      </c>
      <c r="C292" s="3" t="str">
        <f>CONCATENATE("  &lt;Analysis name=",CHAR(34),B290,CHAR(34))</f>
        <v xml:space="preserve">  &lt;Analysis name="G1192A (A;A) and A78581651T (A;T)"</v>
      </c>
      <c r="J292" s="3" t="str">
        <f t="shared" ref="J292:M299" si="19">J270</f>
        <v>Variant</v>
      </c>
      <c r="K292" s="3" t="str">
        <f t="shared" si="19"/>
        <v>[78882925G&gt;A]</v>
      </c>
      <c r="L292" s="3" t="str">
        <f t="shared" si="19"/>
        <v>[78865893G&gt;A]</v>
      </c>
      <c r="M292" s="3" t="str">
        <f t="shared" si="19"/>
        <v>[78873993A&gt;T]</v>
      </c>
    </row>
    <row r="293" spans="1:13" x14ac:dyDescent="0.25">
      <c r="A293" s="26" t="s">
        <v>75</v>
      </c>
      <c r="B293" s="15" t="str">
        <f>CONCATENATE("People with this variant have copies of the ",B22," variant and one copy of the ",B40," variant. This substitution of a single nucleotide is known as a missense mutation.")</f>
        <v>People with this variant have copies of the [G1192A (Asp398Asn)](https://www.ncbi.nlm.nih.gov/clinvar/variation/17497/) variant and one copy of the [A78581651T](https://www.ncbi.nlm.nih.gov/projects/SNP/snp_ref.cgi?rs=7180002) variant. This substitution of a single nucleotide is known as a missense mutation.</v>
      </c>
      <c r="C293" s="3" t="str">
        <f>CONCATENATE("            case={  variantCall ",CHAR(40),CHAR(34),K294,CHAR(34),CHAR(41))</f>
        <v xml:space="preserve">            case={  variantCall ("NC_000015.9:g.[78882925G&gt;A];[78882925=]")</v>
      </c>
      <c r="J293" s="3" t="str">
        <f t="shared" si="19"/>
        <v>Wildtype</v>
      </c>
      <c r="K293" s="3" t="str">
        <f t="shared" si="19"/>
        <v>[78882925=]</v>
      </c>
      <c r="L293" s="3" t="str">
        <f t="shared" si="19"/>
        <v>[78865893=]</v>
      </c>
      <c r="M293" s="3" t="str">
        <f t="shared" si="19"/>
        <v>[78873993=]</v>
      </c>
    </row>
    <row r="294" spans="1:13" x14ac:dyDescent="0.25">
      <c r="A294" s="26" t="s">
        <v>28</v>
      </c>
      <c r="B294" s="15" t="s">
        <v>201</v>
      </c>
      <c r="C294" s="3" t="s">
        <v>71</v>
      </c>
      <c r="J294" s="3" t="str">
        <f t="shared" si="19"/>
        <v>Het</v>
      </c>
      <c r="K294" s="3" t="str">
        <f t="shared" si="19"/>
        <v>NC_000015.9:g.[78882925G&gt;A];[78882925=]</v>
      </c>
      <c r="L294" s="3" t="str">
        <f t="shared" si="19"/>
        <v>NC_000015.9:g.[78865893G&gt;A];[78865893=]</v>
      </c>
      <c r="M294" s="3" t="str">
        <f t="shared" si="19"/>
        <v>NC_000015.9:g.[78873993A&gt;T];[78873993=]</v>
      </c>
    </row>
    <row r="295" spans="1:13" x14ac:dyDescent="0.25">
      <c r="A295" s="26" t="s">
        <v>73</v>
      </c>
      <c r="C295" s="3" t="str">
        <f>CONCATENATE("                    variantCall ",CHAR(40),CHAR(34),L296,CHAR(34),CHAR(41))</f>
        <v xml:space="preserve">                    variantCall ("NC_000015.9:g.[78865893=];[78865893=]")</v>
      </c>
      <c r="J295" s="3" t="str">
        <f t="shared" si="19"/>
        <v>Homo</v>
      </c>
      <c r="K295" s="3" t="str">
        <f t="shared" si="19"/>
        <v>NC_000015.9:g.[78882925G&gt;A];[78882925G&gt;A]</v>
      </c>
      <c r="L295" s="3" t="str">
        <f t="shared" si="19"/>
        <v>NC_000015.9:g.[78865893G&gt;A];[78865893G&gt;A]</v>
      </c>
      <c r="M295" s="3" t="str">
        <f t="shared" si="19"/>
        <v>NC_000015.9:g.[78873993A&gt;T];[78873993A&gt;T]</v>
      </c>
    </row>
    <row r="296" spans="1:13" x14ac:dyDescent="0.25">
      <c r="A296" s="26"/>
      <c r="C296" s="3" t="s">
        <v>71</v>
      </c>
      <c r="J296" s="3" t="str">
        <f t="shared" si="19"/>
        <v>Wildtype</v>
      </c>
      <c r="K296" s="3" t="str">
        <f t="shared" si="19"/>
        <v>NC_000015.9:g.[78882925=];[78882925=]</v>
      </c>
      <c r="L296" s="3" t="str">
        <f t="shared" si="19"/>
        <v>NC_000015.9:g.[78865893=];[78865893=]</v>
      </c>
      <c r="M296" s="3" t="str">
        <f t="shared" si="19"/>
        <v>NC_000015.9:g.[78873993=];[78873993=]</v>
      </c>
    </row>
    <row r="297" spans="1:13" x14ac:dyDescent="0.25">
      <c r="A297" s="26"/>
      <c r="C297" s="3" t="str">
        <f>CONCATENATE("                    ",CHAR(40),"variantCall ",CHAR(40),CHAR(34),M294,CHAR(34),CHAR(41)," or variantCall ",CHAR(40),CHAR(34),M295,CHAR(34),CHAR(41),CHAR(41))</f>
        <v xml:space="preserve">                    (variantCall ("NC_000015.9:g.[78873993A&gt;T];[78873993=]") or variantCall ("NC_000015.9:g.[78873993A&gt;T];[78873993A&gt;T]"))</v>
      </c>
      <c r="J297" s="3" t="str">
        <f t="shared" si="19"/>
        <v>Het%</v>
      </c>
      <c r="K297" s="3">
        <f t="shared" si="19"/>
        <v>39.200000000000003</v>
      </c>
      <c r="L297" s="3">
        <f t="shared" si="19"/>
        <v>39.200000000000003</v>
      </c>
      <c r="M297" s="3">
        <f t="shared" si="19"/>
        <v>27.3</v>
      </c>
    </row>
    <row r="298" spans="1:13" x14ac:dyDescent="0.25">
      <c r="A298" s="26"/>
      <c r="C298" s="3" t="str">
        <f>CONCATENATE("                  } &gt; ")</f>
        <v xml:space="preserve">                  } &gt; </v>
      </c>
      <c r="J298" s="3" t="str">
        <f t="shared" si="19"/>
        <v>Homo%</v>
      </c>
      <c r="K298" s="3">
        <f t="shared" si="19"/>
        <v>5.2</v>
      </c>
      <c r="L298" s="3">
        <f t="shared" si="19"/>
        <v>17.899999999999999</v>
      </c>
      <c r="M298" s="3">
        <f t="shared" si="19"/>
        <v>9.5</v>
      </c>
    </row>
    <row r="299" spans="1:13" x14ac:dyDescent="0.25">
      <c r="A299" s="14"/>
      <c r="J299" s="3" t="str">
        <f t="shared" si="19"/>
        <v>Wildtype%</v>
      </c>
      <c r="K299" s="3">
        <f t="shared" si="19"/>
        <v>55.6</v>
      </c>
      <c r="L299" s="3">
        <f t="shared" si="19"/>
        <v>42.9</v>
      </c>
      <c r="M299" s="3">
        <f t="shared" si="19"/>
        <v>63.2</v>
      </c>
    </row>
    <row r="300" spans="1:13" x14ac:dyDescent="0.25">
      <c r="A300" s="14"/>
      <c r="C300" s="3" t="s">
        <v>26</v>
      </c>
    </row>
    <row r="301" spans="1:13" x14ac:dyDescent="0.25">
      <c r="A301" s="14"/>
    </row>
    <row r="302" spans="1:13" x14ac:dyDescent="0.25">
      <c r="A302" s="14"/>
      <c r="C302" s="3" t="str">
        <f>CONCATENATE("    ",B293)</f>
        <v xml:space="preserve">    People with this variant have copies of the [G1192A (Asp398Asn)](https://www.ncbi.nlm.nih.gov/clinvar/variation/17497/) variant and one copy of the [A78581651T](https://www.ncbi.nlm.nih.gov/projects/SNP/snp_ref.cgi?rs=7180002) variant. This substitution of a single nucleotide is known as a missense mutation.</v>
      </c>
    </row>
    <row r="303" spans="1:13" x14ac:dyDescent="0.25">
      <c r="A303" s="14"/>
    </row>
    <row r="304" spans="1:13" x14ac:dyDescent="0.25">
      <c r="A304" s="26"/>
      <c r="C304" s="3" t="s">
        <v>29</v>
      </c>
    </row>
    <row r="305" spans="1:13" x14ac:dyDescent="0.25">
      <c r="A305" s="26"/>
    </row>
    <row r="306" spans="1:13" x14ac:dyDescent="0.25">
      <c r="A306" s="26"/>
      <c r="C306" s="3" t="str">
        <f>CONCATENATE(B294)</f>
        <v xml:space="preserve">    There is currently no data on the interaction between these variants.  However, some information exists on the individual variants.
    # What is the effect of G1192A (A;A)?
    This variant controls [cognitive function, working memory, and gray matter volume in the brain](https://www.ncbi.nlm.nih.gov/pubmed/24819610). Males with this variant have much faster [information processing](https://www.ncbi.nlm.nih.gov/pubmed/25674902), including [much better behavioral performance, more efficient brain activity, and a larger brain volume.](https://www.ncbi.nlm.nih.gov/pubmed/24819610) Females with this variant exhibit much slower information processing, which may worsen ME/CFS cognition issues. [The brain’s control of vision is also impaired](https://www.ncbi.nlm.nih.gov/pubmed/24934182), which may worsen ME/CFS related vision issues. 
    The brain changes caused by this variant is the [strongest genetic risk factor for developing nicotine dependence in African Americans and Caucasians](https://www.ncbi.nlm.nih.gov/pubmed/26239294). It may cause difficulties with smoking cessation and increases the number of [cigarettes smoked per day](https://www.ncbi.nlm.nih.gov/pubmed/27344179). People are [15% less likely](https://www.ncbi.nlm.nih.gov/pubmed/24727484) to be able to quit smoking and respond worse to [nicotine replacement therapy(NRT)](https://www.ncbi.nlm.nih.gov/pubmed/28884473). This may be caused due to the variant [increasing the pleasure and mental stimulation experienced after smoking, as well as withdrawal severity](https://www.ncbi.nlm.nih.gov/pubmed/25948103). This variant is also associated with an elevated risk and earlier onset of [lung cancer](https://www.ncbi.nlm.nih.gov/pubmed/27543155), [COPD](https://www.ncbi.nlm.nih.gov/pubmed/26771213) and [newborn lung and breathing problems](https://www.ncbi.nlm.nih.gov/pubmed/24838476) in the children of smoking mothers.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v>
      </c>
    </row>
    <row r="307" spans="1:13" x14ac:dyDescent="0.25">
      <c r="A307" s="26"/>
    </row>
    <row r="308" spans="1:13" x14ac:dyDescent="0.25">
      <c r="A308" s="26"/>
      <c r="C308" s="3" t="s">
        <v>30</v>
      </c>
    </row>
    <row r="309" spans="1:13" x14ac:dyDescent="0.25">
      <c r="A309" s="26"/>
    </row>
    <row r="310" spans="1:13" x14ac:dyDescent="0.25">
      <c r="A310" s="26"/>
      <c r="C310" s="3" t="str">
        <f>CONCATENATE( "    &lt;piechart percentage=",B295," /&gt;")</f>
        <v xml:space="preserve">    &lt;piechart percentage= /&gt;</v>
      </c>
    </row>
    <row r="311" spans="1:13" x14ac:dyDescent="0.25">
      <c r="A311" s="26"/>
      <c r="C311" s="3" t="str">
        <f>"  &lt;/Analysis&gt;"</f>
        <v xml:space="preserve">  &lt;/Analysis&gt;</v>
      </c>
      <c r="K311" s="3" t="str">
        <f t="shared" ref="K311:M313" si="20">K289</f>
        <v>rs16969968</v>
      </c>
      <c r="L311" s="3" t="str">
        <f t="shared" si="20"/>
        <v>rs3913434</v>
      </c>
      <c r="M311" s="3" t="str">
        <f t="shared" si="20"/>
        <v>rs270838</v>
      </c>
    </row>
    <row r="312" spans="1:13" s="21" customFormat="1" x14ac:dyDescent="0.25">
      <c r="A312" s="28" t="s">
        <v>70</v>
      </c>
      <c r="B312" s="20" t="str">
        <f>CONCATENATE(B92," and ",B136)</f>
        <v>A78573551G (A;G) and A78581651T (A;T)</v>
      </c>
      <c r="C312" s="21" t="str">
        <f>CONCATENATE("&lt;# ",B312," #&gt;")</f>
        <v>&lt;# A78573551G (A;G) and A78581651T (A;T) #&gt;</v>
      </c>
      <c r="K312" s="21" t="str">
        <f t="shared" si="20"/>
        <v>G1192A</v>
      </c>
      <c r="L312" s="21" t="str">
        <f t="shared" si="20"/>
        <v>A78573551G</v>
      </c>
      <c r="M312" s="21" t="str">
        <f t="shared" si="20"/>
        <v>A78581651T</v>
      </c>
    </row>
    <row r="313" spans="1:13" x14ac:dyDescent="0.25">
      <c r="A313" s="14" t="s">
        <v>21</v>
      </c>
      <c r="B313" s="15" t="str">
        <f>K228</f>
        <v>NC_000015.9:g.[78882925G&gt;A];[78882925=]</v>
      </c>
      <c r="K313" s="3" t="str">
        <f t="shared" si="20"/>
        <v>NC_000015.9:g.</v>
      </c>
      <c r="L313" s="3" t="str">
        <f t="shared" si="20"/>
        <v>NC_000015.9:g.</v>
      </c>
      <c r="M313" s="3" t="str">
        <f t="shared" si="20"/>
        <v>NC_000015.9:g.</v>
      </c>
    </row>
    <row r="314" spans="1:13" x14ac:dyDescent="0.25">
      <c r="A314" s="14" t="s">
        <v>72</v>
      </c>
      <c r="C314" s="3" t="str">
        <f>CONCATENATE("  &lt;Analysis name=",CHAR(34),B312,CHAR(34))</f>
        <v xml:space="preserve">  &lt;Analysis name="A78573551G (A;G) and A78581651T (A;T)"</v>
      </c>
      <c r="J314" s="3" t="str">
        <f t="shared" ref="J314:M321" si="21">J292</f>
        <v>Variant</v>
      </c>
      <c r="K314" s="3" t="str">
        <f t="shared" si="21"/>
        <v>[78882925G&gt;A]</v>
      </c>
      <c r="L314" s="3" t="str">
        <f t="shared" si="21"/>
        <v>[78865893G&gt;A]</v>
      </c>
      <c r="M314" s="3" t="str">
        <f t="shared" si="21"/>
        <v>[78873993A&gt;T]</v>
      </c>
    </row>
    <row r="315" spans="1:13" x14ac:dyDescent="0.25">
      <c r="A315" s="26" t="s">
        <v>75</v>
      </c>
      <c r="B315" s="15" t="str">
        <f>CONCATENATE("People with this variant have copies of the ",B31," and ",B40," variants. This substitution of a single nucleotide is known as a missense mutation.")</f>
        <v>People with this variant have copies of the [A78573551G](https://www.ncbi.nlm.nih.gov/projects/SNP/snp_ref.cgi?rs=6495306) and [A78581651T](https://www.ncbi.nlm.nih.gov/projects/SNP/snp_ref.cgi?rs=7180002) variants. This substitution of a single nucleotide is known as a missense mutation.</v>
      </c>
      <c r="C315" s="3" t="str">
        <f>CONCATENATE("            case={  variantCall ",CHAR(40),CHAR(34),K318,CHAR(34),CHAR(41))</f>
        <v xml:space="preserve">            case={  variantCall ("NC_000015.9:g.[78882925=];[78882925=]")</v>
      </c>
      <c r="J315" s="3" t="str">
        <f t="shared" si="21"/>
        <v>Wildtype</v>
      </c>
      <c r="K315" s="3" t="str">
        <f t="shared" si="21"/>
        <v>[78882925=]</v>
      </c>
      <c r="L315" s="3" t="str">
        <f t="shared" si="21"/>
        <v>[78865893=]</v>
      </c>
      <c r="M315" s="3" t="str">
        <f t="shared" si="21"/>
        <v>[78873993=]</v>
      </c>
    </row>
    <row r="316" spans="1:13" x14ac:dyDescent="0.25">
      <c r="A316" s="26" t="s">
        <v>28</v>
      </c>
      <c r="B316" s="15" t="s">
        <v>202</v>
      </c>
      <c r="C316" s="3" t="s">
        <v>71</v>
      </c>
      <c r="J316" s="3" t="str">
        <f t="shared" si="21"/>
        <v>Het</v>
      </c>
      <c r="K316" s="3" t="str">
        <f t="shared" si="21"/>
        <v>NC_000015.9:g.[78882925G&gt;A];[78882925=]</v>
      </c>
      <c r="L316" s="3" t="str">
        <f t="shared" si="21"/>
        <v>NC_000015.9:g.[78865893G&gt;A];[78865893=]</v>
      </c>
      <c r="M316" s="3" t="str">
        <f t="shared" si="21"/>
        <v>NC_000015.9:g.[78873993A&gt;T];[78873993=]</v>
      </c>
    </row>
    <row r="317" spans="1:13" x14ac:dyDescent="0.25">
      <c r="A317" s="26" t="s">
        <v>73</v>
      </c>
      <c r="C317" s="3" t="str">
        <f>CONCATENATE("                    ",CHAR(40),"variantCall ",CHAR(40),CHAR(34),L316,CHAR(34),CHAR(41)," or variantCall ",CHAR(40),CHAR(34),L317,CHAR(34),CHAR(41),CHAR(41))</f>
        <v xml:space="preserve">                    (variantCall ("NC_000015.9:g.[78865893G&gt;A];[78865893=]") or variantCall ("NC_000015.9:g.[78865893G&gt;A];[78865893G&gt;A]"))</v>
      </c>
      <c r="J317" s="3" t="str">
        <f t="shared" si="21"/>
        <v>Homo</v>
      </c>
      <c r="K317" s="3" t="str">
        <f t="shared" si="21"/>
        <v>NC_000015.9:g.[78882925G&gt;A];[78882925G&gt;A]</v>
      </c>
      <c r="L317" s="3" t="str">
        <f t="shared" si="21"/>
        <v>NC_000015.9:g.[78865893G&gt;A];[78865893G&gt;A]</v>
      </c>
      <c r="M317" s="3" t="str">
        <f t="shared" si="21"/>
        <v>NC_000015.9:g.[78873993A&gt;T];[78873993A&gt;T]</v>
      </c>
    </row>
    <row r="318" spans="1:13" x14ac:dyDescent="0.25">
      <c r="A318" s="26"/>
      <c r="C318" s="3" t="s">
        <v>71</v>
      </c>
      <c r="J318" s="3" t="str">
        <f t="shared" si="21"/>
        <v>Wildtype</v>
      </c>
      <c r="K318" s="3" t="str">
        <f t="shared" si="21"/>
        <v>NC_000015.9:g.[78882925=];[78882925=]</v>
      </c>
      <c r="L318" s="3" t="str">
        <f t="shared" si="21"/>
        <v>NC_000015.9:g.[78865893=];[78865893=]</v>
      </c>
      <c r="M318" s="3" t="str">
        <f t="shared" si="21"/>
        <v>NC_000015.9:g.[78873993=];[78873993=]</v>
      </c>
    </row>
    <row r="319" spans="1:13" x14ac:dyDescent="0.25">
      <c r="A319" s="26"/>
      <c r="C319" s="3" t="str">
        <f>CONCATENATE("                    ",CHAR(40),"variantCall ",CHAR(40),CHAR(34),M316,CHAR(34),CHAR(41)," or variantCall ",CHAR(40),CHAR(34),M317,CHAR(34),CHAR(41),CHAR(41))</f>
        <v xml:space="preserve">                    (variantCall ("NC_000015.9:g.[78873993A&gt;T];[78873993=]") or variantCall ("NC_000015.9:g.[78873993A&gt;T];[78873993A&gt;T]"))</v>
      </c>
      <c r="J319" s="3" t="str">
        <f t="shared" si="21"/>
        <v>Het%</v>
      </c>
      <c r="K319" s="3">
        <f t="shared" si="21"/>
        <v>39.200000000000003</v>
      </c>
      <c r="L319" s="3">
        <f t="shared" si="21"/>
        <v>39.200000000000003</v>
      </c>
      <c r="M319" s="3">
        <f t="shared" si="21"/>
        <v>27.3</v>
      </c>
    </row>
    <row r="320" spans="1:13" x14ac:dyDescent="0.25">
      <c r="A320" s="26"/>
      <c r="C320" s="3" t="str">
        <f>CONCATENATE("                  } &gt; ")</f>
        <v xml:space="preserve">                  } &gt; </v>
      </c>
      <c r="J320" s="3" t="str">
        <f t="shared" si="21"/>
        <v>Homo%</v>
      </c>
      <c r="K320" s="3">
        <f t="shared" si="21"/>
        <v>5.2</v>
      </c>
      <c r="L320" s="3">
        <f t="shared" si="21"/>
        <v>17.899999999999999</v>
      </c>
      <c r="M320" s="3">
        <f t="shared" si="21"/>
        <v>9.5</v>
      </c>
    </row>
    <row r="321" spans="1:13" x14ac:dyDescent="0.25">
      <c r="A321" s="14"/>
      <c r="J321" s="3" t="str">
        <f t="shared" si="21"/>
        <v>Wildtype%</v>
      </c>
      <c r="K321" s="3">
        <f t="shared" si="21"/>
        <v>55.6</v>
      </c>
      <c r="L321" s="3">
        <f t="shared" si="21"/>
        <v>42.9</v>
      </c>
      <c r="M321" s="3">
        <f t="shared" si="21"/>
        <v>63.2</v>
      </c>
    </row>
    <row r="322" spans="1:13" x14ac:dyDescent="0.25">
      <c r="A322" s="14"/>
      <c r="C322" s="3" t="s">
        <v>26</v>
      </c>
    </row>
    <row r="323" spans="1:13" x14ac:dyDescent="0.25">
      <c r="A323" s="14"/>
    </row>
    <row r="324" spans="1:13" x14ac:dyDescent="0.25">
      <c r="A324" s="14"/>
      <c r="C324" s="3" t="str">
        <f>CONCATENATE("    ",B315)</f>
        <v xml:space="preserve">    People with this variant have copies of the [A78573551G](https://www.ncbi.nlm.nih.gov/projects/SNP/snp_ref.cgi?rs=6495306) and [A78581651T](https://www.ncbi.nlm.nih.gov/projects/SNP/snp_ref.cgi?rs=7180002) variants. This substitution of a single nucleotide is known as a missense mutation.</v>
      </c>
    </row>
    <row r="325" spans="1:13" x14ac:dyDescent="0.25">
      <c r="A325" s="14"/>
    </row>
    <row r="326" spans="1:13" x14ac:dyDescent="0.25">
      <c r="A326" s="26"/>
      <c r="C326" s="3" t="s">
        <v>29</v>
      </c>
    </row>
    <row r="327" spans="1:13" x14ac:dyDescent="0.25">
      <c r="A327" s="26"/>
    </row>
    <row r="328" spans="1:13" x14ac:dyDescent="0.25">
      <c r="A328" s="26"/>
      <c r="C328" s="3" t="str">
        <f>CONCATENATE(B316)</f>
        <v xml:space="preserve">    There is currently no data on the interaction between these variants.  However, some information exists on the individual variants.
    # What is the effect of A78573551G?
    This variant acts in the part of the [brain](https://www.ncbi.nlm.nih.gov/pubmed/26220977) that controls motor function, problem solving, language, judgement, impulse control, sexual behavior, and memory formation and processing. This may cause ME/CFS related cognition issues. This variant causes [greater gene expression](https://www.ncbi.nlm.nih.gov/pubmed/21229299), and is associated with increased [risk of ](https://www.ncbi.nlm.nih.gov/pubmed/25233467)[lung cancer](https://www.ncbi.nlm.nih.gov/pubmed/21229299) and [nicotine addiction](https://www.ncbi.nlm.nih.gov/pubmed/28132300), especially in [Caucasians](https://www.ncbi.nlm.nih.gov/pubmed/26270548).
    # What is the effect of A78581651T?
    This variant acts in the part of the [brain](https://www.ncbi.nlm.nih.gov/pubmed/26220977) that controls motor function, problem solving, language, judgement, impulse control, sexual behavior, and memory formation and processing. This variant also is associated with increased risk of [lung cancer](https://www.ncbi.nlm.nih.gov/pubmed/25233467) and an [increased number of cigarettes smoked per day](https://www.ncbi.nlm.nih.gov/pubmed/26981579).
    Your variant is [2X](https://www.ncbi.nlm.nih.gov/pubmed/27099524) more common in [ME/CFS patients](https://www.ncbi.nlm.nih.gov/pubmed/27099524). It causes the CHRNA5 protein to be malformed, which impacts natural killer cell (NKC) activity. Natural killer cells are a type of white blood cell found in the blood, bone marrow, spleen, and lymph nodes. They kill viral infected cells and tumorous cells. Many patients with ME/CFS have NKC with lower functional ability to fight infections, and [this impairment is associated with increased illness severity](https://www.cdc.gov/me-cfs/about/possible-causes.html). Compared with the general population, CFS patients have NKC that are [half as effective](https://www.ncbi.nlm.nih.gov/pubmed/27099524).
    # What should I do about this?
    People should not smoke. If you do smoke, be aware of your risk for dependency or increased difficulty of quitting smoking. Consider regular checks for lung cancer. Avoid [radiation, toxins such as heavy metal](https://www.cancer.gov/types/lung/patient/lung-prevention-pdq#section/all), and eat more [yellow and orange fruits and vegetables](https://www.cancer.gov/types/lung/patient/lung-prevention-pdq#section/all).
    [Histone deacetylase inhibitors (HDACi), including suberoylanilide hydroxamic acid and valproic acid,](https://www.ncbi.nlm.nih.gov/pubmed/17349632/) impair NKC function and should be avoided.
    Pharmaceuticals that increase natural killer cell function include:
    - [Antiviral drugs such as acyclovir and ganciclovir](https://www.ncbi.nlm.nih.gov/pubmed/23993353) may improve cellular function. 
    - [Papillomavirus therapies, including topical agents and immunostimulants,](https://www.ncbi.nlm.nih.gov/pubmed/23993353) may activate NK cells. 
    - [Cytokine therapies](https://www.ncbi.nlm.nih.gov/pubmed/23993353), such as [IFN-α](https://www.cancer.gov/about-cancer/treatment/types/immunotherapy/bio-therapies-fact-sheet) in CNKD1, may induce higher levels of NKC activity by [activating white blood cells](https://www.cancer.gov/about-cancer/treatment/types/immunotherapy/bio-therapies-fact-sheet). 
    Dietary supplements that increase natural killer cell function include:
    - [Resveratrol](https://www.ncbi.nlm.nih.gov/pmc/articles/PMC4855330/) dietary supplements stimulate the immune system by increasing NKC function. 
    - [Myricetin](https://www.ncbi.nlm.nih.gov/pubmed/25075019), found in food and red wine, may increase NKC activity. 
    - [Quercetin](https://www.ncbi.nlm.nih.gov/pubmed/19449452), found in onions and fruits, may improve NKC and T cell function. 
    - [Bulgarian yogurt fermented with L. delbrueckii ssp. Bulgaricus augments NKC activity.](https://www.ncbi.nlm.nih.gov/pubmed/26686726) 
    - [Zinc](https://www.ncbi.nlm.nih.gov/pubmed/27021581) helps to improve immune system activity and response.  
    - [Inositol hexaphosphate (IP6), found in germ, bran, and whole kernel corn](https://www.ncbi.nlm.nih.gov/pubmed/11366552) may activate the immune system and help fight bacterial and fungal infections. 
    - [Arabinoxylan rice bran (MGN-3/Biobran](https://www.ncbi.nlm.nih.gov/pubmed/25541298) increases activation and stimulates cell killing activity.
    Consult your physician on [medications](http://www.uniprot.org/uniprot/P30532#pathology_and_biotech) that act on variants in CHRNA5, including [Ethanol](https://www.drugbank.ca/drugs/DB00898), [Galantamine](https://www.drugbank.ca/drugs/DB00674), and [nicotine](https://www.drugbank.ca/drugs/DB00184).</v>
      </c>
    </row>
    <row r="329" spans="1:13" x14ac:dyDescent="0.25">
      <c r="A329" s="26"/>
    </row>
    <row r="330" spans="1:13" x14ac:dyDescent="0.25">
      <c r="A330" s="26"/>
      <c r="C330" s="3" t="s">
        <v>30</v>
      </c>
    </row>
    <row r="331" spans="1:13" x14ac:dyDescent="0.25">
      <c r="A331" s="26"/>
    </row>
    <row r="332" spans="1:13" x14ac:dyDescent="0.25">
      <c r="A332" s="26"/>
      <c r="C332" s="3" t="str">
        <f>CONCATENATE( "    &lt;piechart percentage=",B317," /&gt;")</f>
        <v xml:space="preserve">    &lt;piechart percentage= /&gt;</v>
      </c>
    </row>
    <row r="333" spans="1:13" x14ac:dyDescent="0.25">
      <c r="A333" s="26"/>
      <c r="C333" s="3" t="str">
        <f>"  &lt;/Analysis&gt;"</f>
        <v xml:space="preserve">  &lt;/Analysis&gt;</v>
      </c>
      <c r="K333" s="3" t="str">
        <f t="shared" ref="K333:M335" si="22">K179</f>
        <v>rs16969968</v>
      </c>
      <c r="L333" s="3" t="str">
        <f t="shared" si="22"/>
        <v>rs3913434</v>
      </c>
      <c r="M333" s="3" t="str">
        <f t="shared" si="22"/>
        <v>rs270838</v>
      </c>
    </row>
    <row r="334" spans="1:13" s="21" customFormat="1" x14ac:dyDescent="0.25">
      <c r="A334" s="28" t="s">
        <v>70</v>
      </c>
      <c r="B334" s="20" t="s">
        <v>85</v>
      </c>
      <c r="C334" s="21" t="str">
        <f>CONCATENATE("&lt;# ",B334," #&gt;")</f>
        <v>&lt;# Wild type #&gt;</v>
      </c>
      <c r="K334" s="21" t="str">
        <f t="shared" si="22"/>
        <v>G1192A</v>
      </c>
      <c r="L334" s="21" t="str">
        <f t="shared" si="22"/>
        <v>A78573551G</v>
      </c>
      <c r="M334" s="21" t="str">
        <f t="shared" si="22"/>
        <v>A78581651T</v>
      </c>
    </row>
    <row r="335" spans="1:13" x14ac:dyDescent="0.25">
      <c r="A335" s="14" t="s">
        <v>21</v>
      </c>
      <c r="B335" s="15" t="str">
        <f>K54</f>
        <v>NC_000015.9:g.[78882925=];[78882925=]</v>
      </c>
      <c r="K335" s="3" t="str">
        <f t="shared" si="22"/>
        <v>NC_000015.9:g.</v>
      </c>
      <c r="L335" s="3" t="str">
        <f t="shared" si="22"/>
        <v>NC_000015.9:g.</v>
      </c>
      <c r="M335" s="3" t="str">
        <f t="shared" si="22"/>
        <v>NC_000015.9:g.</v>
      </c>
    </row>
    <row r="336" spans="1:13" x14ac:dyDescent="0.25">
      <c r="A336" s="14" t="s">
        <v>72</v>
      </c>
      <c r="B336" s="15" t="str">
        <f>L54</f>
        <v>NC_000015.9:g.[78865893=];[78865893=]</v>
      </c>
      <c r="C336" s="3" t="str">
        <f>CONCATENATE("  &lt;Analysis name=",CHAR(34),B334,CHAR(34))</f>
        <v xml:space="preserve">  &lt;Analysis name="Wild type"</v>
      </c>
      <c r="J336" s="3" t="str">
        <f t="shared" ref="J336:M343" si="23">J182</f>
        <v>Variant</v>
      </c>
      <c r="K336" s="3" t="str">
        <f t="shared" si="23"/>
        <v>[78882925G&gt;A]</v>
      </c>
      <c r="L336" s="3" t="str">
        <f t="shared" si="23"/>
        <v>[78865893G&gt;A]</v>
      </c>
      <c r="M336" s="3" t="str">
        <f t="shared" si="23"/>
        <v>[78873993A&gt;T]</v>
      </c>
    </row>
    <row r="337" spans="1:13" x14ac:dyDescent="0.25">
      <c r="A337" s="26" t="s">
        <v>75</v>
      </c>
      <c r="B337" s="15" t="str">
        <f>CONCATENATE("Your ",B12," gene has no variants. A normal gene is referred to as a ",CHAR(34),"wild-type",CHAR(34)," gene.")</f>
        <v>Your CHRNA5 gene has no variants. A normal gene is referred to as a "wild-type" gene.</v>
      </c>
      <c r="C337" s="3" t="str">
        <f>CONCATENATE("            case={  variantCall ",CHAR(40),CHAR(34),B335,CHAR(34),CHAR(41))</f>
        <v xml:space="preserve">            case={  variantCall ("NC_000015.9:g.[78882925=];[78882925=]")</v>
      </c>
      <c r="J337" s="3" t="str">
        <f t="shared" si="23"/>
        <v>Wildtype</v>
      </c>
      <c r="K337" s="3" t="str">
        <f t="shared" si="23"/>
        <v>[78882925=]</v>
      </c>
      <c r="L337" s="3" t="str">
        <f t="shared" si="23"/>
        <v>[78865893=]</v>
      </c>
      <c r="M337" s="3" t="str">
        <f t="shared" si="23"/>
        <v>[78873993=]</v>
      </c>
    </row>
    <row r="338" spans="1:13" x14ac:dyDescent="0.25">
      <c r="A338" s="26" t="s">
        <v>28</v>
      </c>
      <c r="C338" s="3" t="s">
        <v>71</v>
      </c>
      <c r="J338" s="3" t="str">
        <f t="shared" si="23"/>
        <v>Het</v>
      </c>
      <c r="K338" s="3" t="str">
        <f t="shared" si="23"/>
        <v>NC_000015.9:g.[78882925G&gt;A];[78882925=]</v>
      </c>
      <c r="L338" s="3" t="str">
        <f t="shared" si="23"/>
        <v>NC_000015.9:g.[78865893G&gt;A];[78865893=]</v>
      </c>
      <c r="M338" s="3" t="str">
        <f t="shared" si="23"/>
        <v>NC_000015.9:g.[78873993A&gt;T];[78873993=]</v>
      </c>
    </row>
    <row r="339" spans="1:13" x14ac:dyDescent="0.25">
      <c r="A339" s="26" t="s">
        <v>73</v>
      </c>
      <c r="C339" s="3" t="str">
        <f>CONCATENATE("                    ","variantCall ",CHAR(40),CHAR(34),L340,CHAR(34),CHAR(41))</f>
        <v xml:space="preserve">                    variantCall ("NC_000015.9:g.[78865893=];[78865893=]")</v>
      </c>
      <c r="J339" s="3" t="str">
        <f t="shared" si="23"/>
        <v>Homo</v>
      </c>
      <c r="K339" s="3" t="str">
        <f t="shared" si="23"/>
        <v>NC_000015.9:g.[78882925G&gt;A];[78882925G&gt;A]</v>
      </c>
      <c r="L339" s="3" t="str">
        <f t="shared" si="23"/>
        <v>NC_000015.9:g.[78865893G&gt;A];[78865893G&gt;A]</v>
      </c>
      <c r="M339" s="3" t="str">
        <f t="shared" si="23"/>
        <v>NC_000015.9:g.[78873993A&gt;T];[78873993A&gt;T]</v>
      </c>
    </row>
    <row r="340" spans="1:13" x14ac:dyDescent="0.25">
      <c r="A340" s="26"/>
      <c r="C340" s="3" t="s">
        <v>71</v>
      </c>
      <c r="J340" s="3" t="str">
        <f t="shared" si="23"/>
        <v>Wildtype</v>
      </c>
      <c r="K340" s="3" t="str">
        <f t="shared" si="23"/>
        <v>NC_000015.9:g.[78882925=];[78882925=]</v>
      </c>
      <c r="L340" s="3" t="str">
        <f t="shared" si="23"/>
        <v>NC_000015.9:g.[78865893=];[78865893=]</v>
      </c>
      <c r="M340" s="3" t="str">
        <f t="shared" si="23"/>
        <v>NC_000015.9:g.[78873993=];[78873993=]</v>
      </c>
    </row>
    <row r="341" spans="1:13" x14ac:dyDescent="0.25">
      <c r="A341" s="26"/>
      <c r="C341" s="3" t="str">
        <f>CONCATENATE("                    ","variantCall ",CHAR(40),CHAR(34),M340,CHAR(34),CHAR(41))</f>
        <v xml:space="preserve">                    variantCall ("NC_000015.9:g.[78873993=];[78873993=]")</v>
      </c>
      <c r="J341" s="3" t="str">
        <f t="shared" si="23"/>
        <v>Het%</v>
      </c>
      <c r="K341" s="3">
        <f t="shared" si="23"/>
        <v>39.200000000000003</v>
      </c>
      <c r="L341" s="3">
        <f t="shared" si="23"/>
        <v>39.200000000000003</v>
      </c>
      <c r="M341" s="3">
        <f t="shared" si="23"/>
        <v>27.3</v>
      </c>
    </row>
    <row r="342" spans="1:13" x14ac:dyDescent="0.25">
      <c r="A342" s="26"/>
      <c r="C342" s="3" t="str">
        <f>CONCATENATE("                  } &gt; ")</f>
        <v xml:space="preserve">                  } &gt; </v>
      </c>
      <c r="J342" s="3" t="str">
        <f t="shared" si="23"/>
        <v>Homo%</v>
      </c>
      <c r="K342" s="3">
        <f t="shared" si="23"/>
        <v>5.2</v>
      </c>
      <c r="L342" s="3">
        <f t="shared" si="23"/>
        <v>17.899999999999999</v>
      </c>
      <c r="M342" s="3">
        <f t="shared" si="23"/>
        <v>9.5</v>
      </c>
    </row>
    <row r="343" spans="1:13" x14ac:dyDescent="0.25">
      <c r="A343" s="14"/>
      <c r="J343" s="3" t="str">
        <f t="shared" si="23"/>
        <v>Wildtype%</v>
      </c>
      <c r="K343" s="3">
        <f t="shared" si="23"/>
        <v>55.6</v>
      </c>
      <c r="L343" s="3">
        <f t="shared" si="23"/>
        <v>42.9</v>
      </c>
      <c r="M343" s="3">
        <f t="shared" si="23"/>
        <v>63.2</v>
      </c>
    </row>
    <row r="344" spans="1:13" x14ac:dyDescent="0.25">
      <c r="A344" s="14"/>
      <c r="C344" s="3" t="s">
        <v>26</v>
      </c>
    </row>
    <row r="345" spans="1:13" x14ac:dyDescent="0.25">
      <c r="A345" s="14"/>
    </row>
    <row r="346" spans="1:13" x14ac:dyDescent="0.25">
      <c r="A346" s="26"/>
      <c r="C346" s="3" t="str">
        <f>CONCATENATE("    ",B337)</f>
        <v xml:space="preserve">    Your CHRNA5 gene has no variants. A normal gene is referred to as a "wild-type" gene.</v>
      </c>
    </row>
    <row r="347" spans="1:13" x14ac:dyDescent="0.25">
      <c r="A347" s="26"/>
    </row>
    <row r="348" spans="1:13" x14ac:dyDescent="0.25">
      <c r="A348" s="26"/>
      <c r="C348" s="3" t="s">
        <v>30</v>
      </c>
    </row>
    <row r="349" spans="1:13" x14ac:dyDescent="0.25">
      <c r="A349" s="26"/>
    </row>
    <row r="350" spans="1:13" x14ac:dyDescent="0.25">
      <c r="A350" s="26"/>
      <c r="C350" s="3" t="str">
        <f>CONCATENATE( "    &lt;piechart percentage=",B339," /&gt;")</f>
        <v xml:space="preserve">    &lt;piechart percentage= /&gt;</v>
      </c>
    </row>
    <row r="351" spans="1:13" x14ac:dyDescent="0.25">
      <c r="A351" s="26"/>
      <c r="C351" s="3" t="str">
        <f>"  &lt;/Analysis&gt;"</f>
        <v xml:space="preserve">  &lt;/Analysis&gt;</v>
      </c>
    </row>
    <row r="352" spans="1:13" s="21" customFormat="1" x14ac:dyDescent="0.25">
      <c r="A352" s="28" t="s">
        <v>70</v>
      </c>
      <c r="B352" s="20" t="s">
        <v>86</v>
      </c>
      <c r="C352" s="21" t="str">
        <f>CONCATENATE("&lt;# ",B352," #&gt;")</f>
        <v>&lt;# Unknown #&gt;</v>
      </c>
    </row>
    <row r="353" spans="1:3" x14ac:dyDescent="0.25">
      <c r="A353" s="14" t="s">
        <v>21</v>
      </c>
      <c r="B353" s="15" t="str">
        <f>K72</f>
        <v>[78882925G&gt;A]</v>
      </c>
    </row>
    <row r="354" spans="1:3" x14ac:dyDescent="0.25">
      <c r="A354" s="14" t="s">
        <v>72</v>
      </c>
      <c r="C354" s="3" t="str">
        <f>CONCATENATE("  &lt;Analysis name=",CHAR(34),B352,CHAR(34), " case=true&gt;")</f>
        <v xml:space="preserve">  &lt;Analysis name="Unknown" case=true&gt;</v>
      </c>
    </row>
    <row r="355" spans="1:3" x14ac:dyDescent="0.25">
      <c r="A355" s="26" t="s">
        <v>75</v>
      </c>
      <c r="B355" s="15" t="s">
        <v>31</v>
      </c>
    </row>
    <row r="356" spans="1:3" x14ac:dyDescent="0.25">
      <c r="A356" s="26" t="s">
        <v>73</v>
      </c>
      <c r="B356" s="15">
        <v>0</v>
      </c>
      <c r="C356" s="3" t="s">
        <v>26</v>
      </c>
    </row>
    <row r="357" spans="1:3" x14ac:dyDescent="0.25">
      <c r="A357" s="26"/>
    </row>
    <row r="358" spans="1:3" x14ac:dyDescent="0.25">
      <c r="A358" s="14"/>
      <c r="C358" s="3" t="str">
        <f>CONCATENATE("    ",B355)</f>
        <v xml:space="preserve">    The effect is unknown.</v>
      </c>
    </row>
    <row r="359" spans="1:3" x14ac:dyDescent="0.25">
      <c r="A359" s="14"/>
    </row>
    <row r="360" spans="1:3" x14ac:dyDescent="0.25">
      <c r="A360" s="14"/>
      <c r="C360" s="3" t="s">
        <v>30</v>
      </c>
    </row>
    <row r="361" spans="1:3" x14ac:dyDescent="0.25">
      <c r="A361" s="26"/>
    </row>
    <row r="362" spans="1:3" x14ac:dyDescent="0.25">
      <c r="A362" s="26"/>
      <c r="C362" s="3" t="str">
        <f>CONCATENATE( "    &lt;piechart percentage=",B356," /&gt;")</f>
        <v xml:space="preserve">    &lt;piechart percentage=0 /&gt;</v>
      </c>
    </row>
    <row r="363" spans="1:3" x14ac:dyDescent="0.25">
      <c r="A363" s="26"/>
      <c r="C363" s="3" t="str">
        <f>"  &lt;/Analysis&gt;"</f>
        <v xml:space="preserve">  &lt;/Analysis&gt;</v>
      </c>
    </row>
    <row r="364" spans="1:3" x14ac:dyDescent="0.25">
      <c r="A364" s="14"/>
      <c r="C364" s="31" t="s">
        <v>78</v>
      </c>
    </row>
    <row r="365" spans="1:3" s="21" customFormat="1" x14ac:dyDescent="0.25">
      <c r="A365" s="19"/>
      <c r="B365" s="20"/>
      <c r="C365" s="35"/>
    </row>
    <row r="366" spans="1:3" x14ac:dyDescent="0.25">
      <c r="A366" s="14" t="s">
        <v>79</v>
      </c>
      <c r="B366" s="40" t="s">
        <v>172</v>
      </c>
      <c r="C366" s="10" t="str">
        <f>CONCATENATE("&lt;# ",A366," ",B366," #&gt;")</f>
        <v>&lt;# Tissues brain D001921  respiratory system and lung D012137  bone marrow and immune system D007107 #&gt;</v>
      </c>
    </row>
    <row r="367" spans="1:3" x14ac:dyDescent="0.25">
      <c r="A367" s="14"/>
    </row>
    <row r="368" spans="1:3" x14ac:dyDescent="0.25">
      <c r="A368" s="14"/>
      <c r="B368" s="40" t="s">
        <v>174</v>
      </c>
      <c r="C368" s="31" t="str">
        <f>CONCATENATE("&lt;TopicBar ",B368," /&gt;")</f>
        <v>&lt;TopicBar mesh_D001921 mesh_D012137 mesh_D007107 /&gt;</v>
      </c>
    </row>
    <row r="369" spans="1:3" x14ac:dyDescent="0.25">
      <c r="A369" s="14"/>
    </row>
    <row r="370" spans="1:3" x14ac:dyDescent="0.25">
      <c r="A370" s="14" t="s">
        <v>32</v>
      </c>
      <c r="B370" s="40" t="s">
        <v>171</v>
      </c>
      <c r="C370" s="10" t="str">
        <f>CONCATENATE("&lt;# ",A370," ",B370," #&gt;")</f>
        <v>&lt;# Symptoms anxiety; pain; inflammation; #&gt;</v>
      </c>
    </row>
    <row r="371" spans="1:3" x14ac:dyDescent="0.25">
      <c r="A371" s="14"/>
    </row>
    <row r="372" spans="1:3" x14ac:dyDescent="0.25">
      <c r="A372" s="14"/>
      <c r="B372" s="40" t="s">
        <v>175</v>
      </c>
      <c r="C372" s="31" t="str">
        <f>CONCATENATE("&lt;TopicBar ",B372," /&gt;")</f>
        <v>&lt;TopicBar mesh_D001007 mesh_D010146  mesh_D007249 /&gt;</v>
      </c>
    </row>
    <row r="373" spans="1:3" x14ac:dyDescent="0.25">
      <c r="A373" s="14"/>
      <c r="C373" s="31"/>
    </row>
    <row r="374" spans="1:3" x14ac:dyDescent="0.25">
      <c r="A374" s="14" t="s">
        <v>48</v>
      </c>
      <c r="B374" s="40" t="s">
        <v>173</v>
      </c>
      <c r="C374" s="10" t="str">
        <f>CONCATENATE("&lt;# ",A374," ",B374," #&gt;")</f>
        <v>&lt;# Diseases cancer; COPD; anxiety; ME/CFS; nicotine dependency; autoimmune disorder; Disease susceptibility - increased susceptibility to viral, bacterial, and parasitic infections; mood disorder #&gt;</v>
      </c>
    </row>
    <row r="375" spans="1:3" x14ac:dyDescent="0.25">
      <c r="A375" s="14"/>
    </row>
    <row r="376" spans="1:3" x14ac:dyDescent="0.25">
      <c r="A376" s="14"/>
      <c r="B376" s="40" t="s">
        <v>176</v>
      </c>
      <c r="C376" s="31" t="str">
        <f>CONCATENATE("&lt;TopicBar ",B376," /&gt;")</f>
        <v>&lt;TopicBar mesh_D009369 mesh_D029424 mesh_D001008 mesh_D015673 mesh_D014029 mesh_D001327 mesh_D004198 mesh_D019964 /&gt;</v>
      </c>
    </row>
    <row r="377" spans="1:3" x14ac:dyDescent="0.25">
      <c r="A377" s="14"/>
    </row>
    <row r="378" spans="1:3" s="21" customFormat="1" x14ac:dyDescent="0.25">
      <c r="A378" s="28"/>
      <c r="B378" s="20"/>
    </row>
    <row r="379" spans="1:3" x14ac:dyDescent="0.25">
      <c r="B379" s="30"/>
    </row>
    <row r="381" spans="1:3" x14ac:dyDescent="0.25">
      <c r="B381" s="30"/>
    </row>
    <row r="383" spans="1:3" x14ac:dyDescent="0.25">
      <c r="B383" s="30"/>
    </row>
    <row r="385" spans="2:2" x14ac:dyDescent="0.25">
      <c r="B385" s="30"/>
    </row>
    <row r="387" spans="2:2" x14ac:dyDescent="0.25">
      <c r="B387" s="3"/>
    </row>
    <row r="389" spans="2:2" x14ac:dyDescent="0.25">
      <c r="B389" s="3"/>
    </row>
    <row r="1061" spans="3:3" x14ac:dyDescent="0.25">
      <c r="C1061" s="3" t="str">
        <f>CONCATENATE("    This variant is a change at a specific point in the ",B1052," gene from ",B1061," to ",B1062," resulting in incorrect ",B1055,"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067" spans="3:3" x14ac:dyDescent="0.25">
      <c r="C1067" s="3" t="str">
        <f>CONCATENATE("    This variant is a change at a specific point in the ",B1052," gene from ",B1067," to ",B1068," resulting in incorrect ",B1055,"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197" spans="3:3" x14ac:dyDescent="0.25">
      <c r="C1197" s="3" t="str">
        <f>CONCATENATE("    This variant is a change at a specific point in the ",B1188," gene from ",B1197," to ",B1198," resulting in incorrect ",B1191,"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203" spans="3:3" x14ac:dyDescent="0.25">
      <c r="C1203" s="3" t="str">
        <f>CONCATENATE("    This variant is a change at a specific point in the ",B1188," gene from ",B1203," to ",B1204," resulting in incorrect ",B1191,"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05" spans="3:3" x14ac:dyDescent="0.25">
      <c r="C1605" s="3" t="str">
        <f>CONCATENATE("    This variant is a change at a specific point in the ",B1596," gene from ",B1605," to ",B1606," resulting in incorrect ",B1599,"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611" spans="3:3" x14ac:dyDescent="0.25">
      <c r="C1611" s="3" t="str">
        <f>CONCATENATE("    This variant is a change at a specific point in the ",B1596," gene from ",B1611," to ",B1612," resulting in incorrect ",B1599,"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741" spans="3:3" x14ac:dyDescent="0.25">
      <c r="C1741" s="3" t="str">
        <f>CONCATENATE("    This variant is a change at a specific point in the ",B1732," gene from ",B1741," to ",B1742," resulting in incorrect ",B1735,"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747" spans="3:3" x14ac:dyDescent="0.25">
      <c r="C1747" s="3" t="str">
        <f>CONCATENATE("    This variant is a change at a specific point in the ",B1732," gene from ",B1747," to ",B1748," resulting in incorrect ",B1735,"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77" spans="3:3" x14ac:dyDescent="0.25">
      <c r="C1877" s="3" t="str">
        <f>CONCATENATE("    This variant is a change at a specific point in the ",B1868," gene from ",B1877," to ",B1878," resulting in incorrect ",B1871,"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1883" spans="3:3" x14ac:dyDescent="0.25">
      <c r="C1883" s="3" t="str">
        <f>CONCATENATE("    This variant is a change at a specific point in the ",B1868," gene from ",B1883," to ",B1884," resulting in incorrect ",B1871,"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13" spans="3:3" x14ac:dyDescent="0.25">
      <c r="C2013" s="3" t="str">
        <f>CONCATENATE("    This variant is a change at a specific point in the ",B2004," gene from ",B2013," to ",B2014," resulting in incorrect ",B2007,"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019" spans="3:3" x14ac:dyDescent="0.25">
      <c r="C2019" s="3" t="str">
        <f>CONCATENATE("    This variant is a change at a specific point in the ",B2004," gene from ",B2019," to ",B2020," resulting in incorrect ",B2007,"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49" spans="3:3" x14ac:dyDescent="0.25">
      <c r="C2149" s="3" t="str">
        <f>CONCATENATE("    This variant is a change at a specific point in the ",B2140," gene from ",B2149," to ",B2150," resulting in incorrect ",B2143,"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155" spans="3:3" x14ac:dyDescent="0.25">
      <c r="C2155" s="3" t="str">
        <f>CONCATENATE("    This variant is a change at a specific point in the ",B2140," gene from ",B2155," to ",B2156," resulting in incorrect ",B2143,"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85" spans="3:3" x14ac:dyDescent="0.25">
      <c r="C2285" s="3" t="str">
        <f>CONCATENATE("    This variant is a change at a specific point in the ",B2276," gene from ",B2285," to ",B2286," resulting in incorrect ",B2279,"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291" spans="3:3" x14ac:dyDescent="0.25">
      <c r="C2291" s="3" t="str">
        <f>CONCATENATE("    This variant is a change at a specific point in the ",B2276," gene from ",B2291," to ",B2292," resulting in incorrect ",B2279,"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421" spans="3:3" x14ac:dyDescent="0.25">
      <c r="C2421" s="3" t="str">
        <f>CONCATENATE("    This variant is a change at a specific point in the ",B2412," gene from ",B2421," to ",B2422," resulting in incorrect ",B2415,"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427" spans="3:3" x14ac:dyDescent="0.25">
      <c r="C2427" s="3" t="str">
        <f>CONCATENATE("    This variant is a change at a specific point in the ",B2412," gene from ",B2427," to ",B2428," resulting in incorrect ",B2415,"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557" spans="3:3" x14ac:dyDescent="0.25">
      <c r="C2557" s="3" t="str">
        <f>CONCATENATE("    This variant is a change at a specific point in the ",B2548," gene from ",B2557," to ",B2558," resulting in incorrect ",B2551," function. This substitution of a single nucleotide is known as a missense variant.")</f>
        <v xml:space="preserve">    This variant is a change at a specific point in the  gene from  to  resulting in incorrect  function. This substitution of a single nucleotide is known as a missense variant.</v>
      </c>
    </row>
    <row r="2563" spans="3:3" x14ac:dyDescent="0.25">
      <c r="C2563" s="3" t="str">
        <f>CONCATENATE("    This variant is a change at a specific point in the ",B2548," gene from ",B2563," to ",B2564," resulting in incorrect ",B2551," function. This substitution of a single nucleotide is known as a missense variant.")</f>
        <v xml:space="preserve">    This variant is a change at a specific point in the  gene from  to  resulting in incorrect  function. This substitution of a single nucleotide is known as a missense variant.</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3 variants</vt:lpstr>
      <vt:lpstr>GRIK3</vt:lpstr>
      <vt:lpstr>CLYBL</vt:lpstr>
      <vt:lpstr>MTHFR</vt:lpstr>
      <vt:lpstr>CHRNA3</vt:lpstr>
      <vt:lpstr>CHRNA5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Elizabeth</cp:lastModifiedBy>
  <dcterms:created xsi:type="dcterms:W3CDTF">2018-08-23T00:10:44Z</dcterms:created>
  <dcterms:modified xsi:type="dcterms:W3CDTF">2018-08-25T04:45:40Z</dcterms:modified>
</cp:coreProperties>
</file>