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gle of Sensor" sheetId="1" r:id="rId3"/>
    <sheet state="visible" name="Canopy Fraction" sheetId="2" r:id="rId4"/>
    <sheet state="visible" name="Feasible AnglesSensors" sheetId="3" r:id="rId5"/>
  </sheets>
  <definedNames/>
  <calcPr/>
</workbook>
</file>

<file path=xl/sharedStrings.xml><?xml version="1.0" encoding="utf-8"?>
<sst xmlns="http://schemas.openxmlformats.org/spreadsheetml/2006/main" count="96" uniqueCount="65">
  <si>
    <t xml:space="preserve">IRT Canopy Sensor Design </t>
  </si>
  <si>
    <t>*Manually adjust green cells</t>
  </si>
  <si>
    <t>Variables</t>
  </si>
  <si>
    <t>*Grey cells auto adjust. DO NOT TYPE IN GREY CELLS.</t>
  </si>
  <si>
    <t>H</t>
  </si>
  <si>
    <t>height of sensor above canopy</t>
  </si>
  <si>
    <t>X</t>
  </si>
  <si>
    <t>horizontal distance from sensor to start of elliptical FOV</t>
  </si>
  <si>
    <t>alpha</t>
  </si>
  <si>
    <t xml:space="preserve">Whole FOV </t>
  </si>
  <si>
    <t>A</t>
  </si>
  <si>
    <t>ellipse long axis radius</t>
  </si>
  <si>
    <t>theta</t>
  </si>
  <si>
    <t>Angle of inclination</t>
  </si>
  <si>
    <t>B</t>
  </si>
  <si>
    <t>ellipse short axis radius</t>
  </si>
  <si>
    <t>Eccentricity</t>
  </si>
  <si>
    <t>FOV</t>
  </si>
  <si>
    <t>angle of inclination</t>
  </si>
  <si>
    <t>FIX H</t>
  </si>
  <si>
    <t>Area</t>
  </si>
  <si>
    <t>FIX area</t>
  </si>
  <si>
    <t>area</t>
  </si>
  <si>
    <t>FIX A</t>
  </si>
  <si>
    <t>FIX B</t>
  </si>
  <si>
    <t>b1</t>
  </si>
  <si>
    <t>b1+b2 = 2A</t>
  </si>
  <si>
    <t>K</t>
  </si>
  <si>
    <t>LAI</t>
  </si>
  <si>
    <t>Fc</t>
  </si>
  <si>
    <t>Sensitivity Analysis at H=10</t>
  </si>
  <si>
    <t>Key:</t>
  </si>
  <si>
    <t>White - Good</t>
  </si>
  <si>
    <t>Pink - JUST outside of parameters</t>
  </si>
  <si>
    <t>Dark Pink - Outside of parameters</t>
  </si>
  <si>
    <t>Yellow - Engineer's target recommendation</t>
  </si>
  <si>
    <t>Sensor</t>
  </si>
  <si>
    <t>Angle of Inclination (or depression)</t>
  </si>
  <si>
    <t>Height above canopy</t>
  </si>
  <si>
    <t>Horizontal distance from sensor to edge of sensed FOV (backwards)</t>
  </si>
  <si>
    <t>Viewed length</t>
  </si>
  <si>
    <t>Viewed width</t>
  </si>
  <si>
    <t>Elliptical Area</t>
  </si>
  <si>
    <t>Notes</t>
  </si>
  <si>
    <t>Alpha</t>
  </si>
  <si>
    <t>Theta (degrees)</t>
  </si>
  <si>
    <t>H (ft)</t>
  </si>
  <si>
    <t>X (ft)</t>
  </si>
  <si>
    <t>X (in.)</t>
  </si>
  <si>
    <t>2A (ft)</t>
  </si>
  <si>
    <t>2B (ft)</t>
  </si>
  <si>
    <t>Area (ft^2)</t>
  </si>
  <si>
    <t>Max area</t>
  </si>
  <si>
    <t>***Engineer's target recommendation (minimizes view of structure/ non-canopy, maximizes area without pushing the limits of the plot, well within areal parameters of microplot). When in field, difficult to be precise. Only 15 degree difference between this and extending way past the plot.</t>
  </si>
  <si>
    <t>Soil Sensor Mounting Height</t>
  </si>
  <si>
    <t>Height above soil (ft)</t>
  </si>
  <si>
    <t>ft^2</t>
  </si>
  <si>
    <t>Height above soil (in.)</t>
  </si>
  <si>
    <t>Viewed length (in.)</t>
  </si>
  <si>
    <t>Viewed width (in.)</t>
  </si>
  <si>
    <t>Circular area (in.^2)</t>
  </si>
  <si>
    <t>Smaller area to clear/weed, but also smaller viewed area</t>
  </si>
  <si>
    <t>Might see more weeds if not cleared, but has greater area</t>
  </si>
  <si>
    <t>make 5" extension piece away from structure</t>
  </si>
  <si>
    <t>(needs to be min 3.78, plus PVC overlap, plus margin for error)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</si>
</sst>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9">
    <font>
      <sz val="11.0"/>
      <color rgb="FF000000"/>
      <name val="Calibri"/>
    </font>
    <font>
      <b/>
      <sz val="16.0"/>
      <color rgb="FF000000"/>
      <name val="Calibri"/>
    </font>
    <font>
      <b/>
      <sz val="11.0"/>
      <color rgb="FF000000"/>
      <name val="Calibri"/>
    </font>
    <font>
      <b/>
      <sz val="11.0"/>
      <color rgb="FFFF0000"/>
      <name val="Calibri"/>
    </font>
    <font>
      <b/>
      <sz val="11.0"/>
      <color rgb="FFED7D31"/>
      <name val="Calibri"/>
    </font>
    <font/>
    <font>
      <b/>
      <sz val="12.0"/>
    </font>
    <font>
      <b/>
    </font>
    <font>
      <b/>
      <sz val="14.0"/>
    </font>
  </fonts>
  <fills count="10">
    <fill>
      <patternFill patternType="none"/>
    </fill>
    <fill>
      <patternFill patternType="lightGray"/>
    </fill>
    <fill>
      <patternFill patternType="solid">
        <fgColor rgb="FF9EFB99"/>
        <bgColor rgb="FF9EFB99"/>
      </patternFill>
    </fill>
    <fill>
      <patternFill patternType="solid">
        <fgColor rgb="FFE7E6E6"/>
        <bgColor rgb="FFE7E6E6"/>
      </patternFill>
    </fill>
    <fill>
      <patternFill patternType="solid">
        <fgColor rgb="FFF4CCCC"/>
        <bgColor rgb="FFF4CCCC"/>
      </patternFill>
    </fill>
    <fill>
      <patternFill patternType="solid">
        <fgColor rgb="FFEA9999"/>
        <bgColor rgb="FFEA9999"/>
      </patternFill>
    </fill>
    <fill>
      <patternFill patternType="solid">
        <fgColor rgb="FFFFFF00"/>
        <bgColor rgb="FFFFFF00"/>
      </patternFill>
    </fill>
    <fill>
      <patternFill patternType="solid">
        <fgColor rgb="FFFFFFFF"/>
        <bgColor rgb="FFFFFFFF"/>
      </patternFill>
    </fill>
    <fill>
      <patternFill patternType="solid">
        <fgColor rgb="FFCCCCCC"/>
        <bgColor rgb="FFCCCCCC"/>
      </patternFill>
    </fill>
    <fill>
      <patternFill patternType="solid">
        <fgColor rgb="FFFFFE89"/>
        <bgColor rgb="FFFFFE89"/>
      </patternFill>
    </fill>
  </fills>
  <borders count="15">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thick">
        <color rgb="FF000000"/>
      </left>
      <right style="thick">
        <color rgb="FF000000"/>
      </right>
      <top style="thick">
        <color rgb="FF000000"/>
      </top>
      <bottom style="thick">
        <color rgb="FF000000"/>
      </bottom>
    </border>
    <border>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horizontal="center"/>
    </xf>
    <xf borderId="0" fillId="0" fontId="0" numFmtId="0" xfId="0" applyAlignment="1" applyFont="1">
      <alignment horizontal="left"/>
    </xf>
    <xf borderId="0" fillId="0" fontId="1" numFmtId="0" xfId="0" applyFont="1"/>
    <xf borderId="0" fillId="0" fontId="2" numFmtId="0" xfId="0" applyFont="1"/>
    <xf borderId="0" fillId="0" fontId="0" numFmtId="0" xfId="0" applyFont="1"/>
    <xf borderId="1" fillId="0" fontId="2" numFmtId="0" xfId="0" applyBorder="1" applyFont="1"/>
    <xf borderId="2" fillId="2" fontId="0" numFmtId="0" xfId="0" applyAlignment="1" applyBorder="1" applyFill="1" applyFont="1">
      <alignment readingOrder="0"/>
    </xf>
    <xf borderId="3" fillId="0" fontId="2" numFmtId="0" xfId="0" applyBorder="1" applyFont="1"/>
    <xf borderId="4" fillId="2" fontId="0" numFmtId="0" xfId="0" applyAlignment="1" applyBorder="1" applyFont="1">
      <alignment readingOrder="0"/>
    </xf>
    <xf borderId="5" fillId="0" fontId="2" numFmtId="0" xfId="0" applyBorder="1" applyFont="1"/>
    <xf borderId="6" fillId="3" fontId="0" numFmtId="0" xfId="0" applyBorder="1" applyFill="1" applyFont="1"/>
    <xf borderId="1" fillId="0" fontId="1" numFmtId="0" xfId="0" applyBorder="1" applyFont="1"/>
    <xf borderId="7" fillId="0" fontId="1" numFmtId="0" xfId="0" applyBorder="1" applyFont="1"/>
    <xf borderId="2" fillId="0" fontId="1" numFmtId="0" xfId="0" applyBorder="1" applyFont="1"/>
    <xf borderId="8" fillId="0" fontId="2" numFmtId="0" xfId="0" applyBorder="1" applyFont="1"/>
    <xf borderId="4" fillId="0" fontId="2" numFmtId="0" xfId="0" applyBorder="1" applyFont="1"/>
    <xf borderId="3" fillId="2" fontId="0" numFmtId="0" xfId="0" applyAlignment="1" applyBorder="1" applyFont="1">
      <alignment readingOrder="0"/>
    </xf>
    <xf borderId="8" fillId="3" fontId="0" numFmtId="0" xfId="0" applyBorder="1" applyFont="1"/>
    <xf borderId="4" fillId="3" fontId="0" numFmtId="0" xfId="0" applyBorder="1" applyFont="1"/>
    <xf borderId="3" fillId="0" fontId="0" numFmtId="0" xfId="0" applyAlignment="1" applyBorder="1" applyFont="1">
      <alignment readingOrder="0"/>
    </xf>
    <xf borderId="8" fillId="0" fontId="0" numFmtId="0" xfId="0" applyBorder="1" applyFont="1"/>
    <xf borderId="4" fillId="0" fontId="0" numFmtId="0" xfId="0" applyBorder="1" applyFont="1"/>
    <xf borderId="0" fillId="0" fontId="3" numFmtId="0" xfId="0" applyAlignment="1" applyFont="1">
      <alignment horizontal="right"/>
    </xf>
    <xf borderId="3" fillId="0" fontId="1" numFmtId="0" xfId="0" applyBorder="1" applyFont="1"/>
    <xf borderId="8" fillId="0" fontId="1" numFmtId="0" xfId="0" applyBorder="1" applyFont="1"/>
    <xf borderId="4" fillId="0" fontId="1" numFmtId="0" xfId="0" applyBorder="1" applyFont="1"/>
    <xf borderId="3" fillId="2" fontId="0" numFmtId="0" xfId="0" applyBorder="1" applyFont="1"/>
    <xf borderId="3" fillId="0" fontId="0" numFmtId="0" xfId="0" applyBorder="1" applyFont="1"/>
    <xf borderId="0" fillId="0" fontId="4" numFmtId="0" xfId="0" applyFont="1"/>
    <xf borderId="0" fillId="0" fontId="2" numFmtId="0" xfId="0" applyAlignment="1" applyFont="1">
      <alignment horizontal="center"/>
    </xf>
    <xf borderId="0" fillId="0" fontId="3" numFmtId="0" xfId="0" applyAlignment="1" applyFont="1">
      <alignment horizontal="center"/>
    </xf>
    <xf borderId="5" fillId="2" fontId="0" numFmtId="0" xfId="0" applyBorder="1" applyFont="1"/>
    <xf borderId="9" fillId="3" fontId="0" numFmtId="0" xfId="0" applyBorder="1" applyFont="1"/>
    <xf borderId="1" fillId="0" fontId="0" numFmtId="0" xfId="0" applyBorder="1" applyFont="1"/>
    <xf borderId="2" fillId="0" fontId="0" numFmtId="0" xfId="0" applyBorder="1" applyFont="1"/>
    <xf borderId="5" fillId="0" fontId="0" numFmtId="0" xfId="0" applyBorder="1" applyFont="1"/>
    <xf borderId="6" fillId="0" fontId="0" numFmtId="0" xfId="0" applyBorder="1" applyFont="1"/>
    <xf borderId="7" fillId="0" fontId="2" numFmtId="0" xfId="0" applyBorder="1" applyFont="1"/>
    <xf borderId="2" fillId="0" fontId="2" numFmtId="0" xfId="0" applyBorder="1" applyFont="1"/>
    <xf borderId="10" fillId="0" fontId="2" numFmtId="0" xfId="0" applyAlignment="1" applyBorder="1" applyFont="1">
      <alignment horizontal="center"/>
    </xf>
    <xf borderId="11" fillId="0" fontId="5" numFmtId="0" xfId="0" applyBorder="1" applyFont="1"/>
    <xf borderId="12" fillId="0" fontId="5" numFmtId="0" xfId="0" applyBorder="1" applyFont="1"/>
    <xf borderId="9" fillId="0" fontId="0" numFmtId="0" xfId="0" applyBorder="1" applyFont="1"/>
    <xf borderId="13" fillId="0" fontId="6" numFmtId="0" xfId="0" applyAlignment="1" applyBorder="1" applyFont="1">
      <alignment horizontal="center" readingOrder="0"/>
    </xf>
    <xf borderId="13" fillId="0" fontId="5" numFmtId="0" xfId="0" applyAlignment="1" applyBorder="1" applyFont="1">
      <alignment horizontal="center" readingOrder="0"/>
    </xf>
    <xf borderId="13" fillId="4" fontId="5" numFmtId="0" xfId="0" applyAlignment="1" applyBorder="1" applyFill="1" applyFont="1">
      <alignment horizontal="center" readingOrder="0" shrinkToFit="0" wrapText="1"/>
    </xf>
    <xf borderId="13" fillId="5" fontId="5" numFmtId="0" xfId="0" applyAlignment="1" applyBorder="1" applyFill="1" applyFont="1">
      <alignment horizontal="center" readingOrder="0" shrinkToFit="0" wrapText="1"/>
    </xf>
    <xf borderId="13" fillId="6" fontId="5" numFmtId="0" xfId="0" applyAlignment="1" applyBorder="1" applyFill="1" applyFont="1">
      <alignment horizontal="center" readingOrder="0" shrinkToFit="0" wrapText="1"/>
    </xf>
    <xf borderId="0" fillId="7" fontId="7" numFmtId="0" xfId="0" applyAlignment="1" applyFill="1" applyFont="1">
      <alignment horizontal="center" readingOrder="0"/>
    </xf>
    <xf borderId="0" fillId="0" fontId="7" numFmtId="0" xfId="0" applyFont="1"/>
    <xf borderId="0" fillId="7" fontId="7" numFmtId="0" xfId="0" applyAlignment="1" applyFont="1">
      <alignment horizontal="center" readingOrder="0" shrinkToFit="0" wrapText="1"/>
    </xf>
    <xf borderId="0" fillId="8" fontId="7" numFmtId="0" xfId="0" applyAlignment="1" applyFill="1" applyFont="1">
      <alignment horizontal="center" readingOrder="0"/>
    </xf>
    <xf borderId="0" fillId="8" fontId="7" numFmtId="0" xfId="0" applyAlignment="1" applyFont="1">
      <alignment horizontal="center" readingOrder="0" shrinkToFit="0" wrapText="1"/>
    </xf>
    <xf borderId="0" fillId="8" fontId="7" numFmtId="0" xfId="0" applyAlignment="1" applyFont="1">
      <alignment readingOrder="0"/>
    </xf>
    <xf borderId="0" fillId="8" fontId="5" numFmtId="0" xfId="0" applyAlignment="1" applyFont="1">
      <alignment horizontal="center" readingOrder="0"/>
    </xf>
    <xf borderId="0" fillId="7" fontId="5" numFmtId="0" xfId="0" applyAlignment="1" applyFont="1">
      <alignment readingOrder="0"/>
    </xf>
    <xf borderId="0" fillId="7" fontId="5" numFmtId="164" xfId="0" applyAlignment="1" applyFont="1" applyNumberFormat="1">
      <alignment readingOrder="0"/>
    </xf>
    <xf borderId="0" fillId="6" fontId="5" numFmtId="0" xfId="0" applyAlignment="1" applyFont="1">
      <alignment readingOrder="0"/>
    </xf>
    <xf borderId="0" fillId="0" fontId="5" numFmtId="0" xfId="0" applyAlignment="1" applyFont="1">
      <alignment readingOrder="0"/>
    </xf>
    <xf borderId="0" fillId="7" fontId="5" numFmtId="0" xfId="0" applyFont="1"/>
    <xf borderId="0" fillId="5" fontId="5" numFmtId="0" xfId="0" applyAlignment="1" applyFont="1">
      <alignment readingOrder="0"/>
    </xf>
    <xf borderId="0" fillId="5" fontId="5" numFmtId="164" xfId="0" applyAlignment="1" applyFont="1" applyNumberFormat="1">
      <alignment readingOrder="0"/>
    </xf>
    <xf borderId="0" fillId="5" fontId="5" numFmtId="0" xfId="0" applyFont="1"/>
    <xf borderId="0" fillId="5" fontId="5" numFmtId="164" xfId="0" applyFont="1" applyNumberFormat="1"/>
    <xf borderId="0" fillId="0" fontId="5" numFmtId="164" xfId="0" applyFont="1" applyNumberFormat="1"/>
    <xf borderId="0" fillId="0" fontId="5" numFmtId="164" xfId="0" applyAlignment="1" applyFont="1" applyNumberFormat="1">
      <alignment readingOrder="0"/>
    </xf>
    <xf borderId="0" fillId="0" fontId="5" numFmtId="0" xfId="0" applyAlignment="1" applyFont="1">
      <alignment readingOrder="0" shrinkToFit="0" wrapText="1"/>
    </xf>
    <xf borderId="0" fillId="6" fontId="5" numFmtId="0" xfId="0" applyFont="1"/>
    <xf borderId="0" fillId="6" fontId="5" numFmtId="164" xfId="0" applyFont="1" applyNumberFormat="1"/>
    <xf borderId="0" fillId="6" fontId="5" numFmtId="164" xfId="0" applyAlignment="1" applyFont="1" applyNumberFormat="1">
      <alignment readingOrder="0"/>
    </xf>
    <xf borderId="0" fillId="6" fontId="5" numFmtId="0" xfId="0" applyAlignment="1" applyFont="1">
      <alignment readingOrder="0" shrinkToFit="0" wrapText="1"/>
    </xf>
    <xf borderId="14" fillId="4" fontId="5" numFmtId="0" xfId="0" applyAlignment="1" applyBorder="1" applyFont="1">
      <alignment readingOrder="0"/>
    </xf>
    <xf borderId="14" fillId="4" fontId="5" numFmtId="164" xfId="0" applyAlignment="1" applyBorder="1" applyFont="1" applyNumberFormat="1">
      <alignment readingOrder="0"/>
    </xf>
    <xf borderId="14" fillId="4" fontId="5" numFmtId="0" xfId="0" applyBorder="1" applyFont="1"/>
    <xf borderId="0" fillId="7" fontId="5" numFmtId="164" xfId="0" applyFont="1" applyNumberFormat="1"/>
    <xf borderId="0" fillId="4" fontId="5" numFmtId="0" xfId="0" applyAlignment="1" applyFont="1">
      <alignment readingOrder="0"/>
    </xf>
    <xf borderId="0" fillId="4" fontId="5" numFmtId="164" xfId="0" applyAlignment="1" applyFont="1" applyNumberFormat="1">
      <alignment readingOrder="0"/>
    </xf>
    <xf borderId="0" fillId="4" fontId="5" numFmtId="164" xfId="0" applyFont="1" applyNumberFormat="1"/>
    <xf borderId="14" fillId="5" fontId="5" numFmtId="0" xfId="0" applyAlignment="1" applyBorder="1" applyFont="1">
      <alignment readingOrder="0"/>
    </xf>
    <xf borderId="14" fillId="5" fontId="5" numFmtId="164" xfId="0" applyBorder="1" applyFont="1" applyNumberFormat="1"/>
    <xf borderId="14" fillId="5" fontId="5" numFmtId="164" xfId="0" applyAlignment="1" applyBorder="1" applyFont="1" applyNumberFormat="1">
      <alignment readingOrder="0"/>
    </xf>
    <xf borderId="0" fillId="0" fontId="8" numFmtId="0" xfId="0" applyAlignment="1" applyFont="1">
      <alignment readingOrder="0"/>
    </xf>
    <xf borderId="0" fillId="0" fontId="7" numFmtId="0" xfId="0" applyAlignment="1" applyFont="1">
      <alignment readingOrder="0"/>
    </xf>
    <xf borderId="0" fillId="0" fontId="5" numFmtId="0" xfId="0" applyAlignment="1" applyFont="1">
      <alignment horizontal="left" readingOrder="0"/>
    </xf>
    <xf borderId="0" fillId="0" fontId="5" numFmtId="0" xfId="0" applyAlignment="1" applyFont="1">
      <alignment horizontal="left"/>
    </xf>
    <xf borderId="0" fillId="6" fontId="5" numFmtId="0" xfId="0" applyAlignment="1" applyFont="1">
      <alignment horizontal="left" readingOrder="0"/>
    </xf>
    <xf borderId="0" fillId="9"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47625</xdr:colOff>
      <xdr:row>8</xdr:row>
      <xdr:rowOff>428625</xdr:rowOff>
    </xdr:from>
    <xdr:ext cx="2990850" cy="1114425"/>
    <xdr:sp>
      <xdr:nvSpPr>
        <xdr:cNvPr id="3" name="Shape 3"/>
        <xdr:cNvSpPr/>
      </xdr:nvSpPr>
      <xdr:spPr>
        <a:xfrm>
          <a:off x="3855338" y="3232313"/>
          <a:ext cx="2981325" cy="1095375"/>
        </a:xfrm>
        <a:prstGeom prst="ellipse">
          <a:avLst/>
        </a:prstGeom>
        <a:solidFill>
          <a:schemeClr val="accent1"/>
        </a:solidFill>
        <a:ln cap="flat" cmpd="sng" w="12700">
          <a:solidFill>
            <a:srgbClr val="42719B"/>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114300</xdr:colOff>
      <xdr:row>8</xdr:row>
      <xdr:rowOff>428625</xdr:rowOff>
    </xdr:from>
    <xdr:ext cx="838200" cy="781050"/>
    <xdr:grpSp>
      <xdr:nvGrpSpPr>
        <xdr:cNvPr id="2" name="Shape 2"/>
        <xdr:cNvGrpSpPr/>
      </xdr:nvGrpSpPr>
      <xdr:grpSpPr>
        <a:xfrm>
          <a:off x="4926900" y="3394238"/>
          <a:ext cx="838200" cy="771600"/>
          <a:chOff x="4926900" y="3394238"/>
          <a:chExt cx="838200" cy="771600"/>
        </a:xfrm>
      </xdr:grpSpPr>
      <xdr:cxnSp>
        <xdr:nvCxnSpPr>
          <xdr:cNvPr id="4" name="Shape 4"/>
          <xdr:cNvCxnSpPr>
            <a:stCxn id="3" idx="0"/>
          </xdr:cNvCxnSpPr>
        </xdr:nvCxnSpPr>
        <xdr:spPr>
          <a:xfrm>
            <a:off x="4926900" y="3394238"/>
            <a:ext cx="838200" cy="7716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8</xdr:col>
      <xdr:colOff>104775</xdr:colOff>
      <xdr:row>11</xdr:row>
      <xdr:rowOff>95250</xdr:rowOff>
    </xdr:from>
    <xdr:ext cx="28575" cy="514350"/>
    <xdr:grpSp>
      <xdr:nvGrpSpPr>
        <xdr:cNvPr id="2" name="Shape 2"/>
        <xdr:cNvGrpSpPr/>
      </xdr:nvGrpSpPr>
      <xdr:grpSpPr>
        <a:xfrm>
          <a:off x="5341163" y="3522825"/>
          <a:ext cx="9600" cy="514500"/>
          <a:chOff x="5341163" y="3522825"/>
          <a:chExt cx="9600" cy="514500"/>
        </a:xfrm>
      </xdr:grpSpPr>
      <xdr:cxnSp>
        <xdr:nvCxnSpPr>
          <xdr:cNvPr id="5" name="Shape 5"/>
          <xdr:cNvCxnSpPr>
            <a:endCxn id="3" idx="4"/>
          </xdr:cNvCxnSpPr>
        </xdr:nvCxnSpPr>
        <xdr:spPr>
          <a:xfrm flipH="1">
            <a:off x="5341163" y="3522825"/>
            <a:ext cx="9600" cy="514500"/>
          </a:xfrm>
          <a:prstGeom prst="straightConnector1">
            <a:avLst/>
          </a:prstGeom>
          <a:noFill/>
          <a:ln cap="flat" cmpd="sng" w="19050">
            <a:solidFill>
              <a:schemeClr val="dk1"/>
            </a:solidFill>
            <a:prstDash val="solid"/>
            <a:miter lim="800000"/>
            <a:headEnd len="sm" w="sm" type="none"/>
            <a:tailEnd len="sm" w="sm" type="none"/>
          </a:ln>
        </xdr:spPr>
      </xdr:cxnSp>
    </xdr:grpSp>
    <xdr:clientData fLocksWithSheet="0"/>
  </xdr:oneCellAnchor>
  <xdr:oneCellAnchor>
    <xdr:from>
      <xdr:col>6</xdr:col>
      <xdr:colOff>57150</xdr:colOff>
      <xdr:row>11</xdr:row>
      <xdr:rowOff>76200</xdr:rowOff>
    </xdr:from>
    <xdr:ext cx="1514475" cy="38100"/>
    <xdr:grpSp>
      <xdr:nvGrpSpPr>
        <xdr:cNvPr id="2" name="Shape 2"/>
        <xdr:cNvGrpSpPr/>
      </xdr:nvGrpSpPr>
      <xdr:grpSpPr>
        <a:xfrm>
          <a:off x="4588763" y="3780000"/>
          <a:ext cx="1514400" cy="0"/>
          <a:chOff x="4588763" y="3780000"/>
          <a:chExt cx="1514400" cy="0"/>
        </a:xfrm>
      </xdr:grpSpPr>
      <xdr:cxnSp>
        <xdr:nvCxnSpPr>
          <xdr:cNvPr id="6" name="Shape 6"/>
          <xdr:cNvCxnSpPr>
            <a:stCxn id="3" idx="2"/>
          </xdr:cNvCxnSpPr>
        </xdr:nvCxnSpPr>
        <xdr:spPr>
          <a:xfrm>
            <a:off x="4588763" y="3780000"/>
            <a:ext cx="1514400" cy="0"/>
          </a:xfrm>
          <a:prstGeom prst="straightConnector1">
            <a:avLst/>
          </a:prstGeom>
          <a:noFill/>
          <a:ln cap="flat" cmpd="sng" w="19050">
            <a:solidFill>
              <a:srgbClr val="FF0000"/>
            </a:solidFill>
            <a:prstDash val="solid"/>
            <a:miter lim="800000"/>
            <a:headEnd len="sm" w="sm" type="none"/>
            <a:tailEnd len="sm" w="sm" type="none"/>
          </a:ln>
        </xdr:spPr>
      </xdr:cxnSp>
    </xdr:grpSp>
    <xdr:clientData fLocksWithSheet="0"/>
  </xdr:oneCellAnchor>
  <xdr:oneCellAnchor>
    <xdr:from>
      <xdr:col>6</xdr:col>
      <xdr:colOff>200025</xdr:colOff>
      <xdr:row>16</xdr:row>
      <xdr:rowOff>28575</xdr:rowOff>
    </xdr:from>
    <xdr:ext cx="28575" cy="1019175"/>
    <xdr:grpSp>
      <xdr:nvGrpSpPr>
        <xdr:cNvPr id="2" name="Shape 2"/>
        <xdr:cNvGrpSpPr/>
      </xdr:nvGrpSpPr>
      <xdr:grpSpPr>
        <a:xfrm>
          <a:off x="5341238" y="3270413"/>
          <a:ext cx="9525" cy="1019175"/>
          <a:chOff x="5341238" y="3270413"/>
          <a:chExt cx="9525" cy="1019175"/>
        </a:xfrm>
      </xdr:grpSpPr>
      <xdr:cxnSp>
        <xdr:nvCxnSpPr>
          <xdr:cNvPr id="7" name="Shape 7"/>
          <xdr:cNvCxnSpPr/>
        </xdr:nvCxnSpPr>
        <xdr:spPr>
          <a:xfrm>
            <a:off x="5341238" y="3270413"/>
            <a:ext cx="9525" cy="1019175"/>
          </a:xfrm>
          <a:prstGeom prst="straightConnector1">
            <a:avLst/>
          </a:prstGeom>
          <a:noFill/>
          <a:ln cap="flat" cmpd="sng" w="19050">
            <a:solidFill>
              <a:schemeClr val="accent2"/>
            </a:solidFill>
            <a:prstDash val="solid"/>
            <a:miter lim="800000"/>
            <a:headEnd len="sm" w="sm" type="none"/>
            <a:tailEnd len="sm" w="sm" type="none"/>
          </a:ln>
        </xdr:spPr>
      </xdr:cxnSp>
    </xdr:grpSp>
    <xdr:clientData fLocksWithSheet="0"/>
  </xdr:oneCellAnchor>
  <xdr:oneCellAnchor>
    <xdr:from>
      <xdr:col>6</xdr:col>
      <xdr:colOff>219075</xdr:colOff>
      <xdr:row>16</xdr:row>
      <xdr:rowOff>38100</xdr:rowOff>
    </xdr:from>
    <xdr:ext cx="428625" cy="914400"/>
    <xdr:grpSp>
      <xdr:nvGrpSpPr>
        <xdr:cNvPr id="2" name="Shape 2"/>
        <xdr:cNvGrpSpPr/>
      </xdr:nvGrpSpPr>
      <xdr:grpSpPr>
        <a:xfrm>
          <a:off x="5141213" y="3332325"/>
          <a:ext cx="409575" cy="895350"/>
          <a:chOff x="5141213" y="3332325"/>
          <a:chExt cx="409575" cy="895350"/>
        </a:xfrm>
      </xdr:grpSpPr>
      <xdr:cxnSp>
        <xdr:nvCxnSpPr>
          <xdr:cNvPr id="8" name="Shape 8"/>
          <xdr:cNvCxnSpPr/>
        </xdr:nvCxnSpPr>
        <xdr:spPr>
          <a:xfrm>
            <a:off x="5141213" y="3332325"/>
            <a:ext cx="409575" cy="895350"/>
          </a:xfrm>
          <a:prstGeom prst="straightConnector1">
            <a:avLst/>
          </a:prstGeom>
          <a:noFill/>
          <a:ln cap="flat" cmpd="sng" w="19050">
            <a:solidFill>
              <a:srgbClr val="000000"/>
            </a:solidFill>
            <a:prstDash val="solid"/>
            <a:miter lim="800000"/>
            <a:headEnd len="sm" w="sm" type="none"/>
            <a:tailEnd len="sm" w="sm" type="none"/>
          </a:ln>
        </xdr:spPr>
      </xdr:cxnSp>
    </xdr:grpSp>
    <xdr:clientData fLocksWithSheet="0"/>
  </xdr:oneCellAnchor>
  <xdr:oneCellAnchor>
    <xdr:from>
      <xdr:col>6</xdr:col>
      <xdr:colOff>228600</xdr:colOff>
      <xdr:row>20</xdr:row>
      <xdr:rowOff>219075</xdr:rowOff>
    </xdr:from>
    <xdr:ext cx="504825" cy="28575"/>
    <xdr:grpSp>
      <xdr:nvGrpSpPr>
        <xdr:cNvPr id="2" name="Shape 2"/>
        <xdr:cNvGrpSpPr/>
      </xdr:nvGrpSpPr>
      <xdr:grpSpPr>
        <a:xfrm>
          <a:off x="5093588" y="3775238"/>
          <a:ext cx="504825" cy="9525"/>
          <a:chOff x="5093588" y="3775238"/>
          <a:chExt cx="504825" cy="9525"/>
        </a:xfrm>
      </xdr:grpSpPr>
      <xdr:cxnSp>
        <xdr:nvCxnSpPr>
          <xdr:cNvPr id="9" name="Shape 9"/>
          <xdr:cNvCxnSpPr/>
        </xdr:nvCxnSpPr>
        <xdr:spPr>
          <a:xfrm rot="10800000">
            <a:off x="5093588" y="3775238"/>
            <a:ext cx="504825" cy="9525"/>
          </a:xfrm>
          <a:prstGeom prst="straightConnector1">
            <a:avLst/>
          </a:prstGeom>
          <a:noFill/>
          <a:ln cap="flat" cmpd="sng" w="19050">
            <a:solidFill>
              <a:srgbClr val="000000"/>
            </a:solidFill>
            <a:prstDash val="solid"/>
            <a:miter lim="800000"/>
            <a:headEnd len="sm" w="sm" type="none"/>
            <a:tailEnd len="sm" w="sm" type="none"/>
          </a:ln>
        </xdr:spPr>
      </xdr:cxnSp>
    </xdr:grpSp>
    <xdr:clientData fLocksWithSheet="0"/>
  </xdr:oneCellAnchor>
  <xdr:oneCellAnchor>
    <xdr:from>
      <xdr:col>6</xdr:col>
      <xdr:colOff>695325</xdr:colOff>
      <xdr:row>20</xdr:row>
      <xdr:rowOff>228600</xdr:rowOff>
    </xdr:from>
    <xdr:ext cx="1409700" cy="28575"/>
    <xdr:grpSp>
      <xdr:nvGrpSpPr>
        <xdr:cNvPr id="2" name="Shape 2"/>
        <xdr:cNvGrpSpPr/>
      </xdr:nvGrpSpPr>
      <xdr:grpSpPr>
        <a:xfrm>
          <a:off x="4641150" y="3775238"/>
          <a:ext cx="1409700" cy="9525"/>
          <a:chOff x="4641150" y="3775238"/>
          <a:chExt cx="1409700" cy="9525"/>
        </a:xfrm>
      </xdr:grpSpPr>
      <xdr:cxnSp>
        <xdr:nvCxnSpPr>
          <xdr:cNvPr id="10" name="Shape 10"/>
          <xdr:cNvCxnSpPr/>
        </xdr:nvCxnSpPr>
        <xdr:spPr>
          <a:xfrm rot="10800000">
            <a:off x="4641150" y="3775238"/>
            <a:ext cx="1409700" cy="9525"/>
          </a:xfrm>
          <a:prstGeom prst="straightConnector1">
            <a:avLst/>
          </a:prstGeom>
          <a:noFill/>
          <a:ln cap="flat" cmpd="sng" w="19050">
            <a:solidFill>
              <a:srgbClr val="FF0000"/>
            </a:solidFill>
            <a:prstDash val="solid"/>
            <a:miter lim="800000"/>
            <a:headEnd len="sm" w="sm" type="none"/>
            <a:tailEnd len="sm" w="sm" type="none"/>
          </a:ln>
        </xdr:spPr>
      </xdr:cxnSp>
    </xdr:grpSp>
    <xdr:clientData fLocksWithSheet="0"/>
  </xdr:oneCellAnchor>
  <xdr:oneCellAnchor>
    <xdr:from>
      <xdr:col>6</xdr:col>
      <xdr:colOff>228600</xdr:colOff>
      <xdr:row>16</xdr:row>
      <xdr:rowOff>28575</xdr:rowOff>
    </xdr:from>
    <xdr:ext cx="1866900" cy="1009650"/>
    <xdr:grpSp>
      <xdr:nvGrpSpPr>
        <xdr:cNvPr id="2" name="Shape 2"/>
        <xdr:cNvGrpSpPr/>
      </xdr:nvGrpSpPr>
      <xdr:grpSpPr>
        <a:xfrm>
          <a:off x="4422075" y="3284700"/>
          <a:ext cx="1847850" cy="990600"/>
          <a:chOff x="4422075" y="3284700"/>
          <a:chExt cx="1847850" cy="990600"/>
        </a:xfrm>
      </xdr:grpSpPr>
      <xdr:cxnSp>
        <xdr:nvCxnSpPr>
          <xdr:cNvPr id="11" name="Shape 11"/>
          <xdr:cNvCxnSpPr/>
        </xdr:nvCxnSpPr>
        <xdr:spPr>
          <a:xfrm rot="10800000">
            <a:off x="4422075" y="3284700"/>
            <a:ext cx="1847850" cy="990600"/>
          </a:xfrm>
          <a:prstGeom prst="straightConnector1">
            <a:avLst/>
          </a:prstGeom>
          <a:noFill/>
          <a:ln cap="flat" cmpd="sng" w="19050">
            <a:solidFill>
              <a:srgbClr val="0070C0"/>
            </a:solidFill>
            <a:prstDash val="solid"/>
            <a:miter lim="800000"/>
            <a:headEnd len="sm" w="sm" type="none"/>
            <a:tailEnd len="sm" w="sm" type="none"/>
          </a:ln>
        </xdr:spPr>
      </xdr:cxnSp>
    </xdr:grpSp>
    <xdr:clientData fLocksWithSheet="0"/>
  </xdr:oneCellAnchor>
  <xdr:oneCellAnchor>
    <xdr:from>
      <xdr:col>6</xdr:col>
      <xdr:colOff>228600</xdr:colOff>
      <xdr:row>16</xdr:row>
      <xdr:rowOff>28575</xdr:rowOff>
    </xdr:from>
    <xdr:ext cx="466725" cy="1028700"/>
    <xdr:grpSp>
      <xdr:nvGrpSpPr>
        <xdr:cNvPr id="2" name="Shape 2"/>
        <xdr:cNvGrpSpPr/>
      </xdr:nvGrpSpPr>
      <xdr:grpSpPr>
        <a:xfrm>
          <a:off x="5122163" y="3275175"/>
          <a:ext cx="447675" cy="1009650"/>
          <a:chOff x="5122163" y="3275175"/>
          <a:chExt cx="447675" cy="1009650"/>
        </a:xfrm>
      </xdr:grpSpPr>
      <xdr:cxnSp>
        <xdr:nvCxnSpPr>
          <xdr:cNvPr id="12" name="Shape 12"/>
          <xdr:cNvCxnSpPr/>
        </xdr:nvCxnSpPr>
        <xdr:spPr>
          <a:xfrm rot="10800000">
            <a:off x="5122163" y="3275175"/>
            <a:ext cx="447675" cy="1009650"/>
          </a:xfrm>
          <a:prstGeom prst="straightConnector1">
            <a:avLst/>
          </a:prstGeom>
          <a:noFill/>
          <a:ln cap="flat" cmpd="sng" w="19050">
            <a:solidFill>
              <a:srgbClr val="0070C0"/>
            </a:solidFill>
            <a:prstDash val="solid"/>
            <a:miter lim="800000"/>
            <a:headEnd len="sm" w="sm" type="none"/>
            <a:tailEnd len="sm" w="sm" type="none"/>
          </a:ln>
        </xdr:spPr>
      </xdr:cxnSp>
    </xdr:grpSp>
    <xdr:clientData fLocksWithSheet="0"/>
  </xdr:oneCellAnchor>
  <xdr:oneCellAnchor>
    <xdr:from>
      <xdr:col>5</xdr:col>
      <xdr:colOff>76200</xdr:colOff>
      <xdr:row>14</xdr:row>
      <xdr:rowOff>171450</xdr:rowOff>
    </xdr:from>
    <xdr:ext cx="4200525" cy="2333625"/>
    <xdr:pic>
      <xdr:nvPicPr>
        <xdr:cNvPr descr="https://lh6.googleusercontent.com/DgX8w7Eo6ePX8cilJNCWogaVPuDVDDpgXQTjZn_9wKuT33FuEi7iowisCahXr_tr3bPMRHfwtulhgkcbs-2oYPqAnHg9GwyL9TgbpVhyZX3f7Dlz85SlMKwi41783x2SxYnSyWE1"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17.43"/>
    <col customWidth="1" min="3" max="3" width="14.71"/>
    <col customWidth="1" min="4" max="4" width="14.14"/>
    <col customWidth="1" min="5" max="5" width="26.29"/>
    <col customWidth="1" min="6" max="6" width="8.71"/>
    <col customWidth="1" min="7" max="7" width="12.86"/>
    <col customWidth="1" min="8" max="26" width="8.71"/>
  </cols>
  <sheetData>
    <row r="1">
      <c r="A1" s="1" t="s">
        <v>0</v>
      </c>
    </row>
    <row r="2">
      <c r="A2" s="2" t="s">
        <v>1</v>
      </c>
      <c r="B2" s="1"/>
      <c r="C2" s="1"/>
      <c r="D2" s="1"/>
      <c r="E2" s="1"/>
      <c r="F2" s="3" t="s">
        <v>2</v>
      </c>
      <c r="G2" s="4"/>
      <c r="H2" s="4"/>
      <c r="I2" s="4"/>
    </row>
    <row r="3">
      <c r="A3" s="2" t="s">
        <v>3</v>
      </c>
      <c r="B3" s="1"/>
      <c r="C3" s="1"/>
      <c r="D3" s="1"/>
      <c r="E3" s="1"/>
      <c r="F3" s="4" t="s">
        <v>4</v>
      </c>
      <c r="G3" t="s">
        <v>5</v>
      </c>
    </row>
    <row r="4">
      <c r="A4" s="5"/>
      <c r="F4" s="4" t="s">
        <v>6</v>
      </c>
      <c r="G4" t="s">
        <v>7</v>
      </c>
    </row>
    <row r="5">
      <c r="A5" s="6" t="s">
        <v>8</v>
      </c>
      <c r="B5" s="7">
        <v>90.0</v>
      </c>
      <c r="C5" t="s">
        <v>9</v>
      </c>
      <c r="F5" s="4" t="s">
        <v>10</v>
      </c>
      <c r="G5" t="s">
        <v>11</v>
      </c>
    </row>
    <row r="6">
      <c r="A6" s="8" t="s">
        <v>12</v>
      </c>
      <c r="B6" s="9">
        <v>50.0</v>
      </c>
      <c r="C6" t="s">
        <v>13</v>
      </c>
      <c r="F6" s="4" t="s">
        <v>14</v>
      </c>
      <c r="G6" t="s">
        <v>15</v>
      </c>
    </row>
    <row r="7">
      <c r="A7" s="10" t="s">
        <v>16</v>
      </c>
      <c r="B7" s="11">
        <f>COS(B6*(PI()/180))/(COS((B5/2)*(PI()/180)))</f>
        <v>0.9090389553</v>
      </c>
      <c r="F7" s="4" t="s">
        <v>8</v>
      </c>
      <c r="G7" t="s">
        <v>17</v>
      </c>
    </row>
    <row r="8">
      <c r="A8" s="5"/>
      <c r="F8" s="4" t="s">
        <v>12</v>
      </c>
      <c r="G8" t="s">
        <v>18</v>
      </c>
    </row>
    <row r="9" ht="41.25" customHeight="1">
      <c r="A9" s="12"/>
      <c r="B9" s="13"/>
      <c r="C9" s="13" t="s">
        <v>19</v>
      </c>
      <c r="D9" s="13"/>
      <c r="E9" s="14"/>
      <c r="F9" s="5"/>
      <c r="J9" s="3"/>
      <c r="K9" s="3"/>
      <c r="L9" s="3"/>
      <c r="M9" s="3"/>
      <c r="N9" s="3"/>
      <c r="O9" s="3"/>
      <c r="P9" s="3"/>
      <c r="Q9" s="3"/>
      <c r="R9" s="3"/>
      <c r="S9" s="3"/>
      <c r="T9" s="3"/>
      <c r="U9" s="3"/>
      <c r="V9" s="3"/>
      <c r="W9" s="3"/>
      <c r="X9" s="3"/>
      <c r="Y9" s="3"/>
      <c r="Z9" s="3"/>
    </row>
    <row r="10">
      <c r="A10" s="8" t="s">
        <v>4</v>
      </c>
      <c r="B10" s="15" t="s">
        <v>6</v>
      </c>
      <c r="C10" s="15" t="s">
        <v>10</v>
      </c>
      <c r="D10" s="15" t="s">
        <v>14</v>
      </c>
      <c r="E10" s="16" t="s">
        <v>20</v>
      </c>
      <c r="F10" s="4"/>
      <c r="G10" s="4"/>
      <c r="H10" s="4"/>
      <c r="I10" s="4"/>
      <c r="J10" s="4"/>
      <c r="K10" s="4"/>
      <c r="L10" s="4"/>
      <c r="M10" s="4"/>
      <c r="N10" s="4"/>
      <c r="O10" s="4"/>
      <c r="P10" s="4"/>
      <c r="Q10" s="4"/>
      <c r="R10" s="4"/>
      <c r="S10" s="4"/>
      <c r="T10" s="4"/>
      <c r="U10" s="4"/>
      <c r="V10" s="4"/>
      <c r="W10" s="4"/>
      <c r="X10" s="4"/>
      <c r="Y10" s="4"/>
      <c r="Z10" s="4"/>
    </row>
    <row r="11">
      <c r="A11" s="17">
        <v>2.0</v>
      </c>
      <c r="B11" s="18">
        <f>A11*TAN((90-B6-B5/2)*(PI()/180))</f>
        <v>-0.1749773271</v>
      </c>
      <c r="C11" s="18">
        <f>(A11/2)*((TAN(((B5/2)+90-B6)*(PI()/180)))-TAN((90-B6-(B5/2))*(PI()/180)))</f>
        <v>11.51754097</v>
      </c>
      <c r="D11" s="18">
        <f>C11*SQRT(1-B7^2)</f>
        <v>4.799487674</v>
      </c>
      <c r="E11" s="19">
        <f>PI()*C11*D11</f>
        <v>173.6618883</v>
      </c>
      <c r="F11" s="5"/>
      <c r="G11" s="5"/>
      <c r="H11" s="5"/>
      <c r="I11" s="5"/>
      <c r="J11" s="5"/>
    </row>
    <row r="12">
      <c r="A12" s="20"/>
      <c r="B12" s="21"/>
      <c r="C12" s="21"/>
      <c r="D12" s="21"/>
      <c r="E12" s="22"/>
      <c r="F12" s="23" t="s">
        <v>10</v>
      </c>
      <c r="G12" s="5"/>
      <c r="H12" s="5"/>
      <c r="I12" s="5"/>
      <c r="J12" s="5"/>
    </row>
    <row r="13">
      <c r="A13" s="24"/>
      <c r="B13" s="25"/>
      <c r="C13" s="25" t="s">
        <v>21</v>
      </c>
      <c r="D13" s="25"/>
      <c r="E13" s="26"/>
      <c r="F13" s="3"/>
      <c r="G13" s="3"/>
      <c r="H13" s="3"/>
      <c r="I13" s="3"/>
      <c r="J13" s="3"/>
      <c r="K13" s="3"/>
      <c r="L13" s="3"/>
      <c r="M13" s="3"/>
      <c r="N13" s="3"/>
      <c r="O13" s="3"/>
      <c r="P13" s="3"/>
      <c r="Q13" s="3"/>
      <c r="R13" s="3"/>
      <c r="S13" s="3"/>
      <c r="T13" s="3"/>
      <c r="U13" s="3"/>
      <c r="V13" s="3"/>
      <c r="W13" s="3"/>
      <c r="X13" s="3"/>
      <c r="Y13" s="3"/>
      <c r="Z13" s="3"/>
    </row>
    <row r="14">
      <c r="A14" s="8" t="s">
        <v>22</v>
      </c>
      <c r="B14" s="15" t="s">
        <v>6</v>
      </c>
      <c r="C14" s="15" t="s">
        <v>10</v>
      </c>
      <c r="D14" s="15" t="s">
        <v>14</v>
      </c>
      <c r="E14" s="16" t="s">
        <v>4</v>
      </c>
      <c r="F14" s="4"/>
      <c r="G14" s="4"/>
      <c r="H14" s="4"/>
      <c r="I14" s="4"/>
      <c r="J14" s="4"/>
      <c r="K14" s="4"/>
      <c r="L14" s="4"/>
      <c r="M14" s="4"/>
      <c r="N14" s="4"/>
      <c r="O14" s="4"/>
      <c r="P14" s="4"/>
      <c r="Q14" s="4"/>
      <c r="R14" s="4"/>
      <c r="S14" s="4"/>
      <c r="T14" s="4"/>
      <c r="U14" s="4"/>
      <c r="V14" s="4"/>
      <c r="W14" s="4"/>
      <c r="X14" s="4"/>
      <c r="Y14" s="4"/>
      <c r="Z14" s="4"/>
    </row>
    <row r="15">
      <c r="A15" s="27">
        <v>28.27433388</v>
      </c>
      <c r="B15" s="18">
        <f>E15*TAN((90-B6-(B5/2))*(PI()/180))</f>
        <v>-0.3643276598</v>
      </c>
      <c r="C15" s="18">
        <f>SQRT(A15/(PI()*SQRT(1-B7^2)))</f>
        <v>4.64733198</v>
      </c>
      <c r="D15" s="18">
        <f>A15/(PI()*C15)</f>
        <v>1.936595027</v>
      </c>
      <c r="E15" s="19">
        <f>(2*C15)/(TAN((((B6/2)+90-B6))*(PI()/180))-TAN((90-B6-(B5/2))*(PI()/180)))</f>
        <v>4.164284207</v>
      </c>
      <c r="F15" s="5"/>
      <c r="G15" s="5"/>
      <c r="H15" s="5"/>
      <c r="I15" s="4" t="s">
        <v>14</v>
      </c>
      <c r="J15" s="5"/>
    </row>
    <row r="16">
      <c r="A16" s="28"/>
      <c r="B16" s="21"/>
      <c r="C16" s="21"/>
      <c r="D16" s="21"/>
      <c r="E16" s="22"/>
      <c r="F16" s="5"/>
      <c r="G16" s="5"/>
      <c r="H16" s="5"/>
      <c r="I16" s="5"/>
      <c r="J16" s="5"/>
    </row>
    <row r="17">
      <c r="A17" s="24"/>
      <c r="B17" s="25"/>
      <c r="C17" s="25" t="s">
        <v>23</v>
      </c>
      <c r="D17" s="25"/>
      <c r="E17" s="26"/>
      <c r="F17" s="3"/>
      <c r="G17" s="3"/>
      <c r="H17" s="3"/>
      <c r="I17" s="3"/>
      <c r="J17" s="3"/>
      <c r="K17" s="3"/>
      <c r="L17" s="3"/>
      <c r="M17" s="3"/>
      <c r="N17" s="3"/>
      <c r="O17" s="3"/>
      <c r="P17" s="3"/>
      <c r="Q17" s="3"/>
      <c r="R17" s="3"/>
      <c r="S17" s="3"/>
      <c r="T17" s="3"/>
      <c r="U17" s="3"/>
      <c r="V17" s="3"/>
      <c r="W17" s="3"/>
      <c r="X17" s="3"/>
      <c r="Y17" s="3"/>
      <c r="Z17" s="3"/>
    </row>
    <row r="18">
      <c r="A18" s="8" t="s">
        <v>10</v>
      </c>
      <c r="B18" s="15" t="s">
        <v>6</v>
      </c>
      <c r="C18" s="15" t="s">
        <v>14</v>
      </c>
      <c r="D18" s="15" t="s">
        <v>20</v>
      </c>
      <c r="E18" s="16" t="s">
        <v>4</v>
      </c>
      <c r="F18" s="4"/>
      <c r="G18" s="4"/>
      <c r="H18" s="4"/>
      <c r="I18" s="4"/>
      <c r="J18" s="4"/>
      <c r="K18" s="4"/>
      <c r="L18" s="4"/>
      <c r="M18" s="4"/>
      <c r="N18" s="4"/>
      <c r="O18" s="4"/>
      <c r="P18" s="4"/>
      <c r="Q18" s="4"/>
      <c r="R18" s="4"/>
      <c r="S18" s="4"/>
      <c r="T18" s="4"/>
      <c r="U18" s="4"/>
      <c r="V18" s="4"/>
      <c r="W18" s="4"/>
      <c r="X18" s="4"/>
      <c r="Y18" s="4"/>
      <c r="Z18" s="4"/>
    </row>
    <row r="19">
      <c r="A19" s="27">
        <v>3.0</v>
      </c>
      <c r="B19" s="18">
        <f>E19*TAN((90-B6-(B5/2))*(PI()/180))</f>
        <v>-0.2351850447</v>
      </c>
      <c r="C19" s="18">
        <f>A19*SQRT(1-B7^2)</f>
        <v>1.250133432</v>
      </c>
      <c r="D19" s="18">
        <f>PI()*A19*C19</f>
        <v>11.78223002</v>
      </c>
      <c r="E19" s="19">
        <f>(2*A19)/(TAN((((B6/2)+90-B6))*(PI()/180))-TAN((90-B6-(B5/2))*(PI()/180)))</f>
        <v>2.688177362</v>
      </c>
      <c r="F19" s="5"/>
      <c r="G19" s="29" t="s">
        <v>4</v>
      </c>
      <c r="H19" s="5"/>
      <c r="I19" s="5"/>
      <c r="J19" s="5"/>
    </row>
    <row r="20">
      <c r="A20" s="28"/>
      <c r="B20" s="21"/>
      <c r="C20" s="21"/>
      <c r="D20" s="21"/>
      <c r="E20" s="22"/>
      <c r="F20" s="5"/>
      <c r="G20" s="5"/>
      <c r="H20" s="5"/>
      <c r="I20" s="5"/>
      <c r="J20" s="5"/>
    </row>
    <row r="21" ht="15.75" customHeight="1">
      <c r="A21" s="24"/>
      <c r="B21" s="25"/>
      <c r="C21" s="25" t="s">
        <v>24</v>
      </c>
      <c r="D21" s="25"/>
      <c r="E21" s="26"/>
      <c r="F21" s="3"/>
      <c r="G21" s="3"/>
      <c r="H21" s="3"/>
      <c r="I21" s="3"/>
      <c r="J21" s="3"/>
      <c r="L21" s="3"/>
      <c r="M21" s="3"/>
      <c r="N21" s="3"/>
      <c r="O21" s="3"/>
      <c r="P21" s="3"/>
      <c r="Q21" s="3"/>
      <c r="R21" s="3"/>
      <c r="S21" s="3"/>
      <c r="T21" s="3"/>
      <c r="U21" s="3"/>
      <c r="V21" s="3"/>
      <c r="W21" s="3"/>
      <c r="X21" s="3"/>
      <c r="Y21" s="3"/>
      <c r="Z21" s="3"/>
    </row>
    <row r="22" ht="15.75" customHeight="1">
      <c r="A22" s="8" t="s">
        <v>14</v>
      </c>
      <c r="B22" s="15" t="s">
        <v>6</v>
      </c>
      <c r="C22" s="15" t="s">
        <v>10</v>
      </c>
      <c r="D22" s="15" t="s">
        <v>20</v>
      </c>
      <c r="E22" s="16" t="s">
        <v>4</v>
      </c>
      <c r="F22" s="4"/>
      <c r="G22" s="30" t="s">
        <v>6</v>
      </c>
      <c r="H22" s="31" t="s">
        <v>25</v>
      </c>
      <c r="I22" s="4"/>
      <c r="J22" s="4"/>
      <c r="K22" s="4"/>
      <c r="L22" s="4"/>
      <c r="M22" s="4"/>
      <c r="N22" s="4"/>
      <c r="O22" s="4"/>
      <c r="P22" s="4"/>
      <c r="Q22" s="4"/>
      <c r="R22" s="4"/>
      <c r="S22" s="4"/>
      <c r="T22" s="4"/>
      <c r="U22" s="4"/>
      <c r="V22" s="4"/>
      <c r="W22" s="4"/>
      <c r="X22" s="4"/>
      <c r="Y22" s="4"/>
      <c r="Z22" s="4"/>
    </row>
    <row r="23" ht="15.75" customHeight="1">
      <c r="A23" s="32">
        <v>3.75</v>
      </c>
      <c r="B23" s="33">
        <f>E23*TAN((90-B6-(B5/2))*(PI()/180))</f>
        <v>-0.7054798269</v>
      </c>
      <c r="C23" s="33">
        <f>A23/SQRT(1-B7^2)</f>
        <v>8.999039389</v>
      </c>
      <c r="D23" s="33">
        <f>PI()*C23*A23</f>
        <v>106.0174351</v>
      </c>
      <c r="E23" s="11">
        <f>(2*C23)/(TAN((((B6/2)+90-B6))*(PI()/180))-TAN((90-B6-(B5/2))*(PI()/180)))</f>
        <v>8.06367132</v>
      </c>
      <c r="F23" s="5"/>
      <c r="G23" s="5"/>
      <c r="H23" s="5"/>
      <c r="I23" s="5"/>
      <c r="J23" s="5"/>
    </row>
    <row r="24" ht="15.75" customHeight="1">
      <c r="A24" s="5"/>
    </row>
    <row r="25" ht="15.75" customHeight="1">
      <c r="A25" s="5"/>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5"/>
    </row>
    <row r="28" ht="15.75" customHeight="1">
      <c r="A28" s="5"/>
      <c r="I28" t="s">
        <v>26</v>
      </c>
    </row>
    <row r="29" ht="15.75" customHeight="1">
      <c r="A29" s="5"/>
    </row>
    <row r="30" ht="15.75" customHeight="1">
      <c r="A30" s="5"/>
    </row>
    <row r="31" ht="15.75" customHeight="1">
      <c r="A31" s="5"/>
    </row>
    <row r="32" ht="15.75" customHeight="1">
      <c r="A32" s="5"/>
    </row>
    <row r="33" ht="15.75" customHeight="1">
      <c r="A33" s="5"/>
    </row>
    <row r="34" ht="15.75" customHeight="1">
      <c r="A34" s="5"/>
    </row>
    <row r="35" ht="15.75" customHeight="1">
      <c r="A35" s="5"/>
    </row>
    <row r="36" ht="15.75" customHeight="1">
      <c r="A36" s="5"/>
    </row>
    <row r="37" ht="15.75" customHeight="1">
      <c r="A37" s="5"/>
    </row>
    <row r="38" ht="15.75" customHeight="1">
      <c r="A38" s="5"/>
    </row>
    <row r="39" ht="15.75" customHeight="1">
      <c r="A39" s="5"/>
    </row>
    <row r="40" ht="15.75" customHeight="1">
      <c r="A40" s="5"/>
    </row>
    <row r="41" ht="15.75" customHeight="1">
      <c r="A41" s="5"/>
    </row>
    <row r="42" ht="15.75" customHeight="1">
      <c r="A42" s="5"/>
    </row>
    <row r="43" ht="15.75" customHeight="1">
      <c r="A43" s="5"/>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mergeCells count="1">
    <mergeCell ref="A1:E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5.57"/>
    <col customWidth="1" min="4" max="26" width="8.71"/>
  </cols>
  <sheetData>
    <row r="3">
      <c r="B3" s="34" t="s">
        <v>12</v>
      </c>
      <c r="C3" s="35">
        <v>45.0</v>
      </c>
    </row>
    <row r="4">
      <c r="B4" s="28" t="s">
        <v>6</v>
      </c>
      <c r="C4" s="22">
        <f>(0.76+2.52)/2</f>
        <v>1.64</v>
      </c>
    </row>
    <row r="5">
      <c r="B5" s="36" t="s">
        <v>27</v>
      </c>
      <c r="C5" s="37">
        <f>(SQRT(C4^2+(TAN(C3*(PI()/180)))^2))/(C4+1.774*(C4+1.182)^-0.733)</f>
        <v>0.7778955253</v>
      </c>
    </row>
    <row r="7">
      <c r="B7" s="6" t="s">
        <v>4</v>
      </c>
      <c r="C7" s="38" t="s">
        <v>28</v>
      </c>
      <c r="D7" s="39" t="s">
        <v>29</v>
      </c>
    </row>
    <row r="8">
      <c r="B8" s="28">
        <v>1.0</v>
      </c>
      <c r="C8" s="21">
        <f t="shared" ref="C8:C26" si="1">EXP(1.64*LN(0.141*B8))</f>
        <v>0.04024568695</v>
      </c>
      <c r="D8" s="22">
        <f>1-EXP(-C8*C5)</f>
        <v>0.03082195189</v>
      </c>
    </row>
    <row r="9">
      <c r="B9" s="28">
        <f t="shared" ref="B9:B26" si="2">B8+0.5</f>
        <v>1.5</v>
      </c>
      <c r="C9" s="21">
        <f t="shared" si="1"/>
        <v>0.07825444391</v>
      </c>
      <c r="D9" s="22">
        <f t="shared" ref="D9:D26" si="3">1-EXP(-C9*$C$5)</f>
        <v>0.05905800367</v>
      </c>
    </row>
    <row r="10">
      <c r="B10" s="28">
        <f t="shared" si="2"/>
        <v>2</v>
      </c>
      <c r="C10" s="21">
        <f t="shared" si="1"/>
        <v>0.125432055</v>
      </c>
      <c r="D10" s="22">
        <f t="shared" si="3"/>
        <v>0.09296390564</v>
      </c>
    </row>
    <row r="11">
      <c r="B11" s="28">
        <f t="shared" si="2"/>
        <v>2.5</v>
      </c>
      <c r="C11" s="21">
        <f t="shared" si="1"/>
        <v>0.1808593472</v>
      </c>
      <c r="D11" s="22">
        <f t="shared" si="3"/>
        <v>0.1312411342</v>
      </c>
    </row>
    <row r="12">
      <c r="B12" s="28">
        <f t="shared" si="2"/>
        <v>3</v>
      </c>
      <c r="C12" s="21">
        <f t="shared" si="1"/>
        <v>0.2438923636</v>
      </c>
      <c r="D12" s="22">
        <f t="shared" si="3"/>
        <v>0.1728115832</v>
      </c>
    </row>
    <row r="13">
      <c r="B13" s="28">
        <f t="shared" si="2"/>
        <v>3.5</v>
      </c>
      <c r="C13" s="21">
        <f t="shared" si="1"/>
        <v>0.3140443161</v>
      </c>
      <c r="D13" s="22">
        <f t="shared" si="3"/>
        <v>0.2167424174</v>
      </c>
    </row>
    <row r="14">
      <c r="B14" s="28">
        <f t="shared" si="2"/>
        <v>4</v>
      </c>
      <c r="C14" s="21">
        <f t="shared" si="1"/>
        <v>0.3909288577</v>
      </c>
      <c r="D14" s="22">
        <f t="shared" si="3"/>
        <v>0.2622142507</v>
      </c>
    </row>
    <row r="15">
      <c r="B15" s="28">
        <f t="shared" si="2"/>
        <v>4.5</v>
      </c>
      <c r="C15" s="21">
        <f t="shared" si="1"/>
        <v>0.4742287368</v>
      </c>
      <c r="D15" s="22">
        <f t="shared" si="3"/>
        <v>0.3085057287</v>
      </c>
    </row>
    <row r="16">
      <c r="B16" s="28">
        <f t="shared" si="2"/>
        <v>5</v>
      </c>
      <c r="C16" s="21">
        <f t="shared" si="1"/>
        <v>0.563676789</v>
      </c>
      <c r="D16" s="22">
        <f t="shared" si="3"/>
        <v>0.3549849647</v>
      </c>
    </row>
    <row r="17">
      <c r="B17" s="28">
        <f t="shared" si="2"/>
        <v>5.5</v>
      </c>
      <c r="C17" s="21">
        <f t="shared" si="1"/>
        <v>0.659043613</v>
      </c>
      <c r="D17" s="22">
        <f t="shared" si="3"/>
        <v>0.4011038556</v>
      </c>
    </row>
    <row r="18">
      <c r="B18" s="28">
        <f t="shared" si="2"/>
        <v>6</v>
      </c>
      <c r="C18" s="21">
        <f t="shared" si="1"/>
        <v>0.7601291638</v>
      </c>
      <c r="D18" s="22">
        <f t="shared" si="3"/>
        <v>0.4463934677</v>
      </c>
    </row>
    <row r="19">
      <c r="B19" s="28">
        <f t="shared" si="2"/>
        <v>6.5</v>
      </c>
      <c r="C19" s="21">
        <f t="shared" si="1"/>
        <v>0.8667567843</v>
      </c>
      <c r="D19" s="22">
        <f t="shared" si="3"/>
        <v>0.4904596448</v>
      </c>
    </row>
    <row r="20">
      <c r="B20" s="28">
        <f t="shared" si="2"/>
        <v>7</v>
      </c>
      <c r="C20" s="21">
        <f t="shared" si="1"/>
        <v>0.9787688302</v>
      </c>
      <c r="D20" s="22">
        <f t="shared" si="3"/>
        <v>0.5329784577</v>
      </c>
    </row>
    <row r="21" ht="15.75" customHeight="1">
      <c r="B21" s="28">
        <f t="shared" si="2"/>
        <v>7.5</v>
      </c>
      <c r="C21" s="21">
        <f t="shared" si="1"/>
        <v>1.096023376</v>
      </c>
      <c r="D21" s="22">
        <f t="shared" si="3"/>
        <v>0.5736913564</v>
      </c>
      <c r="F21" s="40" t="s">
        <v>30</v>
      </c>
      <c r="G21" s="41"/>
      <c r="H21" s="41"/>
      <c r="I21" s="42"/>
    </row>
    <row r="22" ht="15.75" customHeight="1">
      <c r="B22" s="28">
        <f t="shared" si="2"/>
        <v>8</v>
      </c>
      <c r="C22" s="21">
        <f t="shared" si="1"/>
        <v>1.218391676</v>
      </c>
      <c r="D22" s="22">
        <f t="shared" si="3"/>
        <v>0.6124000132</v>
      </c>
      <c r="F22" s="28" t="s">
        <v>6</v>
      </c>
      <c r="G22" s="21">
        <v>0.76</v>
      </c>
      <c r="H22" s="21">
        <v>1.37</v>
      </c>
      <c r="I22" s="22">
        <v>2.52</v>
      </c>
    </row>
    <row r="23" ht="15.75" customHeight="1">
      <c r="B23" s="28">
        <f t="shared" si="2"/>
        <v>8.5</v>
      </c>
      <c r="C23" s="21">
        <f t="shared" si="1"/>
        <v>1.34575618</v>
      </c>
      <c r="D23" s="22">
        <f t="shared" si="3"/>
        <v>0.6489609158</v>
      </c>
      <c r="F23" s="36" t="s">
        <v>29</v>
      </c>
      <c r="G23" s="43">
        <v>0.7</v>
      </c>
      <c r="H23" s="43">
        <v>0.73</v>
      </c>
      <c r="I23" s="37">
        <v>0.77</v>
      </c>
    </row>
    <row r="24" ht="15.75" customHeight="1">
      <c r="B24" s="28">
        <f t="shared" si="2"/>
        <v>9</v>
      </c>
      <c r="C24" s="21">
        <f t="shared" si="1"/>
        <v>1.478008937</v>
      </c>
      <c r="D24" s="22">
        <f t="shared" si="3"/>
        <v>0.6832797981</v>
      </c>
    </row>
    <row r="25" ht="15.75" customHeight="1">
      <c r="B25" s="28">
        <f t="shared" si="2"/>
        <v>9.5</v>
      </c>
      <c r="C25" s="21">
        <f t="shared" si="1"/>
        <v>1.615050317</v>
      </c>
      <c r="D25" s="22">
        <f t="shared" si="3"/>
        <v>0.7153060157</v>
      </c>
    </row>
    <row r="26" ht="15.75" customHeight="1">
      <c r="B26" s="36">
        <f t="shared" si="2"/>
        <v>10</v>
      </c>
      <c r="C26" s="43">
        <f t="shared" si="1"/>
        <v>1.756787953</v>
      </c>
      <c r="D26" s="37">
        <f t="shared" si="3"/>
        <v>0.7450269658</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21:I2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0"/>
  <cols>
    <col customWidth="1" min="1" max="1" width="12.43"/>
    <col customWidth="1" min="2" max="2" width="19.29"/>
    <col customWidth="1" min="3" max="3" width="18.57"/>
    <col customWidth="1" min="4" max="4" width="22.29"/>
    <col customWidth="1" min="5" max="5" width="23.14"/>
    <col customWidth="1" min="6" max="6" width="16.57"/>
    <col customWidth="1" min="7" max="7" width="16.14"/>
    <col customWidth="1" min="8" max="8" width="18.43"/>
    <col customWidth="1" min="9" max="9" width="49.71"/>
  </cols>
  <sheetData>
    <row r="1">
      <c r="A1" s="44" t="s">
        <v>31</v>
      </c>
      <c r="B1" s="45" t="s">
        <v>32</v>
      </c>
      <c r="C1" s="46" t="s">
        <v>33</v>
      </c>
      <c r="D1" s="47" t="s">
        <v>34</v>
      </c>
      <c r="E1" s="48" t="s">
        <v>35</v>
      </c>
      <c r="F1" s="49"/>
      <c r="G1" s="49"/>
      <c r="H1" s="49"/>
      <c r="I1" s="50"/>
      <c r="J1" s="50"/>
      <c r="K1" s="50"/>
      <c r="L1" s="50"/>
      <c r="M1" s="50"/>
      <c r="N1" s="50"/>
      <c r="O1" s="50"/>
      <c r="P1" s="50"/>
      <c r="Q1" s="50"/>
      <c r="R1" s="50"/>
      <c r="S1" s="50"/>
      <c r="T1" s="50"/>
      <c r="U1" s="50"/>
      <c r="V1" s="50"/>
      <c r="W1" s="50"/>
      <c r="X1" s="50"/>
      <c r="Y1" s="50"/>
      <c r="Z1" s="50"/>
      <c r="AA1" s="50"/>
    </row>
    <row r="2" ht="12.75" customHeight="1">
      <c r="A2" s="49"/>
      <c r="B2" s="51"/>
      <c r="C2" s="49"/>
      <c r="D2" s="51"/>
      <c r="E2" s="51"/>
      <c r="F2" s="49"/>
      <c r="G2" s="49"/>
      <c r="H2" s="49"/>
      <c r="I2" s="50"/>
      <c r="J2" s="50"/>
      <c r="K2" s="50"/>
      <c r="L2" s="50"/>
      <c r="M2" s="50"/>
      <c r="N2" s="50"/>
      <c r="O2" s="50"/>
      <c r="P2" s="50"/>
      <c r="Q2" s="50"/>
      <c r="R2" s="50"/>
      <c r="S2" s="50"/>
      <c r="T2" s="50"/>
      <c r="U2" s="50"/>
      <c r="V2" s="50"/>
      <c r="W2" s="50"/>
      <c r="X2" s="50"/>
      <c r="Y2" s="50"/>
      <c r="Z2" s="50"/>
      <c r="AA2" s="50"/>
    </row>
    <row r="3">
      <c r="A3" s="52" t="s">
        <v>36</v>
      </c>
      <c r="B3" s="53" t="s">
        <v>37</v>
      </c>
      <c r="C3" s="52" t="s">
        <v>38</v>
      </c>
      <c r="D3" s="53" t="s">
        <v>39</v>
      </c>
      <c r="E3" s="53" t="s">
        <v>39</v>
      </c>
      <c r="F3" s="52" t="s">
        <v>40</v>
      </c>
      <c r="G3" s="52" t="s">
        <v>41</v>
      </c>
      <c r="H3" s="52" t="s">
        <v>42</v>
      </c>
      <c r="I3" s="54" t="s">
        <v>43</v>
      </c>
      <c r="J3" s="50"/>
      <c r="K3" s="50"/>
      <c r="L3" s="50"/>
      <c r="M3" s="50"/>
      <c r="N3" s="50"/>
      <c r="O3" s="50"/>
      <c r="P3" s="50"/>
      <c r="Q3" s="50"/>
      <c r="R3" s="50"/>
      <c r="S3" s="50"/>
      <c r="T3" s="50"/>
      <c r="U3" s="50"/>
      <c r="V3" s="50"/>
      <c r="W3" s="50"/>
      <c r="X3" s="50"/>
      <c r="Y3" s="50"/>
      <c r="Z3" s="50"/>
      <c r="AA3" s="50"/>
    </row>
    <row r="4">
      <c r="A4" s="55" t="s">
        <v>44</v>
      </c>
      <c r="B4" s="55" t="s">
        <v>45</v>
      </c>
      <c r="C4" s="55" t="s">
        <v>46</v>
      </c>
      <c r="D4" s="55" t="s">
        <v>47</v>
      </c>
      <c r="E4" s="55" t="s">
        <v>48</v>
      </c>
      <c r="F4" s="55" t="s">
        <v>49</v>
      </c>
      <c r="G4" s="55" t="s">
        <v>50</v>
      </c>
      <c r="H4" s="55" t="s">
        <v>51</v>
      </c>
    </row>
    <row r="5">
      <c r="A5" s="56">
        <v>90.0</v>
      </c>
      <c r="B5" s="56">
        <v>50.0</v>
      </c>
      <c r="C5" s="56">
        <v>1.0</v>
      </c>
      <c r="D5" s="56">
        <v>-0.087</v>
      </c>
      <c r="E5" s="56">
        <f t="shared" ref="E5:E11" si="1">D5*12</f>
        <v>-1.044</v>
      </c>
      <c r="F5" s="56">
        <v>11.52</v>
      </c>
      <c r="G5" s="57">
        <v>4.799</v>
      </c>
      <c r="H5" s="57">
        <f>'Angle of Sensor'!E11</f>
        <v>173.6618883</v>
      </c>
    </row>
    <row r="6">
      <c r="A6" s="56">
        <v>90.0</v>
      </c>
      <c r="B6" s="56">
        <v>55.0</v>
      </c>
      <c r="C6" s="56">
        <v>1.0</v>
      </c>
      <c r="D6" s="56">
        <v>-0.176</v>
      </c>
      <c r="E6" s="56">
        <f t="shared" si="1"/>
        <v>-2.112</v>
      </c>
      <c r="F6" s="56">
        <v>5.848</v>
      </c>
      <c r="G6" s="57">
        <v>3.42</v>
      </c>
      <c r="H6" s="57">
        <v>15.706</v>
      </c>
    </row>
    <row r="7">
      <c r="A7" s="56">
        <v>90.0</v>
      </c>
      <c r="B7" s="56">
        <v>60.0</v>
      </c>
      <c r="C7" s="56">
        <v>1.0</v>
      </c>
      <c r="D7" s="56">
        <v>-0.268</v>
      </c>
      <c r="E7" s="56">
        <f t="shared" si="1"/>
        <v>-3.216</v>
      </c>
      <c r="F7" s="56">
        <v>4.0</v>
      </c>
      <c r="G7" s="57">
        <v>2.828</v>
      </c>
      <c r="H7" s="57">
        <v>8.886</v>
      </c>
    </row>
    <row r="8">
      <c r="A8" s="56">
        <v>90.0</v>
      </c>
      <c r="B8" s="58">
        <v>65.0</v>
      </c>
      <c r="C8" s="56">
        <v>1.0</v>
      </c>
      <c r="D8" s="56">
        <v>-0.364</v>
      </c>
      <c r="E8" s="56">
        <f t="shared" si="1"/>
        <v>-4.368</v>
      </c>
      <c r="F8" s="56">
        <v>3.111</v>
      </c>
      <c r="G8" s="57">
        <v>2.495</v>
      </c>
      <c r="H8" s="57">
        <v>6.096</v>
      </c>
    </row>
    <row r="9">
      <c r="A9" s="56">
        <v>90.0</v>
      </c>
      <c r="B9" s="59">
        <v>70.0</v>
      </c>
      <c r="C9" s="56">
        <v>1.0</v>
      </c>
      <c r="D9" s="56">
        <v>-0.466</v>
      </c>
      <c r="E9" s="56">
        <f t="shared" si="1"/>
        <v>-5.592</v>
      </c>
      <c r="F9" s="56">
        <v>2.611</v>
      </c>
      <c r="G9" s="57">
        <v>2.285</v>
      </c>
      <c r="H9" s="57">
        <v>4.686</v>
      </c>
    </row>
    <row r="10">
      <c r="A10" s="56">
        <v>90.0</v>
      </c>
      <c r="B10" s="56">
        <v>75.0</v>
      </c>
      <c r="C10" s="56">
        <v>1.0</v>
      </c>
      <c r="D10" s="56">
        <v>-0.577</v>
      </c>
      <c r="E10" s="56">
        <f t="shared" si="1"/>
        <v>-6.924</v>
      </c>
      <c r="F10" s="56">
        <v>2.309</v>
      </c>
      <c r="G10" s="57">
        <v>2.149</v>
      </c>
      <c r="H10" s="57">
        <v>3.898</v>
      </c>
      <c r="I10" s="60"/>
      <c r="J10" s="60"/>
      <c r="K10" s="60"/>
      <c r="L10" s="60"/>
      <c r="M10" s="60"/>
      <c r="N10" s="60"/>
      <c r="O10" s="60"/>
      <c r="P10" s="60"/>
      <c r="Q10" s="60"/>
      <c r="R10" s="60"/>
      <c r="S10" s="60"/>
      <c r="T10" s="60"/>
      <c r="U10" s="60"/>
      <c r="V10" s="60"/>
      <c r="W10" s="60"/>
      <c r="X10" s="60"/>
      <c r="Y10" s="60"/>
      <c r="Z10" s="60"/>
      <c r="AA10" s="60"/>
    </row>
    <row r="11">
      <c r="A11" s="56">
        <v>90.0</v>
      </c>
      <c r="B11" s="56">
        <v>80.0</v>
      </c>
      <c r="C11" s="56">
        <v>1.0</v>
      </c>
      <c r="D11" s="57">
        <v>-0.7</v>
      </c>
      <c r="E11" s="57">
        <f t="shared" si="1"/>
        <v>-8.4</v>
      </c>
      <c r="F11" s="56">
        <v>2.128</v>
      </c>
      <c r="G11" s="57">
        <v>2.063</v>
      </c>
      <c r="H11" s="57">
        <v>3.449</v>
      </c>
      <c r="I11" s="60"/>
      <c r="J11" s="60"/>
      <c r="K11" s="60"/>
      <c r="L11" s="60"/>
      <c r="M11" s="60"/>
      <c r="N11" s="60"/>
      <c r="O11" s="60"/>
      <c r="P11" s="60"/>
      <c r="Q11" s="60"/>
      <c r="R11" s="60"/>
      <c r="S11" s="60"/>
      <c r="T11" s="60"/>
      <c r="U11" s="60"/>
      <c r="V11" s="60"/>
      <c r="W11" s="60"/>
      <c r="X11" s="60"/>
      <c r="Y11" s="60"/>
      <c r="Z11" s="60"/>
      <c r="AA11" s="60"/>
    </row>
    <row r="12">
      <c r="A12" s="56">
        <v>90.0</v>
      </c>
      <c r="B12" s="56">
        <v>85.0</v>
      </c>
      <c r="C12" s="56">
        <v>1.0</v>
      </c>
      <c r="D12" s="56">
        <v>-0.839</v>
      </c>
      <c r="E12" s="56">
        <v>-10.068</v>
      </c>
      <c r="F12" s="56">
        <v>2.031</v>
      </c>
      <c r="G12" s="57">
        <v>2.015</v>
      </c>
      <c r="H12" s="57">
        <v>3.125</v>
      </c>
      <c r="I12" s="60"/>
      <c r="J12" s="60"/>
      <c r="K12" s="60"/>
      <c r="L12" s="60"/>
      <c r="M12" s="60"/>
      <c r="N12" s="60"/>
      <c r="O12" s="60"/>
      <c r="P12" s="60"/>
      <c r="Q12" s="60"/>
      <c r="R12" s="60"/>
      <c r="S12" s="60"/>
      <c r="T12" s="60"/>
      <c r="U12" s="60"/>
      <c r="V12" s="60"/>
      <c r="W12" s="60"/>
      <c r="X12" s="60"/>
      <c r="Y12" s="60"/>
      <c r="Z12" s="60"/>
      <c r="AA12" s="60"/>
    </row>
    <row r="13">
      <c r="A13" s="56">
        <v>90.0</v>
      </c>
      <c r="B13" s="56">
        <v>90.0</v>
      </c>
      <c r="C13" s="56">
        <v>1.0</v>
      </c>
      <c r="D13" s="56">
        <v>-1.0</v>
      </c>
      <c r="E13" s="56">
        <f t="shared" ref="E13:E29" si="2">D13*12</f>
        <v>-12</v>
      </c>
      <c r="F13" s="57">
        <v>2.0</v>
      </c>
      <c r="G13" s="57">
        <v>2.0</v>
      </c>
      <c r="H13" s="57">
        <v>3.142</v>
      </c>
      <c r="I13" s="60"/>
      <c r="J13" s="60"/>
      <c r="K13" s="60"/>
      <c r="L13" s="60"/>
      <c r="M13" s="60"/>
      <c r="N13" s="60"/>
      <c r="O13" s="60"/>
      <c r="P13" s="60"/>
      <c r="Q13" s="60"/>
      <c r="R13" s="60"/>
      <c r="S13" s="60"/>
      <c r="T13" s="60"/>
      <c r="U13" s="60"/>
      <c r="V13" s="60"/>
      <c r="W13" s="60"/>
      <c r="X13" s="60"/>
      <c r="Y13" s="60"/>
      <c r="Z13" s="60"/>
      <c r="AA13" s="60"/>
    </row>
    <row r="14">
      <c r="A14" s="61">
        <v>90.0</v>
      </c>
      <c r="B14" s="61">
        <v>50.0</v>
      </c>
      <c r="C14" s="61">
        <v>1.5</v>
      </c>
      <c r="D14" s="61">
        <v>-0.1312</v>
      </c>
      <c r="E14" s="61">
        <f t="shared" si="2"/>
        <v>-1.5744</v>
      </c>
      <c r="F14" s="61">
        <v>17.28</v>
      </c>
      <c r="G14" s="62">
        <v>7.199</v>
      </c>
      <c r="H14" s="62">
        <v>97.69</v>
      </c>
    </row>
    <row r="15">
      <c r="A15" s="56">
        <v>90.0</v>
      </c>
      <c r="B15" s="56">
        <v>55.0</v>
      </c>
      <c r="C15" s="56">
        <v>1.5</v>
      </c>
      <c r="D15" s="56">
        <v>-0.264</v>
      </c>
      <c r="E15" s="56">
        <f t="shared" si="2"/>
        <v>-3.168</v>
      </c>
      <c r="F15" s="56">
        <v>8.771</v>
      </c>
      <c r="G15" s="57">
        <v>5.13</v>
      </c>
      <c r="H15" s="57">
        <v>35.339</v>
      </c>
    </row>
    <row r="16">
      <c r="A16" s="56">
        <v>90.0</v>
      </c>
      <c r="B16" s="56">
        <v>60.0</v>
      </c>
      <c r="C16" s="56">
        <v>1.5</v>
      </c>
      <c r="D16" s="56">
        <v>-0.402</v>
      </c>
      <c r="E16" s="56">
        <f t="shared" si="2"/>
        <v>-4.824</v>
      </c>
      <c r="F16" s="60">
        <f>6</f>
        <v>6</v>
      </c>
      <c r="G16" s="57">
        <v>4.243</v>
      </c>
      <c r="H16" s="57">
        <v>19.99</v>
      </c>
    </row>
    <row r="17">
      <c r="A17" s="56">
        <v>90.0</v>
      </c>
      <c r="B17" s="58">
        <v>65.0</v>
      </c>
      <c r="C17" s="56">
        <v>1.5</v>
      </c>
      <c r="D17" s="56">
        <v>-0.546</v>
      </c>
      <c r="E17" s="56">
        <f t="shared" si="2"/>
        <v>-6.552</v>
      </c>
      <c r="F17" s="56">
        <v>4.667</v>
      </c>
      <c r="G17" s="57">
        <v>3.742</v>
      </c>
      <c r="H17" s="57">
        <v>13.716</v>
      </c>
    </row>
    <row r="18">
      <c r="A18" s="56">
        <v>90.0</v>
      </c>
      <c r="B18" s="56">
        <v>70.0</v>
      </c>
      <c r="C18" s="56">
        <v>1.5</v>
      </c>
      <c r="D18" s="56">
        <v>-0.699</v>
      </c>
      <c r="E18" s="56">
        <f t="shared" si="2"/>
        <v>-8.388</v>
      </c>
      <c r="F18" s="56">
        <v>3.916</v>
      </c>
      <c r="G18" s="57">
        <v>3.428</v>
      </c>
      <c r="H18" s="57">
        <v>10.543</v>
      </c>
    </row>
    <row r="19">
      <c r="A19" s="56">
        <v>90.0</v>
      </c>
      <c r="B19" s="56">
        <v>75.0</v>
      </c>
      <c r="C19" s="56">
        <v>1.5</v>
      </c>
      <c r="D19" s="56">
        <v>-0.866</v>
      </c>
      <c r="E19" s="56">
        <f t="shared" si="2"/>
        <v>-10.392</v>
      </c>
      <c r="F19" s="56">
        <v>3.464</v>
      </c>
      <c r="G19" s="57">
        <v>3.224</v>
      </c>
      <c r="H19" s="57">
        <v>8.771</v>
      </c>
    </row>
    <row r="20">
      <c r="A20" s="56">
        <v>90.0</v>
      </c>
      <c r="B20" s="56">
        <v>80.0</v>
      </c>
      <c r="C20" s="56">
        <v>1.5</v>
      </c>
      <c r="D20" s="56">
        <v>-1.05</v>
      </c>
      <c r="E20" s="56">
        <f t="shared" si="2"/>
        <v>-12.6</v>
      </c>
      <c r="F20" s="56">
        <v>3.193</v>
      </c>
      <c r="G20" s="57">
        <v>3.095</v>
      </c>
      <c r="H20" s="57">
        <v>7.76</v>
      </c>
    </row>
    <row r="21">
      <c r="A21" s="56">
        <v>90.0</v>
      </c>
      <c r="B21" s="56">
        <v>85.0</v>
      </c>
      <c r="C21" s="56">
        <v>1.5</v>
      </c>
      <c r="D21" s="56">
        <v>-1.259</v>
      </c>
      <c r="E21" s="56">
        <f t="shared" si="2"/>
        <v>-15.108</v>
      </c>
      <c r="F21" s="56">
        <v>3.046</v>
      </c>
      <c r="G21" s="57">
        <v>3.023</v>
      </c>
      <c r="H21" s="57">
        <v>7.233</v>
      </c>
    </row>
    <row r="22">
      <c r="A22" s="56">
        <v>90.0</v>
      </c>
      <c r="B22" s="56">
        <v>90.0</v>
      </c>
      <c r="C22" s="56">
        <v>1.5</v>
      </c>
      <c r="D22" s="56">
        <v>-1.5</v>
      </c>
      <c r="E22" s="56">
        <f t="shared" si="2"/>
        <v>-18</v>
      </c>
      <c r="F22" s="56">
        <v>3.0</v>
      </c>
      <c r="G22" s="57">
        <v>3.0</v>
      </c>
      <c r="H22" s="57">
        <v>7.068</v>
      </c>
    </row>
    <row r="23">
      <c r="A23" s="61">
        <v>90.0</v>
      </c>
      <c r="B23" s="61">
        <v>50.0</v>
      </c>
      <c r="C23" s="61">
        <v>2.0</v>
      </c>
      <c r="D23" s="61">
        <v>-0.175</v>
      </c>
      <c r="E23" s="61">
        <f t="shared" si="2"/>
        <v>-2.1</v>
      </c>
      <c r="F23" s="63">
        <f>11.52*2</f>
        <v>23.04</v>
      </c>
      <c r="G23" s="64">
        <f>4.8*2</f>
        <v>9.6</v>
      </c>
      <c r="H23" s="62">
        <v>173.662</v>
      </c>
    </row>
    <row r="24" ht="43.5" customHeight="1">
      <c r="A24" s="59">
        <v>90.0</v>
      </c>
      <c r="B24" s="59">
        <v>55.0</v>
      </c>
      <c r="C24" s="59">
        <v>2.0</v>
      </c>
      <c r="D24" s="59">
        <v>-0.353</v>
      </c>
      <c r="E24" s="56">
        <f t="shared" si="2"/>
        <v>-4.236</v>
      </c>
      <c r="F24">
        <f>5.848*2</f>
        <v>11.696</v>
      </c>
      <c r="G24" s="65">
        <f>3.42*2</f>
        <v>6.84</v>
      </c>
      <c r="H24" s="66">
        <v>62.8</v>
      </c>
      <c r="I24" s="59" t="s">
        <v>52</v>
      </c>
      <c r="J24" s="67"/>
      <c r="K24" s="67"/>
    </row>
    <row r="25">
      <c r="A25" s="59">
        <v>90.0</v>
      </c>
      <c r="B25" s="59">
        <v>60.0</v>
      </c>
      <c r="C25" s="59">
        <v>2.0</v>
      </c>
      <c r="D25" s="59">
        <v>-0.536</v>
      </c>
      <c r="E25" s="56">
        <f t="shared" si="2"/>
        <v>-6.432</v>
      </c>
      <c r="F25" s="66">
        <v>8.0</v>
      </c>
      <c r="G25" s="59">
        <v>2.828</v>
      </c>
      <c r="H25" s="66">
        <v>35.543</v>
      </c>
      <c r="J25" s="67"/>
      <c r="K25" s="67"/>
    </row>
    <row r="26">
      <c r="A26" s="58">
        <v>90.0</v>
      </c>
      <c r="B26" s="58">
        <v>65.0</v>
      </c>
      <c r="C26" s="58">
        <v>2.0</v>
      </c>
      <c r="D26" s="58">
        <v>-0.728</v>
      </c>
      <c r="E26" s="58">
        <f t="shared" si="2"/>
        <v>-8.736</v>
      </c>
      <c r="F26" s="68">
        <f>3.111*2</f>
        <v>6.222</v>
      </c>
      <c r="G26" s="69">
        <f>2.495*2</f>
        <v>4.99</v>
      </c>
      <c r="H26" s="70">
        <v>24.38</v>
      </c>
      <c r="I26" s="71" t="s">
        <v>53</v>
      </c>
    </row>
    <row r="27">
      <c r="A27" s="59">
        <v>90.0</v>
      </c>
      <c r="B27" s="59">
        <v>70.0</v>
      </c>
      <c r="C27" s="59">
        <v>2.0</v>
      </c>
      <c r="D27" s="59">
        <v>-0.933</v>
      </c>
      <c r="E27" s="56">
        <f t="shared" si="2"/>
        <v>-11.196</v>
      </c>
      <c r="F27">
        <f>2.611*2</f>
        <v>5.222</v>
      </c>
      <c r="G27">
        <f>2.285*2</f>
        <v>4.57</v>
      </c>
      <c r="H27" s="59">
        <v>18.743</v>
      </c>
    </row>
    <row r="28">
      <c r="A28" s="59">
        <v>90.0</v>
      </c>
      <c r="B28" s="59">
        <v>75.0</v>
      </c>
      <c r="C28" s="59">
        <v>2.0</v>
      </c>
      <c r="D28" s="59">
        <v>-1.155</v>
      </c>
      <c r="E28" s="56">
        <f t="shared" si="2"/>
        <v>-13.86</v>
      </c>
      <c r="F28">
        <f>2.309*2</f>
        <v>4.618</v>
      </c>
      <c r="G28">
        <f>2.149*2</f>
        <v>4.298</v>
      </c>
      <c r="H28" s="59">
        <v>15.592</v>
      </c>
      <c r="I28" s="59">
        <f>1.25*12</f>
        <v>15</v>
      </c>
    </row>
    <row r="29">
      <c r="A29" s="72">
        <v>90.0</v>
      </c>
      <c r="B29" s="72">
        <v>80.0</v>
      </c>
      <c r="C29" s="72">
        <v>2.0</v>
      </c>
      <c r="D29" s="73">
        <v>-1.4</v>
      </c>
      <c r="E29" s="72">
        <f t="shared" si="2"/>
        <v>-16.8</v>
      </c>
      <c r="F29" s="74">
        <f>2.128*2</f>
        <v>4.256</v>
      </c>
      <c r="G29" s="74">
        <f>2.063*2</f>
        <v>4.126</v>
      </c>
      <c r="H29" s="72">
        <v>13.795</v>
      </c>
    </row>
    <row r="30">
      <c r="A30" s="61">
        <v>90.0</v>
      </c>
      <c r="B30" s="61">
        <v>50.0</v>
      </c>
      <c r="C30" s="61">
        <v>3.0</v>
      </c>
      <c r="D30" s="61"/>
      <c r="E30" s="61"/>
      <c r="F30" s="64">
        <f>17.27*2</f>
        <v>34.54</v>
      </c>
      <c r="G30" s="64"/>
      <c r="H30" s="62"/>
    </row>
    <row r="31">
      <c r="A31" s="61">
        <v>90.0</v>
      </c>
      <c r="B31" s="61">
        <v>55.0</v>
      </c>
      <c r="C31" s="61">
        <v>3.0</v>
      </c>
      <c r="D31" s="61"/>
      <c r="E31" s="61"/>
      <c r="F31" s="64">
        <f>8.77*2</f>
        <v>17.54</v>
      </c>
      <c r="G31" s="64"/>
      <c r="H31" s="62"/>
    </row>
    <row r="32">
      <c r="A32" s="56">
        <v>90.0</v>
      </c>
      <c r="B32" s="56">
        <v>60.0</v>
      </c>
      <c r="C32" s="56">
        <v>3.0</v>
      </c>
      <c r="D32" s="56">
        <v>-0.804</v>
      </c>
      <c r="E32" s="56">
        <f t="shared" ref="E32:E45" si="3">D32*12</f>
        <v>-9.648</v>
      </c>
      <c r="F32" s="57">
        <v>12.0</v>
      </c>
      <c r="G32" s="75">
        <f>4.243*2</f>
        <v>8.486</v>
      </c>
      <c r="H32" s="57">
        <v>79.972</v>
      </c>
    </row>
    <row r="33">
      <c r="A33" s="56">
        <v>90.0</v>
      </c>
      <c r="B33" s="58">
        <v>65.0</v>
      </c>
      <c r="C33" s="56">
        <v>3.0</v>
      </c>
      <c r="D33" s="56">
        <v>-1.092</v>
      </c>
      <c r="E33" s="56">
        <f t="shared" si="3"/>
        <v>-13.104</v>
      </c>
      <c r="F33" s="75">
        <f>4.667*2</f>
        <v>9.334</v>
      </c>
      <c r="G33" s="75">
        <f>3.742*2</f>
        <v>7.484</v>
      </c>
      <c r="H33" s="57">
        <v>54.864</v>
      </c>
    </row>
    <row r="34">
      <c r="A34" s="76">
        <v>90.0</v>
      </c>
      <c r="B34" s="76">
        <v>70.0</v>
      </c>
      <c r="C34" s="76">
        <v>3.0</v>
      </c>
      <c r="D34" s="76">
        <v>-1.399</v>
      </c>
      <c r="E34" s="76">
        <f t="shared" si="3"/>
        <v>-16.788</v>
      </c>
      <c r="F34" s="77">
        <f>3.916*2</f>
        <v>7.832</v>
      </c>
      <c r="G34" s="78">
        <f>3.428*2</f>
        <v>6.856</v>
      </c>
      <c r="H34" s="77">
        <v>42.171</v>
      </c>
    </row>
    <row r="35">
      <c r="A35" s="61">
        <v>90.0</v>
      </c>
      <c r="B35" s="61">
        <v>75.0</v>
      </c>
      <c r="C35" s="61">
        <v>3.0</v>
      </c>
      <c r="D35" s="61">
        <v>-1.732</v>
      </c>
      <c r="E35" s="61">
        <f t="shared" si="3"/>
        <v>-20.784</v>
      </c>
      <c r="F35" s="64">
        <f>2*3.464</f>
        <v>6.928</v>
      </c>
      <c r="G35" s="64">
        <f>2*3.224</f>
        <v>6.448</v>
      </c>
      <c r="H35" s="62">
        <v>35.083</v>
      </c>
    </row>
    <row r="36">
      <c r="A36" s="79">
        <v>90.0</v>
      </c>
      <c r="B36" s="79">
        <v>80.0</v>
      </c>
      <c r="C36" s="79">
        <v>3.0</v>
      </c>
      <c r="D36" s="79">
        <v>-2.101</v>
      </c>
      <c r="E36" s="79">
        <f t="shared" si="3"/>
        <v>-25.212</v>
      </c>
      <c r="F36" s="80"/>
      <c r="G36" s="80"/>
      <c r="H36" s="81"/>
    </row>
    <row r="37">
      <c r="A37" s="76">
        <v>35.0</v>
      </c>
      <c r="B37" s="76">
        <v>25.0</v>
      </c>
      <c r="C37" s="76">
        <v>2.0</v>
      </c>
      <c r="D37" s="76">
        <v>2.183</v>
      </c>
      <c r="E37" s="76">
        <f t="shared" si="3"/>
        <v>26.196</v>
      </c>
      <c r="F37" s="78">
        <f>6.504*2</f>
        <v>13.008</v>
      </c>
      <c r="G37" s="75">
        <f>2.025*2</f>
        <v>4.05</v>
      </c>
      <c r="H37" s="57">
        <v>41.385</v>
      </c>
    </row>
    <row r="38">
      <c r="A38" s="59">
        <v>35.0</v>
      </c>
      <c r="B38" s="59">
        <v>30.0</v>
      </c>
      <c r="C38" s="59">
        <v>2.0</v>
      </c>
      <c r="D38" s="59">
        <v>1.833</v>
      </c>
      <c r="E38" s="56">
        <f t="shared" si="3"/>
        <v>21.996</v>
      </c>
      <c r="F38" s="65">
        <f>3.594*2</f>
        <v>7.188</v>
      </c>
      <c r="G38" s="65">
        <f>1.506*2</f>
        <v>3.012</v>
      </c>
      <c r="H38" s="66">
        <v>17.0</v>
      </c>
    </row>
    <row r="39">
      <c r="A39" s="59">
        <v>35.0</v>
      </c>
      <c r="B39" s="59">
        <v>35.0</v>
      </c>
      <c r="C39" s="59">
        <v>2.0</v>
      </c>
      <c r="D39" s="59">
        <v>1.535</v>
      </c>
      <c r="E39" s="56">
        <f t="shared" si="3"/>
        <v>18.42</v>
      </c>
      <c r="F39" s="65">
        <f>2.404*2</f>
        <v>4.808</v>
      </c>
      <c r="G39" s="65">
        <f>1.231*2</f>
        <v>2.462</v>
      </c>
      <c r="H39" s="66">
        <v>9.3</v>
      </c>
    </row>
    <row r="40">
      <c r="A40" s="59">
        <v>35.0</v>
      </c>
      <c r="B40" s="59">
        <v>40.0</v>
      </c>
      <c r="C40" s="59">
        <v>2.0</v>
      </c>
      <c r="D40" s="59">
        <v>1.274</v>
      </c>
      <c r="E40" s="56">
        <f t="shared" si="3"/>
        <v>15.288</v>
      </c>
      <c r="F40" s="65">
        <f>1.777*2</f>
        <v>3.554</v>
      </c>
      <c r="G40" s="65">
        <f>1.059*2</f>
        <v>2.118</v>
      </c>
      <c r="H40" s="66">
        <v>5.91</v>
      </c>
    </row>
    <row r="41">
      <c r="A41" s="59">
        <v>35.0</v>
      </c>
      <c r="B41" s="59">
        <v>45.0</v>
      </c>
      <c r="C41" s="59">
        <v>2.0</v>
      </c>
      <c r="D41" s="59">
        <v>1.041</v>
      </c>
      <c r="E41" s="56">
        <f t="shared" si="3"/>
        <v>12.492</v>
      </c>
      <c r="F41" s="65">
        <f>1.4*2</f>
        <v>2.8</v>
      </c>
      <c r="G41" s="65">
        <f>0.94*2</f>
        <v>1.88</v>
      </c>
      <c r="H41" s="59">
        <v>4.134</v>
      </c>
    </row>
    <row r="42">
      <c r="A42" s="59">
        <v>35.0</v>
      </c>
      <c r="B42" s="59">
        <v>50.0</v>
      </c>
      <c r="C42" s="59">
        <v>2.0</v>
      </c>
      <c r="D42" s="59">
        <v>0.828</v>
      </c>
      <c r="E42" s="56">
        <f t="shared" si="3"/>
        <v>9.936</v>
      </c>
      <c r="F42" s="65">
        <f>1.155*2</f>
        <v>2.31</v>
      </c>
      <c r="G42">
        <f>0.854*2</f>
        <v>1.708</v>
      </c>
      <c r="H42" s="59">
        <v>3.099</v>
      </c>
    </row>
    <row r="43">
      <c r="A43" s="59">
        <v>35.0</v>
      </c>
      <c r="B43" s="59">
        <v>55.0</v>
      </c>
      <c r="C43" s="59">
        <v>2.0</v>
      </c>
      <c r="D43" s="59">
        <v>0.631</v>
      </c>
      <c r="E43" s="56">
        <f t="shared" si="3"/>
        <v>7.572</v>
      </c>
      <c r="F43">
        <f>0.988*2</f>
        <v>1.976</v>
      </c>
      <c r="G43">
        <f>0.789*2</f>
        <v>1.578</v>
      </c>
      <c r="H43" s="65">
        <f>2.45</f>
        <v>2.45</v>
      </c>
    </row>
    <row r="44">
      <c r="A44" s="59">
        <v>35.0</v>
      </c>
      <c r="B44" s="59">
        <v>60.0</v>
      </c>
      <c r="C44" s="59">
        <v>2.0</v>
      </c>
      <c r="D44" s="59">
        <v>0.443</v>
      </c>
      <c r="E44" s="56">
        <f t="shared" si="3"/>
        <v>5.316</v>
      </c>
      <c r="F44" s="65">
        <f>0.87*2</f>
        <v>1.74</v>
      </c>
      <c r="G44">
        <f>0.741*2</f>
        <v>1.482</v>
      </c>
      <c r="H44" s="59">
        <v>2.023</v>
      </c>
    </row>
    <row r="45">
      <c r="A45" s="59">
        <v>35.0</v>
      </c>
      <c r="B45" s="59">
        <v>65.0</v>
      </c>
      <c r="C45" s="59">
        <v>2.0</v>
      </c>
      <c r="D45" s="59">
        <v>0.263</v>
      </c>
      <c r="E45" s="56">
        <f t="shared" si="3"/>
        <v>3.156</v>
      </c>
      <c r="F45" s="66">
        <v>1.569</v>
      </c>
      <c r="G45" s="59">
        <v>1.407</v>
      </c>
      <c r="H45" s="59">
        <v>1.734</v>
      </c>
    </row>
    <row r="46">
      <c r="A46" s="59">
        <v>35.0</v>
      </c>
      <c r="B46" s="59">
        <v>70.0</v>
      </c>
      <c r="C46" s="59">
        <v>2.0</v>
      </c>
      <c r="D46" s="59">
        <v>0.0873</v>
      </c>
      <c r="E46" s="56">
        <v>1.048</v>
      </c>
      <c r="F46" s="66">
        <v>1.447</v>
      </c>
      <c r="G46" s="59">
        <v>1.351</v>
      </c>
      <c r="H46" s="59">
        <v>1.536</v>
      </c>
    </row>
    <row r="47">
      <c r="A47" s="59">
        <v>35.0</v>
      </c>
      <c r="B47" s="59">
        <v>75.0</v>
      </c>
      <c r="C47" s="59">
        <v>2.0</v>
      </c>
      <c r="D47" s="59">
        <v>-0.0873</v>
      </c>
      <c r="E47" s="57">
        <f t="shared" ref="E47:E58" si="4">D47*12</f>
        <v>-1.0476</v>
      </c>
      <c r="F47" s="66">
        <v>1.361</v>
      </c>
      <c r="G47" s="66">
        <v>1.31</v>
      </c>
      <c r="H47" s="59">
        <v>1.401</v>
      </c>
    </row>
    <row r="48">
      <c r="A48" s="59">
        <v>35.0</v>
      </c>
      <c r="B48" s="59">
        <v>80.0</v>
      </c>
      <c r="C48" s="59">
        <v>2.0</v>
      </c>
      <c r="D48" s="59">
        <v>-0.263</v>
      </c>
      <c r="E48" s="56">
        <f t="shared" si="4"/>
        <v>-3.156</v>
      </c>
      <c r="F48" s="66">
        <v>1.304</v>
      </c>
      <c r="G48" s="59">
        <v>1.283</v>
      </c>
      <c r="H48" s="59">
        <v>1.314</v>
      </c>
    </row>
    <row r="49">
      <c r="A49" s="59">
        <v>35.0</v>
      </c>
      <c r="B49" s="59">
        <v>85.0</v>
      </c>
      <c r="C49" s="59">
        <v>2.0</v>
      </c>
      <c r="D49" s="59">
        <v>-0.443</v>
      </c>
      <c r="E49" s="56">
        <f t="shared" si="4"/>
        <v>-5.316</v>
      </c>
      <c r="F49" s="66">
        <v>1.272</v>
      </c>
      <c r="G49" s="59">
        <v>1.266</v>
      </c>
      <c r="H49" s="59">
        <v>1.265</v>
      </c>
    </row>
    <row r="50">
      <c r="A50" s="56">
        <v>35.0</v>
      </c>
      <c r="B50" s="56">
        <v>90.0</v>
      </c>
      <c r="C50" s="56">
        <v>2.0</v>
      </c>
      <c r="D50" s="56">
        <v>-0.631</v>
      </c>
      <c r="E50" s="56">
        <f t="shared" si="4"/>
        <v>-7.572</v>
      </c>
      <c r="F50" s="56">
        <v>1.261</v>
      </c>
      <c r="G50" s="56">
        <v>1.261</v>
      </c>
      <c r="H50" s="56">
        <v>1.249</v>
      </c>
    </row>
    <row r="51">
      <c r="A51" s="61">
        <v>35.0</v>
      </c>
      <c r="B51" s="61">
        <v>25.0</v>
      </c>
      <c r="C51" s="61">
        <v>3.0</v>
      </c>
      <c r="D51" s="61">
        <v>3.274</v>
      </c>
      <c r="E51" s="61">
        <f t="shared" si="4"/>
        <v>39.288</v>
      </c>
      <c r="F51" s="63">
        <f>9.757*2</f>
        <v>19.514</v>
      </c>
      <c r="G51" s="60">
        <f>3.038*2</f>
        <v>6.076</v>
      </c>
      <c r="H51" s="56">
        <v>93.116</v>
      </c>
    </row>
    <row r="52">
      <c r="A52" s="56">
        <v>35.0</v>
      </c>
      <c r="B52" s="56">
        <v>30.0</v>
      </c>
      <c r="C52" s="56">
        <v>3.0</v>
      </c>
      <c r="D52" s="56">
        <v>2.749</v>
      </c>
      <c r="E52" s="56">
        <f t="shared" si="4"/>
        <v>32.988</v>
      </c>
      <c r="F52">
        <f>5.392*2</f>
        <v>10.784</v>
      </c>
      <c r="G52">
        <f>2.258*2</f>
        <v>4.516</v>
      </c>
      <c r="H52" s="59">
        <v>38.251</v>
      </c>
    </row>
    <row r="53">
      <c r="A53" s="56">
        <v>35.0</v>
      </c>
      <c r="B53" s="56">
        <v>35.0</v>
      </c>
      <c r="C53" s="56">
        <v>3.0</v>
      </c>
      <c r="D53" s="56">
        <v>2.302</v>
      </c>
      <c r="E53" s="56">
        <f t="shared" si="4"/>
        <v>27.624</v>
      </c>
      <c r="F53">
        <f>3.606*2</f>
        <v>7.212</v>
      </c>
      <c r="G53">
        <f>1.847*2</f>
        <v>3.694</v>
      </c>
      <c r="H53" s="66">
        <v>20.93</v>
      </c>
    </row>
    <row r="54">
      <c r="A54" s="56">
        <v>35.0</v>
      </c>
      <c r="B54" s="56">
        <v>40.0</v>
      </c>
      <c r="C54" s="56">
        <v>3.0</v>
      </c>
      <c r="D54" s="56">
        <v>1.911</v>
      </c>
      <c r="E54" s="56">
        <f t="shared" si="4"/>
        <v>22.932</v>
      </c>
      <c r="F54">
        <f>2.666*2</f>
        <v>5.332</v>
      </c>
      <c r="G54">
        <f>1.588*2</f>
        <v>3.176</v>
      </c>
      <c r="H54" s="66">
        <v>13.3</v>
      </c>
    </row>
    <row r="55">
      <c r="A55" s="56">
        <v>35.0</v>
      </c>
      <c r="B55" s="56">
        <v>45.0</v>
      </c>
      <c r="C55" s="56">
        <v>3.0</v>
      </c>
      <c r="D55" s="56">
        <v>1.562</v>
      </c>
      <c r="E55" s="56">
        <f t="shared" si="4"/>
        <v>18.744</v>
      </c>
      <c r="F55" s="65">
        <f>2.1*2</f>
        <v>4.2</v>
      </c>
      <c r="G55" s="65">
        <f>1.41*2</f>
        <v>2.82</v>
      </c>
      <c r="H55">
        <f>9.302</f>
        <v>9.302</v>
      </c>
    </row>
    <row r="56">
      <c r="A56" s="59">
        <v>35.0</v>
      </c>
      <c r="B56" s="59">
        <v>50.0</v>
      </c>
      <c r="C56" s="59">
        <v>3.0</v>
      </c>
      <c r="D56" s="59">
        <v>1.243</v>
      </c>
      <c r="E56" s="56">
        <f t="shared" si="4"/>
        <v>14.916</v>
      </c>
      <c r="F56">
        <f>1.733*2</f>
        <v>3.466</v>
      </c>
      <c r="G56">
        <f>1.28*2</f>
        <v>2.56</v>
      </c>
      <c r="H56" s="59">
        <v>6.972</v>
      </c>
    </row>
    <row r="57">
      <c r="A57" s="59">
        <v>35.0</v>
      </c>
      <c r="B57" s="59">
        <v>55.0</v>
      </c>
      <c r="C57" s="59">
        <v>3.0</v>
      </c>
      <c r="D57" s="59">
        <v>0.946</v>
      </c>
      <c r="E57" s="56">
        <f t="shared" si="4"/>
        <v>11.352</v>
      </c>
      <c r="F57">
        <f>1.482*2</f>
        <v>2.964</v>
      </c>
      <c r="G57">
        <f>1.184*2</f>
        <v>2.368</v>
      </c>
      <c r="H57" s="59">
        <v>5.512</v>
      </c>
    </row>
    <row r="58">
      <c r="A58" s="59">
        <v>35.0</v>
      </c>
      <c r="B58" s="59">
        <v>60.0</v>
      </c>
      <c r="C58" s="59">
        <v>3.0</v>
      </c>
      <c r="D58" s="59">
        <v>0.665</v>
      </c>
      <c r="E58" s="56">
        <f t="shared" si="4"/>
        <v>7.98</v>
      </c>
      <c r="F58">
        <f>1.304*2</f>
        <v>2.608</v>
      </c>
      <c r="G58">
        <f>1.111*2</f>
        <v>2.222</v>
      </c>
      <c r="H58" s="59">
        <v>4.552</v>
      </c>
    </row>
    <row r="59">
      <c r="A59" s="59">
        <v>35.0</v>
      </c>
      <c r="B59" s="59">
        <v>65.0</v>
      </c>
      <c r="C59" s="59">
        <v>3.0</v>
      </c>
      <c r="D59" s="59">
        <v>0.395</v>
      </c>
      <c r="E59" s="56">
        <v>4.74</v>
      </c>
      <c r="F59" s="59">
        <v>2.354</v>
      </c>
      <c r="G59" s="59">
        <v>2.11</v>
      </c>
      <c r="H59" s="59">
        <v>3.902</v>
      </c>
    </row>
    <row r="60">
      <c r="A60" s="59">
        <v>35.0</v>
      </c>
      <c r="B60" s="59">
        <v>70.0</v>
      </c>
      <c r="C60" s="59">
        <v>3.0</v>
      </c>
      <c r="D60" s="59">
        <v>0.131</v>
      </c>
      <c r="E60" s="56">
        <v>1.572</v>
      </c>
      <c r="F60" s="59">
        <v>2.171</v>
      </c>
      <c r="G60" s="59">
        <v>2.027</v>
      </c>
      <c r="H60" s="59">
        <v>3.456</v>
      </c>
    </row>
    <row r="61">
      <c r="A61" s="59">
        <v>35.0</v>
      </c>
      <c r="B61" s="59">
        <v>75.0</v>
      </c>
      <c r="C61" s="59">
        <v>3.0</v>
      </c>
      <c r="D61" s="59">
        <v>-0.131</v>
      </c>
      <c r="E61" s="56">
        <f t="shared" ref="E61:E64" si="5">D61*12</f>
        <v>-1.572</v>
      </c>
      <c r="F61" s="59">
        <v>2.042</v>
      </c>
      <c r="G61" s="59">
        <v>1.966</v>
      </c>
      <c r="H61" s="59">
        <v>3.153</v>
      </c>
    </row>
    <row r="62">
      <c r="A62" s="59">
        <v>35.0</v>
      </c>
      <c r="B62" s="59">
        <v>80.0</v>
      </c>
      <c r="C62" s="59">
        <v>3.0</v>
      </c>
      <c r="D62" s="59">
        <v>-0.395</v>
      </c>
      <c r="E62" s="56">
        <f t="shared" si="5"/>
        <v>-4.74</v>
      </c>
      <c r="F62" s="59">
        <v>1.957</v>
      </c>
      <c r="G62" s="59">
        <v>1.924</v>
      </c>
      <c r="H62" s="59">
        <v>2.957</v>
      </c>
    </row>
    <row r="63">
      <c r="A63" s="59">
        <v>35.0</v>
      </c>
      <c r="B63" s="59">
        <v>85.0</v>
      </c>
      <c r="C63" s="59">
        <v>3.0</v>
      </c>
      <c r="D63" s="59">
        <v>-0.655</v>
      </c>
      <c r="E63" s="56">
        <f t="shared" si="5"/>
        <v>-7.86</v>
      </c>
      <c r="F63" s="59">
        <v>1.908</v>
      </c>
      <c r="G63" s="59">
        <v>1.9</v>
      </c>
      <c r="H63" s="59">
        <v>2.846</v>
      </c>
    </row>
    <row r="64">
      <c r="A64" s="59">
        <v>35.0</v>
      </c>
      <c r="B64" s="59">
        <v>90.0</v>
      </c>
      <c r="C64" s="59">
        <v>3.0</v>
      </c>
      <c r="D64" s="59">
        <v>-0.946</v>
      </c>
      <c r="E64" s="56">
        <f t="shared" si="5"/>
        <v>-11.352</v>
      </c>
      <c r="F64" s="59">
        <v>1.892</v>
      </c>
      <c r="G64" s="59">
        <v>1.892</v>
      </c>
      <c r="H64" s="59">
        <v>2.811</v>
      </c>
    </row>
    <row r="66">
      <c r="C66" s="82" t="s">
        <v>54</v>
      </c>
    </row>
    <row r="67">
      <c r="C67" s="83" t="s">
        <v>55</v>
      </c>
      <c r="H67" s="83" t="s">
        <v>56</v>
      </c>
    </row>
    <row r="68">
      <c r="A68" s="59">
        <v>35.0</v>
      </c>
      <c r="B68" s="59">
        <v>90.0</v>
      </c>
      <c r="C68" s="84">
        <f>3/12</f>
        <v>0.25</v>
      </c>
      <c r="D68" s="84">
        <v>-0.079</v>
      </c>
      <c r="E68" s="85">
        <f t="shared" ref="E68:E69" si="6">D68*12</f>
        <v>-0.948</v>
      </c>
      <c r="F68" s="84">
        <v>0.158</v>
      </c>
      <c r="G68" s="84">
        <v>0.158</v>
      </c>
      <c r="H68" s="84">
        <v>0.02</v>
      </c>
      <c r="I68" s="85"/>
    </row>
    <row r="69">
      <c r="A69" s="59">
        <v>35.0</v>
      </c>
      <c r="B69" s="59">
        <v>90.0</v>
      </c>
      <c r="C69" s="85">
        <f>6/12</f>
        <v>0.5</v>
      </c>
      <c r="D69" s="84">
        <v>-0.158</v>
      </c>
      <c r="E69" s="85">
        <f t="shared" si="6"/>
        <v>-1.896</v>
      </c>
      <c r="F69" s="84">
        <v>0.315</v>
      </c>
      <c r="G69" s="84">
        <v>0.315</v>
      </c>
      <c r="H69" s="84">
        <v>0.078</v>
      </c>
      <c r="I69" s="85"/>
    </row>
    <row r="70">
      <c r="A70" s="59">
        <v>35.0</v>
      </c>
      <c r="B70" s="59">
        <v>90.0</v>
      </c>
      <c r="C70" s="85">
        <f>9/12</f>
        <v>0.75</v>
      </c>
      <c r="D70" s="84">
        <v>-0.236</v>
      </c>
      <c r="E70" s="84">
        <v>-2.88</v>
      </c>
      <c r="F70" s="84">
        <v>0.473</v>
      </c>
      <c r="G70" s="84">
        <v>0.473</v>
      </c>
      <c r="H70" s="84">
        <v>0.176</v>
      </c>
      <c r="I70" s="85"/>
    </row>
    <row r="71">
      <c r="A71" s="59">
        <v>35.0</v>
      </c>
      <c r="B71" s="59">
        <v>90.0</v>
      </c>
      <c r="C71" s="84">
        <v>1.0</v>
      </c>
      <c r="D71" s="84">
        <v>-0.315</v>
      </c>
      <c r="E71" s="85">
        <f>D71*12</f>
        <v>-3.78</v>
      </c>
      <c r="F71" s="84">
        <v>0.631</v>
      </c>
      <c r="G71" s="84">
        <v>0.631</v>
      </c>
      <c r="H71" s="84">
        <v>0.313</v>
      </c>
      <c r="I71" s="85"/>
    </row>
    <row r="73">
      <c r="A73" s="50"/>
      <c r="B73" s="50"/>
      <c r="C73" s="83" t="s">
        <v>57</v>
      </c>
      <c r="D73" s="50"/>
      <c r="E73" s="83" t="s">
        <v>48</v>
      </c>
      <c r="F73" s="83" t="s">
        <v>58</v>
      </c>
      <c r="G73" s="83" t="s">
        <v>59</v>
      </c>
      <c r="H73" s="83" t="s">
        <v>60</v>
      </c>
      <c r="I73" s="50"/>
      <c r="J73" s="50"/>
      <c r="K73" s="50"/>
      <c r="L73" s="50"/>
      <c r="M73" s="50"/>
      <c r="N73" s="50"/>
      <c r="O73" s="50"/>
      <c r="P73" s="50"/>
      <c r="Q73" s="50"/>
      <c r="R73" s="50"/>
      <c r="S73" s="50"/>
      <c r="T73" s="50"/>
      <c r="U73" s="50"/>
      <c r="V73" s="50"/>
      <c r="W73" s="50"/>
      <c r="X73" s="50"/>
      <c r="Y73" s="50"/>
      <c r="Z73" s="50"/>
      <c r="AA73" s="50"/>
    </row>
    <row r="74">
      <c r="C74" s="84">
        <v>3.0</v>
      </c>
      <c r="D74" s="84"/>
      <c r="E74" s="84">
        <v>-0.948</v>
      </c>
      <c r="F74" s="84">
        <f t="shared" ref="F74:F77" si="7">F68*12</f>
        <v>1.896</v>
      </c>
      <c r="G74" s="84">
        <f t="shared" ref="G74:G77" si="8">F74</f>
        <v>1.896</v>
      </c>
      <c r="H74" s="84">
        <f t="shared" ref="H74:H77" si="9">H68*144</f>
        <v>2.88</v>
      </c>
    </row>
    <row r="75">
      <c r="C75" s="86">
        <v>6.0</v>
      </c>
      <c r="D75" s="86"/>
      <c r="E75" s="86">
        <v>-1.806</v>
      </c>
      <c r="F75" s="86">
        <f t="shared" si="7"/>
        <v>3.78</v>
      </c>
      <c r="G75" s="86">
        <f t="shared" si="8"/>
        <v>3.78</v>
      </c>
      <c r="H75" s="86">
        <f t="shared" si="9"/>
        <v>11.232</v>
      </c>
      <c r="I75" s="59" t="s">
        <v>61</v>
      </c>
    </row>
    <row r="76">
      <c r="C76" s="87">
        <v>9.0</v>
      </c>
      <c r="D76" s="87"/>
      <c r="E76" s="87">
        <v>-2.88</v>
      </c>
      <c r="F76" s="87">
        <f t="shared" si="7"/>
        <v>5.676</v>
      </c>
      <c r="G76" s="87">
        <f t="shared" si="8"/>
        <v>5.676</v>
      </c>
      <c r="H76" s="87">
        <f t="shared" si="9"/>
        <v>25.344</v>
      </c>
      <c r="I76" s="59" t="s">
        <v>62</v>
      </c>
    </row>
    <row r="77">
      <c r="C77" s="84">
        <v>12.0</v>
      </c>
      <c r="D77" s="84"/>
      <c r="E77" s="84">
        <v>-3.78</v>
      </c>
      <c r="F77" s="84">
        <f t="shared" si="7"/>
        <v>7.572</v>
      </c>
      <c r="G77" s="84">
        <f t="shared" si="8"/>
        <v>7.572</v>
      </c>
      <c r="H77" s="84">
        <f t="shared" si="9"/>
        <v>45.072</v>
      </c>
    </row>
    <row r="79">
      <c r="E79" s="59" t="s">
        <v>63</v>
      </c>
    </row>
    <row r="80">
      <c r="E80" s="59" t="s">
        <v>64</v>
      </c>
    </row>
  </sheetData>
  <drawing r:id="rId1"/>
</worksheet>
</file>