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rickh\econ\"/>
    </mc:Choice>
  </mc:AlternateContent>
  <xr:revisionPtr revIDLastSave="0" documentId="13_ncr:1_{D56DBB51-EC96-4835-848E-5B9EF7358F16}" xr6:coauthVersionLast="47" xr6:coauthVersionMax="47" xr10:uidLastSave="{00000000-0000-0000-0000-000000000000}"/>
  <bookViews>
    <workbookView xWindow="-120" yWindow="-120" windowWidth="29040" windowHeight="15840" tabRatio="753" activeTab="4" xr2:uid="{0E7F3B95-9D8F-4614-8B00-3B8814AD8290}"/>
  </bookViews>
  <sheets>
    <sheet name="Geography" sheetId="6" r:id="rId1"/>
    <sheet name="Data tables" sheetId="3" r:id="rId2"/>
    <sheet name="Introduction" sheetId="11" r:id="rId3"/>
    <sheet name="Species" sheetId="12" r:id="rId4"/>
    <sheet name="Planting" sheetId="10" r:id="rId5"/>
    <sheet name="Model Logic" sheetId="1" r:id="rId6"/>
    <sheet name="Equip Calcs" sheetId="19" r:id="rId7"/>
    <sheet name="Output data" sheetId="15" r:id="rId8"/>
    <sheet name="Partial Budget Output1" sheetId="16" r:id="rId9"/>
  </sheets>
  <definedNames>
    <definedName name="_xlnm._FilterDatabase" localSheetId="5" hidden="1">#REF!</definedName>
    <definedName name="CCPlant" localSheetId="4">Planting!$D$10</definedName>
    <definedName name="CCspecies">Species!$D$10</definedName>
    <definedName name="CCTermMethod">'Data tables'!$J$21:$J$24</definedName>
    <definedName name="FertMethod">'Data tables'!$J$18:$J$20</definedName>
    <definedName name="Herbicides">Chemical[Burndown Herbicides]</definedName>
    <definedName name="home">Introduction!$B$4</definedName>
    <definedName name="implnames">OFFSET('Data tables'!#REF!,0,0,'Data tables'!#REF!+1,1)</definedName>
    <definedName name="_xlnm.Print_Area" localSheetId="2">Introduction!$B$2:$G$23</definedName>
    <definedName name="SeedList">'Data tables'!$B$5:$B$12</definedName>
    <definedName name="Slicer_Field">#N/A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6" i="19" l="1"/>
  <c r="H45" i="19"/>
  <c r="H44" i="19"/>
  <c r="C36" i="19"/>
  <c r="E18" i="10"/>
  <c r="H26" i="19"/>
  <c r="S59" i="19"/>
  <c r="W59" i="19"/>
  <c r="AG59" i="19"/>
  <c r="AH59" i="19"/>
  <c r="AI59" i="19"/>
  <c r="AJ59" i="19"/>
  <c r="AK59" i="19"/>
  <c r="AN59" i="19" s="1"/>
  <c r="AO59" i="19" s="1"/>
  <c r="AL59" i="19"/>
  <c r="AM59" i="19"/>
  <c r="AQ59" i="19"/>
  <c r="AR59" i="19" s="1"/>
  <c r="AW59" i="19" s="1"/>
  <c r="AS59" i="19"/>
  <c r="AT59" i="19"/>
  <c r="BA59" i="19" s="1"/>
  <c r="AZ59" i="19"/>
  <c r="S60" i="19"/>
  <c r="W60" i="19"/>
  <c r="AQ60" i="19" s="1"/>
  <c r="AR60" i="19" s="1"/>
  <c r="AW60" i="19" s="1"/>
  <c r="AG60" i="19"/>
  <c r="AH60" i="19"/>
  <c r="AI60" i="19"/>
  <c r="AJ60" i="19"/>
  <c r="AK60" i="19"/>
  <c r="AN60" i="19" s="1"/>
  <c r="AO60" i="19" s="1"/>
  <c r="AL60" i="19"/>
  <c r="AM60" i="19"/>
  <c r="AS60" i="19"/>
  <c r="AT60" i="19"/>
  <c r="BA60" i="19" s="1"/>
  <c r="AZ60" i="19"/>
  <c r="S61" i="19"/>
  <c r="W61" i="19"/>
  <c r="AQ61" i="19" s="1"/>
  <c r="AR61" i="19" s="1"/>
  <c r="AG61" i="19"/>
  <c r="AH61" i="19"/>
  <c r="AI61" i="19"/>
  <c r="AN61" i="19" s="1"/>
  <c r="AO61" i="19" s="1"/>
  <c r="AJ61" i="19"/>
  <c r="AK61" i="19"/>
  <c r="AL61" i="19"/>
  <c r="AM61" i="19"/>
  <c r="AS61" i="19"/>
  <c r="AT61" i="19" s="1"/>
  <c r="BA61" i="19" s="1"/>
  <c r="S62" i="19"/>
  <c r="W62" i="19"/>
  <c r="AQ62" i="19" s="1"/>
  <c r="AR62" i="19" s="1"/>
  <c r="AW62" i="19" s="1"/>
  <c r="AG62" i="19"/>
  <c r="AH62" i="19"/>
  <c r="AI62" i="19"/>
  <c r="AJ62" i="19"/>
  <c r="AK62" i="19"/>
  <c r="AL62" i="19"/>
  <c r="AM62" i="19"/>
  <c r="AN62" i="19"/>
  <c r="AO62" i="19" s="1"/>
  <c r="AS62" i="19"/>
  <c r="AT62" i="19"/>
  <c r="BA62" i="19" s="1"/>
  <c r="AZ62" i="19"/>
  <c r="S63" i="19"/>
  <c r="W63" i="19"/>
  <c r="AG63" i="19"/>
  <c r="AH63" i="19"/>
  <c r="AI63" i="19"/>
  <c r="AN63" i="19" s="1"/>
  <c r="AO63" i="19" s="1"/>
  <c r="AJ63" i="19"/>
  <c r="AK63" i="19"/>
  <c r="AL63" i="19"/>
  <c r="AM63" i="19"/>
  <c r="AQ63" i="19"/>
  <c r="AR63" i="19" s="1"/>
  <c r="AW63" i="19" s="1"/>
  <c r="AS63" i="19"/>
  <c r="AT63" i="19"/>
  <c r="AZ63" i="19"/>
  <c r="BA63" i="19"/>
  <c r="S64" i="19"/>
  <c r="W64" i="19"/>
  <c r="AQ64" i="19" s="1"/>
  <c r="AR64" i="19" s="1"/>
  <c r="AW64" i="19" s="1"/>
  <c r="AG64" i="19"/>
  <c r="AH64" i="19"/>
  <c r="AI64" i="19"/>
  <c r="AN64" i="19" s="1"/>
  <c r="AO64" i="19" s="1"/>
  <c r="AJ64" i="19"/>
  <c r="AK64" i="19"/>
  <c r="AL64" i="19"/>
  <c r="AM64" i="19"/>
  <c r="AS64" i="19"/>
  <c r="AT64" i="19"/>
  <c r="AZ64" i="19"/>
  <c r="BA64" i="19"/>
  <c r="S65" i="19"/>
  <c r="W65" i="19"/>
  <c r="AG65" i="19"/>
  <c r="AQ65" i="19" s="1"/>
  <c r="AR65" i="19" s="1"/>
  <c r="AW65" i="19" s="1"/>
  <c r="AH65" i="19"/>
  <c r="AI65" i="19"/>
  <c r="AN65" i="19" s="1"/>
  <c r="AO65" i="19" s="1"/>
  <c r="AJ65" i="19"/>
  <c r="AK65" i="19"/>
  <c r="AL65" i="19"/>
  <c r="AM65" i="19"/>
  <c r="AS65" i="19"/>
  <c r="AT65" i="19" s="1"/>
  <c r="BA65" i="19" s="1"/>
  <c r="S66" i="19"/>
  <c r="W66" i="19"/>
  <c r="AQ66" i="19" s="1"/>
  <c r="AR66" i="19" s="1"/>
  <c r="AW66" i="19" s="1"/>
  <c r="AG66" i="19"/>
  <c r="AH66" i="19"/>
  <c r="AI66" i="19"/>
  <c r="AJ66" i="19"/>
  <c r="AK66" i="19"/>
  <c r="AL66" i="19"/>
  <c r="AM66" i="19"/>
  <c r="AN66" i="19"/>
  <c r="AO66" i="19" s="1"/>
  <c r="AS66" i="19"/>
  <c r="AT66" i="19"/>
  <c r="BA66" i="19" s="1"/>
  <c r="AZ66" i="19"/>
  <c r="S67" i="19"/>
  <c r="W67" i="19"/>
  <c r="AQ67" i="19" s="1"/>
  <c r="AR67" i="19" s="1"/>
  <c r="AW67" i="19" s="1"/>
  <c r="AG67" i="19"/>
  <c r="AH67" i="19"/>
  <c r="AI67" i="19"/>
  <c r="AN67" i="19" s="1"/>
  <c r="AO67" i="19" s="1"/>
  <c r="AJ67" i="19"/>
  <c r="AK67" i="19"/>
  <c r="AL67" i="19"/>
  <c r="AM67" i="19"/>
  <c r="AS67" i="19"/>
  <c r="AT67" i="19" s="1"/>
  <c r="BA67" i="19" s="1"/>
  <c r="S68" i="19"/>
  <c r="W68" i="19"/>
  <c r="AQ68" i="19" s="1"/>
  <c r="AR68" i="19" s="1"/>
  <c r="AW68" i="19" s="1"/>
  <c r="AG68" i="19"/>
  <c r="AH68" i="19"/>
  <c r="AI68" i="19"/>
  <c r="AJ68" i="19"/>
  <c r="AN68" i="19" s="1"/>
  <c r="AO68" i="19" s="1"/>
  <c r="AK68" i="19"/>
  <c r="AL68" i="19"/>
  <c r="AM68" i="19"/>
  <c r="AS68" i="19"/>
  <c r="AT68" i="19"/>
  <c r="BA68" i="19" s="1"/>
  <c r="AZ68" i="19"/>
  <c r="S69" i="19"/>
  <c r="W69" i="19"/>
  <c r="AG69" i="19"/>
  <c r="AH69" i="19"/>
  <c r="AI69" i="19"/>
  <c r="AN69" i="19" s="1"/>
  <c r="AO69" i="19" s="1"/>
  <c r="AJ69" i="19"/>
  <c r="AK69" i="19"/>
  <c r="AL69" i="19"/>
  <c r="AM69" i="19"/>
  <c r="AQ69" i="19"/>
  <c r="AR69" i="19" s="1"/>
  <c r="AW69" i="19" s="1"/>
  <c r="AS69" i="19"/>
  <c r="AT69" i="19"/>
  <c r="AZ69" i="19"/>
  <c r="BA69" i="19"/>
  <c r="S70" i="19"/>
  <c r="W70" i="19"/>
  <c r="AQ70" i="19" s="1"/>
  <c r="AR70" i="19" s="1"/>
  <c r="AW70" i="19" s="1"/>
  <c r="AG70" i="19"/>
  <c r="AH70" i="19"/>
  <c r="AI70" i="19"/>
  <c r="AN70" i="19" s="1"/>
  <c r="AO70" i="19" s="1"/>
  <c r="AJ70" i="19"/>
  <c r="AK70" i="19"/>
  <c r="AL70" i="19"/>
  <c r="AM70" i="19"/>
  <c r="AS70" i="19"/>
  <c r="AT70" i="19"/>
  <c r="AZ70" i="19"/>
  <c r="BA70" i="19"/>
  <c r="S71" i="19"/>
  <c r="W71" i="19"/>
  <c r="AG71" i="19"/>
  <c r="AQ71" i="19" s="1"/>
  <c r="AR71" i="19" s="1"/>
  <c r="AW71" i="19" s="1"/>
  <c r="AH71" i="19"/>
  <c r="AI71" i="19"/>
  <c r="AN71" i="19" s="1"/>
  <c r="AO71" i="19" s="1"/>
  <c r="AJ71" i="19"/>
  <c r="AK71" i="19"/>
  <c r="AL71" i="19"/>
  <c r="AM71" i="19"/>
  <c r="AS71" i="19"/>
  <c r="AT71" i="19" s="1"/>
  <c r="BA71" i="19" s="1"/>
  <c r="S72" i="19"/>
  <c r="W72" i="19"/>
  <c r="AQ72" i="19" s="1"/>
  <c r="AR72" i="19" s="1"/>
  <c r="AW72" i="19" s="1"/>
  <c r="AG72" i="19"/>
  <c r="AH72" i="19"/>
  <c r="AI72" i="19"/>
  <c r="AJ72" i="19"/>
  <c r="AK72" i="19"/>
  <c r="AL72" i="19"/>
  <c r="AM72" i="19"/>
  <c r="AN72" i="19"/>
  <c r="AO72" i="19" s="1"/>
  <c r="AS72" i="19"/>
  <c r="AT72" i="19"/>
  <c r="BA72" i="19" s="1"/>
  <c r="AZ72" i="19"/>
  <c r="S73" i="19"/>
  <c r="W73" i="19"/>
  <c r="AQ73" i="19" s="1"/>
  <c r="AR73" i="19" s="1"/>
  <c r="AG73" i="19"/>
  <c r="AH73" i="19"/>
  <c r="AI73" i="19"/>
  <c r="AN73" i="19" s="1"/>
  <c r="AO73" i="19" s="1"/>
  <c r="AJ73" i="19"/>
  <c r="AK73" i="19"/>
  <c r="AL73" i="19"/>
  <c r="AM73" i="19"/>
  <c r="AS73" i="19"/>
  <c r="AT73" i="19" s="1"/>
  <c r="BA73" i="19" s="1"/>
  <c r="S74" i="19"/>
  <c r="W74" i="19"/>
  <c r="AQ74" i="19" s="1"/>
  <c r="AR74" i="19" s="1"/>
  <c r="AW74" i="19" s="1"/>
  <c r="AG74" i="19"/>
  <c r="AH74" i="19"/>
  <c r="AI74" i="19"/>
  <c r="AJ74" i="19"/>
  <c r="AN74" i="19" s="1"/>
  <c r="AO74" i="19" s="1"/>
  <c r="AK74" i="19"/>
  <c r="AL74" i="19"/>
  <c r="AM74" i="19"/>
  <c r="AS74" i="19"/>
  <c r="AT74" i="19"/>
  <c r="BA74" i="19" s="1"/>
  <c r="AZ74" i="19"/>
  <c r="S75" i="19"/>
  <c r="W75" i="19"/>
  <c r="AG75" i="19"/>
  <c r="AH75" i="19"/>
  <c r="AI75" i="19"/>
  <c r="AN75" i="19" s="1"/>
  <c r="AO75" i="19" s="1"/>
  <c r="AJ75" i="19"/>
  <c r="AK75" i="19"/>
  <c r="AL75" i="19"/>
  <c r="AM75" i="19"/>
  <c r="AQ75" i="19"/>
  <c r="AR75" i="19" s="1"/>
  <c r="AW75" i="19" s="1"/>
  <c r="AS75" i="19"/>
  <c r="AT75" i="19"/>
  <c r="AZ75" i="19"/>
  <c r="BA75" i="19"/>
  <c r="S76" i="19"/>
  <c r="W76" i="19"/>
  <c r="AQ76" i="19" s="1"/>
  <c r="AR76" i="19" s="1"/>
  <c r="AW76" i="19" s="1"/>
  <c r="AG76" i="19"/>
  <c r="AH76" i="19"/>
  <c r="AI76" i="19"/>
  <c r="AN76" i="19" s="1"/>
  <c r="AO76" i="19" s="1"/>
  <c r="AJ76" i="19"/>
  <c r="AK76" i="19"/>
  <c r="AL76" i="19"/>
  <c r="AM76" i="19"/>
  <c r="AS76" i="19"/>
  <c r="AT76" i="19"/>
  <c r="AZ76" i="19"/>
  <c r="BA76" i="19"/>
  <c r="G28" i="1"/>
  <c r="I26" i="1"/>
  <c r="H26" i="1"/>
  <c r="I25" i="1"/>
  <c r="H25" i="1"/>
  <c r="D23" i="10"/>
  <c r="D16" i="10"/>
  <c r="AX68" i="19" l="1"/>
  <c r="AP68" i="19"/>
  <c r="AU68" i="19" s="1"/>
  <c r="AY68" i="19"/>
  <c r="AP61" i="19"/>
  <c r="AU61" i="19" s="1"/>
  <c r="AX61" i="19"/>
  <c r="AP75" i="19"/>
  <c r="AU75" i="19" s="1"/>
  <c r="AV75" i="19"/>
  <c r="AX75" i="19"/>
  <c r="AY75" i="19"/>
  <c r="AX72" i="19"/>
  <c r="AP72" i="19"/>
  <c r="AU72" i="19" s="1"/>
  <c r="AV72" i="19"/>
  <c r="AP69" i="19"/>
  <c r="AU69" i="19" s="1"/>
  <c r="AV69" i="19"/>
  <c r="AY69" i="19"/>
  <c r="AP66" i="19"/>
  <c r="AU66" i="19" s="1"/>
  <c r="AP63" i="19"/>
  <c r="AU63" i="19" s="1"/>
  <c r="AV63" i="19"/>
  <c r="AX63" i="19"/>
  <c r="AY63" i="19"/>
  <c r="AP62" i="19"/>
  <c r="AU62" i="19" s="1"/>
  <c r="AV62" i="19"/>
  <c r="AY62" i="19"/>
  <c r="AW61" i="19"/>
  <c r="AW73" i="19"/>
  <c r="AX71" i="19"/>
  <c r="AY71" i="19"/>
  <c r="AP71" i="19"/>
  <c r="AU71" i="19" s="1"/>
  <c r="AV71" i="19"/>
  <c r="AY65" i="19"/>
  <c r="AP65" i="19"/>
  <c r="AU65" i="19" s="1"/>
  <c r="AV65" i="19"/>
  <c r="AY60" i="19"/>
  <c r="AP60" i="19"/>
  <c r="AU60" i="19" s="1"/>
  <c r="AV60" i="19"/>
  <c r="AV74" i="19"/>
  <c r="AX74" i="19"/>
  <c r="AP74" i="19"/>
  <c r="AU74" i="19" s="1"/>
  <c r="AY74" i="19"/>
  <c r="AY76" i="19"/>
  <c r="AP76" i="19"/>
  <c r="AU76" i="19" s="1"/>
  <c r="AV76" i="19"/>
  <c r="AP73" i="19"/>
  <c r="AU73" i="19" s="1"/>
  <c r="AV73" i="19"/>
  <c r="AY73" i="19"/>
  <c r="AX73" i="19"/>
  <c r="AP70" i="19"/>
  <c r="AU70" i="19" s="1"/>
  <c r="AP67" i="19"/>
  <c r="AU67" i="19" s="1"/>
  <c r="AV67" i="19"/>
  <c r="AY67" i="19"/>
  <c r="AX67" i="19"/>
  <c r="AP64" i="19"/>
  <c r="AU64" i="19" s="1"/>
  <c r="AX64" i="19"/>
  <c r="AY64" i="19"/>
  <c r="AV64" i="19"/>
  <c r="AX59" i="19"/>
  <c r="AY59" i="19"/>
  <c r="AP59" i="19"/>
  <c r="AU59" i="19" s="1"/>
  <c r="AV59" i="19"/>
  <c r="AZ71" i="19"/>
  <c r="AZ65" i="19"/>
  <c r="AZ73" i="19"/>
  <c r="AZ67" i="19"/>
  <c r="AZ61" i="19"/>
  <c r="D18" i="10"/>
  <c r="C17" i="19"/>
  <c r="C28" i="19" s="1"/>
  <c r="AD67" i="3"/>
  <c r="AD62" i="3"/>
  <c r="CH126" i="19" s="1"/>
  <c r="CG126" i="19"/>
  <c r="CG127" i="19"/>
  <c r="CG128" i="19"/>
  <c r="CG129" i="19"/>
  <c r="CG130" i="19"/>
  <c r="CG131" i="19"/>
  <c r="CG132" i="19"/>
  <c r="CG133" i="19"/>
  <c r="CG134" i="19"/>
  <c r="CG135" i="19"/>
  <c r="CG136" i="19"/>
  <c r="CG137" i="19"/>
  <c r="CG138" i="19"/>
  <c r="CG139" i="19"/>
  <c r="CG140" i="19"/>
  <c r="CG141" i="19"/>
  <c r="CG143" i="19"/>
  <c r="CG144" i="19"/>
  <c r="CG145" i="19"/>
  <c r="AY70" i="19" l="1"/>
  <c r="AX66" i="19"/>
  <c r="AX70" i="19"/>
  <c r="AV66" i="19"/>
  <c r="AY61" i="19"/>
  <c r="AX76" i="19"/>
  <c r="AX65" i="19"/>
  <c r="AY66" i="19"/>
  <c r="AV70" i="19"/>
  <c r="AX60" i="19"/>
  <c r="AX62" i="19"/>
  <c r="AX69" i="19"/>
  <c r="AY72" i="19"/>
  <c r="AV61" i="19"/>
  <c r="AV68" i="19"/>
  <c r="CH143" i="19"/>
  <c r="CH137" i="19"/>
  <c r="CH131" i="19"/>
  <c r="CH142" i="19"/>
  <c r="CH136" i="19"/>
  <c r="CH130" i="19"/>
  <c r="CH141" i="19"/>
  <c r="CH135" i="19"/>
  <c r="CH129" i="19"/>
  <c r="CH140" i="19"/>
  <c r="CH134" i="19"/>
  <c r="CH128" i="19"/>
  <c r="CH145" i="19"/>
  <c r="CH139" i="19"/>
  <c r="CH133" i="19"/>
  <c r="CH127" i="19"/>
  <c r="CH144" i="19"/>
  <c r="CH138" i="19"/>
  <c r="CH132" i="19"/>
  <c r="AS77" i="19"/>
  <c r="AS78" i="19"/>
  <c r="AS79" i="19"/>
  <c r="AS80" i="19"/>
  <c r="AS81" i="19"/>
  <c r="AS82" i="19"/>
  <c r="AS83" i="19"/>
  <c r="AS84" i="19"/>
  <c r="AS85" i="19"/>
  <c r="AS86" i="19"/>
  <c r="AS87" i="19"/>
  <c r="AS88" i="19"/>
  <c r="AS89" i="19"/>
  <c r="AS90" i="19"/>
  <c r="AS91" i="19"/>
  <c r="AS92" i="19"/>
  <c r="AS93" i="19"/>
  <c r="AS94" i="19"/>
  <c r="AS95" i="19"/>
  <c r="AS96" i="19"/>
  <c r="AS97" i="19"/>
  <c r="AS98" i="19"/>
  <c r="AS99" i="19"/>
  <c r="AS100" i="19"/>
  <c r="AS101" i="19"/>
  <c r="AS102" i="19"/>
  <c r="AS103" i="19"/>
  <c r="AS104" i="19"/>
  <c r="AS105" i="19"/>
  <c r="AS106" i="19"/>
  <c r="AS107" i="19"/>
  <c r="AS108" i="19"/>
  <c r="AS109" i="19"/>
  <c r="AS110" i="19"/>
  <c r="AS111" i="19"/>
  <c r="AS112" i="19"/>
  <c r="AS113" i="19"/>
  <c r="AS114" i="19"/>
  <c r="AS115" i="19"/>
  <c r="AS116" i="19"/>
  <c r="AS117" i="19"/>
  <c r="AS118" i="19"/>
  <c r="W77" i="19"/>
  <c r="W78" i="19"/>
  <c r="W79" i="19"/>
  <c r="W80" i="19"/>
  <c r="W81" i="19"/>
  <c r="W82" i="19"/>
  <c r="W83" i="19"/>
  <c r="W84" i="19"/>
  <c r="W85" i="19"/>
  <c r="W86" i="19"/>
  <c r="W87" i="19"/>
  <c r="W88" i="19"/>
  <c r="W89" i="19"/>
  <c r="W90" i="19"/>
  <c r="W91" i="19"/>
  <c r="W92" i="19"/>
  <c r="W93" i="19"/>
  <c r="W94" i="19"/>
  <c r="W95" i="19"/>
  <c r="W96" i="19"/>
  <c r="W97" i="19"/>
  <c r="W98" i="19"/>
  <c r="W99" i="19"/>
  <c r="W100" i="19"/>
  <c r="W101" i="19"/>
  <c r="W102" i="19"/>
  <c r="W103" i="19"/>
  <c r="W104" i="19"/>
  <c r="W105" i="19"/>
  <c r="W106" i="19"/>
  <c r="W107" i="19"/>
  <c r="W108" i="19"/>
  <c r="W109" i="19"/>
  <c r="W110" i="19"/>
  <c r="W111" i="19"/>
  <c r="W112" i="19"/>
  <c r="W113" i="19"/>
  <c r="W114" i="19"/>
  <c r="W115" i="19"/>
  <c r="W116" i="19"/>
  <c r="W117" i="19"/>
  <c r="W118" i="19"/>
  <c r="AM77" i="19"/>
  <c r="AM78" i="19"/>
  <c r="AM79" i="19"/>
  <c r="AM80" i="19"/>
  <c r="AM81" i="19"/>
  <c r="AM82" i="19"/>
  <c r="AM83" i="19"/>
  <c r="AM84" i="19"/>
  <c r="AM85" i="19"/>
  <c r="AM86" i="19"/>
  <c r="AM87" i="19"/>
  <c r="AM88" i="19"/>
  <c r="AM89" i="19"/>
  <c r="AM90" i="19"/>
  <c r="AM91" i="19"/>
  <c r="AM92" i="19"/>
  <c r="AM93" i="19"/>
  <c r="AM94" i="19"/>
  <c r="AM95" i="19"/>
  <c r="AM96" i="19"/>
  <c r="AM97" i="19"/>
  <c r="AM98" i="19"/>
  <c r="AM99" i="19"/>
  <c r="AM100" i="19"/>
  <c r="AM101" i="19"/>
  <c r="AM102" i="19"/>
  <c r="AM103" i="19"/>
  <c r="AM104" i="19"/>
  <c r="AM105" i="19"/>
  <c r="AM106" i="19"/>
  <c r="AM107" i="19"/>
  <c r="AM108" i="19"/>
  <c r="AM109" i="19"/>
  <c r="AM110" i="19"/>
  <c r="AM111" i="19"/>
  <c r="AM112" i="19"/>
  <c r="AM113" i="19"/>
  <c r="AM114" i="19"/>
  <c r="AM115" i="19"/>
  <c r="AM116" i="19"/>
  <c r="AM117" i="19"/>
  <c r="AM118" i="19"/>
  <c r="AL77" i="19"/>
  <c r="AL78" i="19"/>
  <c r="AL79" i="19"/>
  <c r="AL80" i="19"/>
  <c r="AL81" i="19"/>
  <c r="AL82" i="19"/>
  <c r="AL83" i="19"/>
  <c r="AL84" i="19"/>
  <c r="AL85" i="19"/>
  <c r="AL86" i="19"/>
  <c r="AL87" i="19"/>
  <c r="AL88" i="19"/>
  <c r="AL89" i="19"/>
  <c r="AL90" i="19"/>
  <c r="AL91" i="19"/>
  <c r="AL92" i="19"/>
  <c r="AL93" i="19"/>
  <c r="AL94" i="19"/>
  <c r="AL95" i="19"/>
  <c r="AL96" i="19"/>
  <c r="AL97" i="19"/>
  <c r="AL98" i="19"/>
  <c r="AL99" i="19"/>
  <c r="AL100" i="19"/>
  <c r="AL101" i="19"/>
  <c r="AL102" i="19"/>
  <c r="AL103" i="19"/>
  <c r="AL104" i="19"/>
  <c r="AL105" i="19"/>
  <c r="AL106" i="19"/>
  <c r="AL107" i="19"/>
  <c r="AL108" i="19"/>
  <c r="AL109" i="19"/>
  <c r="AL110" i="19"/>
  <c r="AL111" i="19"/>
  <c r="AL112" i="19"/>
  <c r="AL113" i="19"/>
  <c r="AL114" i="19"/>
  <c r="AL115" i="19"/>
  <c r="AL116" i="19"/>
  <c r="AL117" i="19"/>
  <c r="AL118" i="19"/>
  <c r="AK77" i="19"/>
  <c r="AK78" i="19"/>
  <c r="AK79" i="19"/>
  <c r="AK80" i="19"/>
  <c r="AK81" i="19"/>
  <c r="AK82" i="19"/>
  <c r="AK83" i="19"/>
  <c r="AK84" i="19"/>
  <c r="AK85" i="19"/>
  <c r="AK86" i="19"/>
  <c r="AK87" i="19"/>
  <c r="AK88" i="19"/>
  <c r="AK89" i="19"/>
  <c r="AK90" i="19"/>
  <c r="AK91" i="19"/>
  <c r="AK92" i="19"/>
  <c r="AK93" i="19"/>
  <c r="AK94" i="19"/>
  <c r="AK95" i="19"/>
  <c r="AK96" i="19"/>
  <c r="AK97" i="19"/>
  <c r="AK98" i="19"/>
  <c r="AK99" i="19"/>
  <c r="AK100" i="19"/>
  <c r="AK101" i="19"/>
  <c r="AK102" i="19"/>
  <c r="AK103" i="19"/>
  <c r="AK104" i="19"/>
  <c r="AK105" i="19"/>
  <c r="AK106" i="19"/>
  <c r="AK107" i="19"/>
  <c r="AK108" i="19"/>
  <c r="AK109" i="19"/>
  <c r="AK110" i="19"/>
  <c r="AK111" i="19"/>
  <c r="AK112" i="19"/>
  <c r="AK113" i="19"/>
  <c r="AK114" i="19"/>
  <c r="AK115" i="19"/>
  <c r="AK116" i="19"/>
  <c r="AK117" i="19"/>
  <c r="AK118" i="19"/>
  <c r="AJ77" i="19"/>
  <c r="AJ78" i="19"/>
  <c r="AJ79" i="19"/>
  <c r="AJ80" i="19"/>
  <c r="AJ81" i="19"/>
  <c r="AJ82" i="19"/>
  <c r="AJ83" i="19"/>
  <c r="AJ84" i="19"/>
  <c r="AJ85" i="19"/>
  <c r="AJ86" i="19"/>
  <c r="AJ87" i="19"/>
  <c r="AJ88" i="19"/>
  <c r="AJ89" i="19"/>
  <c r="AJ90" i="19"/>
  <c r="AJ91" i="19"/>
  <c r="AJ92" i="19"/>
  <c r="AJ93" i="19"/>
  <c r="AJ94" i="19"/>
  <c r="AJ95" i="19"/>
  <c r="AJ96" i="19"/>
  <c r="AJ97" i="19"/>
  <c r="AJ98" i="19"/>
  <c r="AJ99" i="19"/>
  <c r="AJ100" i="19"/>
  <c r="AJ101" i="19"/>
  <c r="AJ102" i="19"/>
  <c r="AJ103" i="19"/>
  <c r="AJ104" i="19"/>
  <c r="AJ105" i="19"/>
  <c r="AJ106" i="19"/>
  <c r="AJ107" i="19"/>
  <c r="AJ108" i="19"/>
  <c r="AJ109" i="19"/>
  <c r="AJ110" i="19"/>
  <c r="AJ111" i="19"/>
  <c r="AJ112" i="19"/>
  <c r="AJ113" i="19"/>
  <c r="AJ114" i="19"/>
  <c r="AJ115" i="19"/>
  <c r="AJ116" i="19"/>
  <c r="AJ117" i="19"/>
  <c r="AJ118"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H77" i="19"/>
  <c r="AH78" i="19"/>
  <c r="AH79" i="19"/>
  <c r="AH80" i="19"/>
  <c r="AH81" i="19"/>
  <c r="AH82" i="19"/>
  <c r="AH83" i="19"/>
  <c r="AH84" i="19"/>
  <c r="AH85" i="19"/>
  <c r="AH86" i="19"/>
  <c r="AH87" i="19"/>
  <c r="AH88" i="19"/>
  <c r="AH89" i="19"/>
  <c r="AH90" i="19"/>
  <c r="AH91" i="19"/>
  <c r="AH92" i="19"/>
  <c r="AH93" i="19"/>
  <c r="AH94" i="19"/>
  <c r="AH95" i="19"/>
  <c r="AH96" i="19"/>
  <c r="AH97" i="19"/>
  <c r="AH98" i="19"/>
  <c r="AH99" i="19"/>
  <c r="AH100" i="19"/>
  <c r="AH101" i="19"/>
  <c r="AH102" i="19"/>
  <c r="AH103" i="19"/>
  <c r="AH104" i="19"/>
  <c r="AH105" i="19"/>
  <c r="AH106" i="19"/>
  <c r="AH107" i="19"/>
  <c r="AH108" i="19"/>
  <c r="AH109" i="19"/>
  <c r="AH110" i="19"/>
  <c r="AH111" i="19"/>
  <c r="AH112" i="19"/>
  <c r="AH113" i="19"/>
  <c r="AH114" i="19"/>
  <c r="AH115" i="19"/>
  <c r="AH116" i="19"/>
  <c r="AH117" i="19"/>
  <c r="AH118"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AG115" i="19"/>
  <c r="AG116" i="19"/>
  <c r="AG117" i="19"/>
  <c r="AG118" i="19"/>
  <c r="BJ126" i="19"/>
  <c r="BJ127" i="19"/>
  <c r="BJ128" i="19"/>
  <c r="BJ129" i="19"/>
  <c r="BJ130" i="19"/>
  <c r="BJ131" i="19"/>
  <c r="BJ132" i="19"/>
  <c r="BJ133" i="19"/>
  <c r="BJ134" i="19"/>
  <c r="BJ135" i="19"/>
  <c r="BJ136" i="19"/>
  <c r="BJ137" i="19"/>
  <c r="BJ138" i="19"/>
  <c r="BJ139" i="19"/>
  <c r="BJ140" i="19"/>
  <c r="BJ141" i="19"/>
  <c r="BJ142" i="19"/>
  <c r="BJ143" i="19"/>
  <c r="BJ144" i="19"/>
  <c r="BJ145" i="19"/>
  <c r="AT102" i="19" l="1"/>
  <c r="BA102" i="19" s="1"/>
  <c r="AZ102" i="19"/>
  <c r="AT84" i="19"/>
  <c r="BA84" i="19" s="1"/>
  <c r="AZ84" i="19"/>
  <c r="AT113" i="19"/>
  <c r="BA113" i="19" s="1"/>
  <c r="AZ113" i="19"/>
  <c r="AT95" i="19"/>
  <c r="BA95" i="19" s="1"/>
  <c r="AZ95" i="19"/>
  <c r="AT118" i="19"/>
  <c r="BA118" i="19" s="1"/>
  <c r="AZ118" i="19"/>
  <c r="AT112" i="19"/>
  <c r="BA112" i="19" s="1"/>
  <c r="AZ112" i="19"/>
  <c r="AT106" i="19"/>
  <c r="BA106" i="19" s="1"/>
  <c r="AZ106" i="19"/>
  <c r="AT100" i="19"/>
  <c r="BA100" i="19" s="1"/>
  <c r="AZ100" i="19"/>
  <c r="AT94" i="19"/>
  <c r="BA94" i="19" s="1"/>
  <c r="AZ94" i="19"/>
  <c r="AT88" i="19"/>
  <c r="BA88" i="19" s="1"/>
  <c r="AZ88" i="19"/>
  <c r="AT82" i="19"/>
  <c r="BA82" i="19" s="1"/>
  <c r="AZ82" i="19"/>
  <c r="AT108" i="19"/>
  <c r="BA108" i="19" s="1"/>
  <c r="AZ108" i="19"/>
  <c r="AT90" i="19"/>
  <c r="BA90" i="19" s="1"/>
  <c r="AZ90" i="19"/>
  <c r="AT101" i="19"/>
  <c r="BA101" i="19" s="1"/>
  <c r="AZ101" i="19"/>
  <c r="AT83" i="19"/>
  <c r="BA83" i="19" s="1"/>
  <c r="AZ83" i="19"/>
  <c r="AT117" i="19"/>
  <c r="BA117" i="19" s="1"/>
  <c r="AZ117" i="19"/>
  <c r="AT111" i="19"/>
  <c r="BA111" i="19" s="1"/>
  <c r="AZ111" i="19"/>
  <c r="AT105" i="19"/>
  <c r="BA105" i="19" s="1"/>
  <c r="AZ105" i="19"/>
  <c r="AT99" i="19"/>
  <c r="BA99" i="19" s="1"/>
  <c r="AZ99" i="19"/>
  <c r="AT93" i="19"/>
  <c r="BA93" i="19" s="1"/>
  <c r="AZ93" i="19"/>
  <c r="AT87" i="19"/>
  <c r="BA87" i="19" s="1"/>
  <c r="AZ87" i="19"/>
  <c r="AT81" i="19"/>
  <c r="BA81" i="19" s="1"/>
  <c r="AZ81" i="19"/>
  <c r="AT116" i="19"/>
  <c r="BA116" i="19" s="1"/>
  <c r="AZ116" i="19"/>
  <c r="AT110" i="19"/>
  <c r="BA110" i="19" s="1"/>
  <c r="AZ110" i="19"/>
  <c r="AT104" i="19"/>
  <c r="BA104" i="19" s="1"/>
  <c r="AZ104" i="19"/>
  <c r="AT98" i="19"/>
  <c r="BA98" i="19" s="1"/>
  <c r="AZ98" i="19"/>
  <c r="AT92" i="19"/>
  <c r="BA92" i="19" s="1"/>
  <c r="AZ92" i="19"/>
  <c r="AT86" i="19"/>
  <c r="BA86" i="19" s="1"/>
  <c r="AZ86" i="19"/>
  <c r="AT80" i="19"/>
  <c r="BA80" i="19" s="1"/>
  <c r="AZ80" i="19"/>
  <c r="AT114" i="19"/>
  <c r="BA114" i="19" s="1"/>
  <c r="AZ114" i="19"/>
  <c r="AT96" i="19"/>
  <c r="BA96" i="19" s="1"/>
  <c r="AZ96" i="19"/>
  <c r="AT78" i="19"/>
  <c r="BA78" i="19" s="1"/>
  <c r="AZ78" i="19"/>
  <c r="AT107" i="19"/>
  <c r="BA107" i="19" s="1"/>
  <c r="AZ107" i="19"/>
  <c r="AT89" i="19"/>
  <c r="BA89" i="19" s="1"/>
  <c r="AZ89" i="19"/>
  <c r="AT77" i="19"/>
  <c r="BA77" i="19" s="1"/>
  <c r="AZ77" i="19"/>
  <c r="AT115" i="19"/>
  <c r="BA115" i="19" s="1"/>
  <c r="AZ115" i="19"/>
  <c r="AT109" i="19"/>
  <c r="BA109" i="19" s="1"/>
  <c r="AZ109" i="19"/>
  <c r="AT103" i="19"/>
  <c r="BA103" i="19" s="1"/>
  <c r="AZ103" i="19"/>
  <c r="AT97" i="19"/>
  <c r="BA97" i="19" s="1"/>
  <c r="AZ97" i="19"/>
  <c r="AT91" i="19"/>
  <c r="BA91" i="19" s="1"/>
  <c r="AZ91" i="19"/>
  <c r="AT85" i="19"/>
  <c r="BA85" i="19" s="1"/>
  <c r="AZ85" i="19"/>
  <c r="AT79" i="19"/>
  <c r="BA79" i="19" s="1"/>
  <c r="AZ79" i="19"/>
  <c r="AQ116" i="19"/>
  <c r="AR116" i="19" s="1"/>
  <c r="AQ110" i="19"/>
  <c r="AR110" i="19" s="1"/>
  <c r="AQ104" i="19"/>
  <c r="AR104" i="19" s="1"/>
  <c r="AQ98" i="19"/>
  <c r="AR98" i="19" s="1"/>
  <c r="AQ92" i="19"/>
  <c r="AR92" i="19" s="1"/>
  <c r="AW92" i="19" s="1"/>
  <c r="AQ86" i="19"/>
  <c r="AR86" i="19" s="1"/>
  <c r="AQ80" i="19"/>
  <c r="AR80" i="19" s="1"/>
  <c r="AQ115" i="19"/>
  <c r="AR115" i="19" s="1"/>
  <c r="AW115" i="19" s="1"/>
  <c r="AQ109" i="19"/>
  <c r="AR109" i="19" s="1"/>
  <c r="AQ103" i="19"/>
  <c r="AR103" i="19" s="1"/>
  <c r="AQ97" i="19"/>
  <c r="AR97" i="19" s="1"/>
  <c r="AQ91" i="19"/>
  <c r="AR91" i="19" s="1"/>
  <c r="AQ85" i="19"/>
  <c r="AR85" i="19" s="1"/>
  <c r="AQ79" i="19"/>
  <c r="AR79" i="19" s="1"/>
  <c r="AW79" i="19" s="1"/>
  <c r="AQ114" i="19"/>
  <c r="AR114" i="19" s="1"/>
  <c r="AQ108" i="19"/>
  <c r="AR108" i="19" s="1"/>
  <c r="AQ102" i="19"/>
  <c r="AR102" i="19" s="1"/>
  <c r="AQ96" i="19"/>
  <c r="AR96" i="19" s="1"/>
  <c r="AQ90" i="19"/>
  <c r="AR90" i="19" s="1"/>
  <c r="AQ84" i="19"/>
  <c r="AR84" i="19" s="1"/>
  <c r="AQ78" i="19"/>
  <c r="AR78" i="19" s="1"/>
  <c r="AQ113" i="19"/>
  <c r="AR113" i="19" s="1"/>
  <c r="AW113" i="19" s="1"/>
  <c r="AQ107" i="19"/>
  <c r="AR107" i="19" s="1"/>
  <c r="AQ101" i="19"/>
  <c r="AR101" i="19" s="1"/>
  <c r="AQ95" i="19"/>
  <c r="AR95" i="19" s="1"/>
  <c r="AQ89" i="19"/>
  <c r="AR89" i="19" s="1"/>
  <c r="AQ83" i="19"/>
  <c r="AR83" i="19" s="1"/>
  <c r="AQ77" i="19"/>
  <c r="AR77" i="19" s="1"/>
  <c r="AQ118" i="19"/>
  <c r="AR118" i="19" s="1"/>
  <c r="AQ112" i="19"/>
  <c r="AR112" i="19" s="1"/>
  <c r="AQ106" i="19"/>
  <c r="AR106" i="19" s="1"/>
  <c r="AQ100" i="19"/>
  <c r="AR100" i="19" s="1"/>
  <c r="AQ94" i="19"/>
  <c r="AR94" i="19" s="1"/>
  <c r="AW94" i="19" s="1"/>
  <c r="AQ88" i="19"/>
  <c r="AR88" i="19" s="1"/>
  <c r="AQ82" i="19"/>
  <c r="AR82" i="19" s="1"/>
  <c r="AQ117" i="19"/>
  <c r="AR117" i="19" s="1"/>
  <c r="AW117" i="19" s="1"/>
  <c r="AQ111" i="19"/>
  <c r="AR111" i="19" s="1"/>
  <c r="AQ105" i="19"/>
  <c r="AR105" i="19" s="1"/>
  <c r="AQ99" i="19"/>
  <c r="AR99" i="19" s="1"/>
  <c r="AQ93" i="19"/>
  <c r="AR93" i="19" s="1"/>
  <c r="AQ87" i="19"/>
  <c r="AR87" i="19" s="1"/>
  <c r="AQ81" i="19"/>
  <c r="AR81" i="19" s="1"/>
  <c r="AW81" i="19" s="1"/>
  <c r="AW101" i="19" l="1"/>
  <c r="AW103" i="19"/>
  <c r="AW99" i="19"/>
  <c r="AW112" i="19"/>
  <c r="AW95" i="19"/>
  <c r="AW108" i="19"/>
  <c r="AW78" i="19"/>
  <c r="AW84" i="19"/>
  <c r="AW77" i="19"/>
  <c r="AW116" i="19"/>
  <c r="AW83" i="19"/>
  <c r="AW80" i="19"/>
  <c r="AW85" i="19"/>
  <c r="AW98" i="19"/>
  <c r="AW86" i="19"/>
  <c r="AW105" i="19"/>
  <c r="AW118" i="19"/>
  <c r="AW89" i="19"/>
  <c r="AW102" i="19"/>
  <c r="AW96" i="19"/>
  <c r="AW109" i="19"/>
  <c r="AW91" i="19"/>
  <c r="AW104" i="19"/>
  <c r="AW82" i="19"/>
  <c r="AW87" i="19"/>
  <c r="AW100" i="19"/>
  <c r="AW111" i="19"/>
  <c r="AW88" i="19"/>
  <c r="AW114" i="19"/>
  <c r="AW107" i="19"/>
  <c r="AW97" i="19"/>
  <c r="AW110" i="19"/>
  <c r="AW93" i="19"/>
  <c r="AW106" i="19"/>
  <c r="AW90" i="19"/>
  <c r="BV126" i="19"/>
  <c r="BV127" i="19"/>
  <c r="BV128" i="19"/>
  <c r="BV129" i="19"/>
  <c r="BV130" i="19"/>
  <c r="BV131" i="19"/>
  <c r="BV132" i="19"/>
  <c r="BV133" i="19"/>
  <c r="BV134" i="19"/>
  <c r="BV135" i="19"/>
  <c r="BV136" i="19"/>
  <c r="BV137" i="19"/>
  <c r="BV138" i="19"/>
  <c r="BV139" i="19"/>
  <c r="BV140" i="19"/>
  <c r="BV141" i="19"/>
  <c r="BV142" i="19"/>
  <c r="BV143" i="19"/>
  <c r="BV144" i="19"/>
  <c r="BV145" i="19"/>
  <c r="BU126" i="19"/>
  <c r="BU127" i="19"/>
  <c r="BU128" i="19"/>
  <c r="BU129" i="19"/>
  <c r="BU130" i="19"/>
  <c r="BU131" i="19"/>
  <c r="BU132" i="19"/>
  <c r="BU133" i="19"/>
  <c r="BU134" i="19"/>
  <c r="BU135" i="19"/>
  <c r="BU136" i="19"/>
  <c r="BU137" i="19"/>
  <c r="BU138" i="19"/>
  <c r="BU139" i="19"/>
  <c r="BU140" i="19"/>
  <c r="BU141" i="19"/>
  <c r="BU142" i="19"/>
  <c r="BU143" i="19"/>
  <c r="BU144" i="19"/>
  <c r="BU145" i="19"/>
  <c r="BT126" i="19"/>
  <c r="BT127" i="19"/>
  <c r="BT128" i="19"/>
  <c r="BT129" i="19"/>
  <c r="BT130" i="19"/>
  <c r="BT131" i="19"/>
  <c r="BT132" i="19"/>
  <c r="BT133" i="19"/>
  <c r="BT134" i="19"/>
  <c r="BT135" i="19"/>
  <c r="BT136" i="19"/>
  <c r="BT137" i="19"/>
  <c r="BT138" i="19"/>
  <c r="BT139" i="19"/>
  <c r="BT140" i="19"/>
  <c r="BT141" i="19"/>
  <c r="BT142" i="19"/>
  <c r="BT143" i="19"/>
  <c r="BT144" i="19"/>
  <c r="BT145" i="19"/>
  <c r="BS126" i="19"/>
  <c r="BS127" i="19"/>
  <c r="BS128" i="19"/>
  <c r="BS129" i="19"/>
  <c r="BS130" i="19"/>
  <c r="BS131" i="19"/>
  <c r="BS132" i="19"/>
  <c r="BS133" i="19"/>
  <c r="BS134" i="19"/>
  <c r="BS135" i="19"/>
  <c r="BS136" i="19"/>
  <c r="BS137" i="19"/>
  <c r="BS138" i="19"/>
  <c r="BS139" i="19"/>
  <c r="BS140" i="19"/>
  <c r="BS141" i="19"/>
  <c r="BS142" i="19"/>
  <c r="BS143" i="19"/>
  <c r="BS144" i="19"/>
  <c r="BS145" i="19"/>
  <c r="BR126" i="19"/>
  <c r="BR127" i="19"/>
  <c r="BR128" i="19"/>
  <c r="BR129" i="19"/>
  <c r="BR130" i="19"/>
  <c r="BR131" i="19"/>
  <c r="BR132" i="19"/>
  <c r="BR133" i="19"/>
  <c r="BR134" i="19"/>
  <c r="BR135" i="19"/>
  <c r="BR136" i="19"/>
  <c r="BR137" i="19"/>
  <c r="BR138" i="19"/>
  <c r="BR139" i="19"/>
  <c r="BR140" i="19"/>
  <c r="BR141" i="19"/>
  <c r="BR142" i="19"/>
  <c r="BR143" i="19"/>
  <c r="BR144" i="19"/>
  <c r="BR145" i="19"/>
  <c r="BQ126" i="19"/>
  <c r="BQ127" i="19"/>
  <c r="BQ128" i="19"/>
  <c r="BQ129" i="19"/>
  <c r="BQ130" i="19"/>
  <c r="BQ131" i="19"/>
  <c r="BQ132" i="19"/>
  <c r="BQ133" i="19"/>
  <c r="BQ134" i="19"/>
  <c r="BQ135" i="19"/>
  <c r="BQ136" i="19"/>
  <c r="BQ137" i="19"/>
  <c r="BQ138" i="19"/>
  <c r="BQ139" i="19"/>
  <c r="BQ140" i="19"/>
  <c r="BQ141" i="19"/>
  <c r="BQ142" i="19"/>
  <c r="BQ143" i="19"/>
  <c r="BQ144" i="19"/>
  <c r="BQ145" i="19"/>
  <c r="BP126" i="19"/>
  <c r="BP127" i="19"/>
  <c r="BP128" i="19"/>
  <c r="BP129" i="19"/>
  <c r="BP130" i="19"/>
  <c r="BP131" i="19"/>
  <c r="BP132" i="19"/>
  <c r="BP133" i="19"/>
  <c r="BP134" i="19"/>
  <c r="BP135" i="19"/>
  <c r="BP136" i="19"/>
  <c r="BP137" i="19"/>
  <c r="BP138" i="19"/>
  <c r="BP139" i="19"/>
  <c r="BP140" i="19"/>
  <c r="BP141" i="19"/>
  <c r="BP142" i="19"/>
  <c r="BP143" i="19"/>
  <c r="BP144" i="19"/>
  <c r="BP145" i="19"/>
  <c r="BZ143" i="19" l="1"/>
  <c r="CA143" i="19" s="1"/>
  <c r="CD143" i="19" s="1"/>
  <c r="BZ131" i="19"/>
  <c r="CA131" i="19" s="1"/>
  <c r="CD131" i="19" s="1"/>
  <c r="BZ137" i="19"/>
  <c r="CA137" i="19" s="1"/>
  <c r="CD137" i="19" s="1"/>
  <c r="BZ142" i="19"/>
  <c r="CA142" i="19" s="1"/>
  <c r="CD142" i="19" s="1"/>
  <c r="BZ136" i="19"/>
  <c r="CA136" i="19" s="1"/>
  <c r="CD136" i="19" s="1"/>
  <c r="BZ130" i="19"/>
  <c r="CA130" i="19" s="1"/>
  <c r="CD130" i="19" s="1"/>
  <c r="BZ140" i="19"/>
  <c r="CA140" i="19" s="1"/>
  <c r="CD140" i="19" s="1"/>
  <c r="BZ134" i="19"/>
  <c r="CA134" i="19" s="1"/>
  <c r="CD134" i="19" s="1"/>
  <c r="BZ128" i="19"/>
  <c r="CA128" i="19" s="1"/>
  <c r="CD128" i="19" s="1"/>
  <c r="BZ141" i="19"/>
  <c r="CA141" i="19" s="1"/>
  <c r="CD141" i="19" s="1"/>
  <c r="BZ135" i="19"/>
  <c r="CA135" i="19" s="1"/>
  <c r="CD135" i="19" s="1"/>
  <c r="BZ129" i="19"/>
  <c r="CA129" i="19" s="1"/>
  <c r="CD129" i="19" s="1"/>
  <c r="BZ145" i="19"/>
  <c r="CA145" i="19" s="1"/>
  <c r="CD145" i="19" s="1"/>
  <c r="BZ139" i="19"/>
  <c r="CA139" i="19" s="1"/>
  <c r="CD139" i="19" s="1"/>
  <c r="BZ133" i="19"/>
  <c r="CA133" i="19" s="1"/>
  <c r="CD133" i="19" s="1"/>
  <c r="BZ127" i="19"/>
  <c r="CA127" i="19" s="1"/>
  <c r="CD127" i="19" s="1"/>
  <c r="BZ144" i="19"/>
  <c r="CA144" i="19" s="1"/>
  <c r="CD144" i="19" s="1"/>
  <c r="BZ138" i="19"/>
  <c r="CA138" i="19" s="1"/>
  <c r="CD138" i="19" s="1"/>
  <c r="BZ132" i="19"/>
  <c r="CA132" i="19" s="1"/>
  <c r="CD132" i="19" s="1"/>
  <c r="BZ126" i="19"/>
  <c r="CA126" i="19" s="1"/>
  <c r="CD126" i="19" s="1"/>
  <c r="BG127" i="19" l="1"/>
  <c r="BG145" i="19" l="1"/>
  <c r="BG144" i="19"/>
  <c r="BG143" i="19"/>
  <c r="BM142" i="19"/>
  <c r="CG142" i="19" s="1"/>
  <c r="BG142" i="19"/>
  <c r="BG141" i="19"/>
  <c r="BG140" i="19"/>
  <c r="BG139" i="19"/>
  <c r="BG138" i="19"/>
  <c r="BG137" i="19"/>
  <c r="BG136" i="19"/>
  <c r="BG135" i="19"/>
  <c r="BG134" i="19"/>
  <c r="BG133" i="19"/>
  <c r="BG132" i="19"/>
  <c r="BG131" i="19"/>
  <c r="BG130" i="19"/>
  <c r="BG129" i="19"/>
  <c r="BG128" i="19"/>
  <c r="BG126" i="19"/>
  <c r="S118" i="19"/>
  <c r="S117" i="19"/>
  <c r="S116" i="19"/>
  <c r="S115" i="19"/>
  <c r="S114" i="19"/>
  <c r="S113" i="19"/>
  <c r="S112" i="19"/>
  <c r="S111" i="19"/>
  <c r="S110" i="19"/>
  <c r="S109" i="19"/>
  <c r="S108" i="19"/>
  <c r="S107" i="19"/>
  <c r="S106" i="19"/>
  <c r="S105" i="19"/>
  <c r="S104" i="19"/>
  <c r="S103" i="19"/>
  <c r="S102" i="19"/>
  <c r="S101" i="19"/>
  <c r="S100" i="19"/>
  <c r="S99" i="19"/>
  <c r="S98" i="19"/>
  <c r="S97" i="19"/>
  <c r="S96" i="19"/>
  <c r="S95" i="19"/>
  <c r="S94" i="19"/>
  <c r="S93" i="19"/>
  <c r="S92" i="19"/>
  <c r="S91" i="19"/>
  <c r="S90" i="19"/>
  <c r="S89" i="19"/>
  <c r="S88" i="19"/>
  <c r="S87" i="19"/>
  <c r="S86" i="19"/>
  <c r="S85" i="19"/>
  <c r="S84" i="19"/>
  <c r="S83" i="19"/>
  <c r="S82" i="19"/>
  <c r="S81" i="19"/>
  <c r="S80" i="19"/>
  <c r="S79" i="19"/>
  <c r="S78" i="19"/>
  <c r="S77" i="19"/>
  <c r="O31" i="19"/>
  <c r="O30" i="19"/>
  <c r="O29" i="19"/>
  <c r="O28" i="19"/>
  <c r="O27" i="19"/>
  <c r="O26" i="19"/>
  <c r="O25" i="19"/>
  <c r="D18" i="19" l="1"/>
  <c r="C50" i="19"/>
  <c r="D37" i="19"/>
  <c r="C38" i="19"/>
  <c r="C19" i="19"/>
  <c r="D40" i="19"/>
  <c r="C47" i="19"/>
  <c r="C43" i="19"/>
  <c r="C31" i="19"/>
  <c r="C24" i="19"/>
  <c r="D21" i="19"/>
  <c r="AN107" i="19"/>
  <c r="AO107" i="19" s="1"/>
  <c r="AN87" i="19"/>
  <c r="AO87" i="19" s="1"/>
  <c r="AN109" i="19"/>
  <c r="AO109" i="19" s="1"/>
  <c r="AN114" i="19"/>
  <c r="AO114" i="19" s="1"/>
  <c r="AN78" i="19"/>
  <c r="AO78" i="19" s="1"/>
  <c r="AN101" i="19"/>
  <c r="AO101" i="19" s="1"/>
  <c r="AN93" i="19"/>
  <c r="AO93" i="19" s="1"/>
  <c r="AN111" i="19"/>
  <c r="AO111" i="19" s="1"/>
  <c r="AN116" i="19"/>
  <c r="AO116" i="19" s="1"/>
  <c r="AN97" i="19"/>
  <c r="AO97" i="19" s="1"/>
  <c r="AN108" i="19"/>
  <c r="AO108" i="19" s="1"/>
  <c r="AN95" i="19"/>
  <c r="AO95" i="19" s="1"/>
  <c r="AN100" i="19"/>
  <c r="AO100" i="19" s="1"/>
  <c r="AN99" i="19"/>
  <c r="AO99" i="19" s="1"/>
  <c r="AN115" i="19"/>
  <c r="AO115" i="19" s="1"/>
  <c r="AN118" i="19"/>
  <c r="AO118" i="19" s="1"/>
  <c r="AN98" i="19"/>
  <c r="AO98" i="19" s="1"/>
  <c r="AN85" i="19"/>
  <c r="AO85" i="19" s="1"/>
  <c r="AN102" i="19"/>
  <c r="AO102" i="19" s="1"/>
  <c r="AN89" i="19"/>
  <c r="AO89" i="19" s="1"/>
  <c r="AN112" i="19"/>
  <c r="AO112" i="19" s="1"/>
  <c r="AN81" i="19"/>
  <c r="AO81" i="19" s="1"/>
  <c r="AN103" i="19"/>
  <c r="AO103" i="19" s="1"/>
  <c r="AN94" i="19"/>
  <c r="AO94" i="19" s="1"/>
  <c r="AN80" i="19"/>
  <c r="AO80" i="19" s="1"/>
  <c r="AN79" i="19"/>
  <c r="AO79" i="19" s="1"/>
  <c r="AN96" i="19"/>
  <c r="AO96" i="19" s="1"/>
  <c r="AN83" i="19"/>
  <c r="AO83" i="19" s="1"/>
  <c r="AN88" i="19"/>
  <c r="AO88" i="19" s="1"/>
  <c r="AN92" i="19"/>
  <c r="AO92" i="19" s="1"/>
  <c r="AN110" i="19"/>
  <c r="AO110" i="19" s="1"/>
  <c r="AN91" i="19"/>
  <c r="AO91" i="19" s="1"/>
  <c r="AN117" i="19"/>
  <c r="AO117" i="19" s="1"/>
  <c r="AN90" i="19"/>
  <c r="AO90" i="19" s="1"/>
  <c r="AN113" i="19"/>
  <c r="AO113" i="19" s="1"/>
  <c r="AN77" i="19"/>
  <c r="AO77" i="19" s="1"/>
  <c r="AN106" i="19"/>
  <c r="AO106" i="19" s="1"/>
  <c r="AN104" i="19"/>
  <c r="AO104" i="19" s="1"/>
  <c r="AN105" i="19"/>
  <c r="AO105" i="19" s="1"/>
  <c r="AN84" i="19"/>
  <c r="AO84" i="19" s="1"/>
  <c r="AN82" i="19"/>
  <c r="AO82" i="19" s="1"/>
  <c r="AN86" i="19"/>
  <c r="AO86" i="19" s="1"/>
  <c r="BW129" i="19"/>
  <c r="BX129" i="19" s="1"/>
  <c r="BW139" i="19"/>
  <c r="BX139" i="19" s="1"/>
  <c r="BW132" i="19"/>
  <c r="BX132" i="19" s="1"/>
  <c r="BW136" i="19"/>
  <c r="BX136" i="19" s="1"/>
  <c r="BW141" i="19"/>
  <c r="BX141" i="19" s="1"/>
  <c r="BW133" i="19"/>
  <c r="BX133" i="19" s="1"/>
  <c r="BW126" i="19"/>
  <c r="BX126" i="19" s="1"/>
  <c r="BW130" i="19"/>
  <c r="BX130" i="19" s="1"/>
  <c r="BW140" i="19"/>
  <c r="BX140" i="19" s="1"/>
  <c r="BW127" i="19"/>
  <c r="BX127" i="19" s="1"/>
  <c r="BW143" i="19"/>
  <c r="BX143" i="19" s="1"/>
  <c r="BW134" i="19"/>
  <c r="BX134" i="19" s="1"/>
  <c r="BW135" i="19"/>
  <c r="BX135" i="19" s="1"/>
  <c r="BW137" i="19"/>
  <c r="BX137" i="19" s="1"/>
  <c r="BW128" i="19"/>
  <c r="BX128" i="19" s="1"/>
  <c r="BW144" i="19"/>
  <c r="BX144" i="19" s="1"/>
  <c r="BW131" i="19"/>
  <c r="BX131" i="19" s="1"/>
  <c r="BW145" i="19"/>
  <c r="BX145" i="19" s="1"/>
  <c r="BW138" i="19"/>
  <c r="BX138" i="19" s="1"/>
  <c r="BW142" i="19"/>
  <c r="BX142" i="19" s="1"/>
  <c r="H25" i="19" l="1"/>
  <c r="H28" i="19"/>
  <c r="H27" i="19"/>
  <c r="D25" i="19"/>
  <c r="D44" i="19"/>
  <c r="D39" i="19"/>
  <c r="D47" i="19"/>
  <c r="E47" i="19" s="1"/>
  <c r="F47" i="19" s="1"/>
  <c r="D50" i="19"/>
  <c r="E50" i="19" s="1"/>
  <c r="F50" i="19" s="1"/>
  <c r="E24" i="19"/>
  <c r="F24" i="19" s="1"/>
  <c r="E43" i="19"/>
  <c r="F43" i="19" s="1"/>
  <c r="D31" i="19"/>
  <c r="E31" i="19" s="1"/>
  <c r="F31" i="19" s="1"/>
  <c r="D28" i="19"/>
  <c r="E28" i="19" s="1"/>
  <c r="F28" i="19" s="1"/>
  <c r="BY144" i="19"/>
  <c r="CB144" i="19" s="1"/>
  <c r="BY127" i="19"/>
  <c r="CB127" i="19" s="1"/>
  <c r="BY136" i="19"/>
  <c r="CB136" i="19" s="1"/>
  <c r="BY128" i="19"/>
  <c r="CB128" i="19" s="1"/>
  <c r="D45" i="19" s="1"/>
  <c r="BY140" i="19"/>
  <c r="CB140" i="19" s="1"/>
  <c r="BY132" i="19"/>
  <c r="CB132" i="19" s="1"/>
  <c r="BY142" i="19"/>
  <c r="CB142" i="19" s="1"/>
  <c r="BY137" i="19"/>
  <c r="CB137" i="19" s="1"/>
  <c r="BY130" i="19"/>
  <c r="CB130" i="19" s="1"/>
  <c r="BY139" i="19"/>
  <c r="CB139" i="19" s="1"/>
  <c r="BY138" i="19"/>
  <c r="CB138" i="19" s="1"/>
  <c r="BY135" i="19"/>
  <c r="CB135" i="19" s="1"/>
  <c r="BY126" i="19"/>
  <c r="CB126" i="19" s="1"/>
  <c r="BY129" i="19"/>
  <c r="CB129" i="19" s="1"/>
  <c r="BY145" i="19"/>
  <c r="CB145" i="19" s="1"/>
  <c r="BY134" i="19"/>
  <c r="CB134" i="19" s="1"/>
  <c r="BY133" i="19"/>
  <c r="CB133" i="19" s="1"/>
  <c r="BY131" i="19"/>
  <c r="CB131" i="19" s="1"/>
  <c r="BY143" i="19"/>
  <c r="CB143" i="19" s="1"/>
  <c r="BY141" i="19"/>
  <c r="CB141" i="19" s="1"/>
  <c r="AP92" i="19"/>
  <c r="AU92" i="19" s="1"/>
  <c r="AP115" i="19"/>
  <c r="AU115" i="19" s="1"/>
  <c r="AP104" i="19"/>
  <c r="AU104" i="19" s="1"/>
  <c r="AP88" i="19"/>
  <c r="AU88" i="19" s="1"/>
  <c r="AP94" i="19"/>
  <c r="AU94" i="19" s="1"/>
  <c r="AP99" i="19"/>
  <c r="AU99" i="19" s="1"/>
  <c r="AP97" i="19"/>
  <c r="AU97" i="19" s="1"/>
  <c r="AP101" i="19"/>
  <c r="AU101" i="19" s="1"/>
  <c r="AP80" i="19"/>
  <c r="AU80" i="19" s="1"/>
  <c r="AP84" i="19"/>
  <c r="AU84" i="19" s="1"/>
  <c r="AP106" i="19"/>
  <c r="AU106" i="19" s="1"/>
  <c r="AP83" i="19"/>
  <c r="AU83" i="19" s="1"/>
  <c r="AP103" i="19"/>
  <c r="AU103" i="19" s="1"/>
  <c r="AP102" i="19"/>
  <c r="AU102" i="19" s="1"/>
  <c r="AP100" i="19"/>
  <c r="AU100" i="19" s="1"/>
  <c r="AP116" i="19"/>
  <c r="AU116" i="19" s="1"/>
  <c r="AP78" i="19"/>
  <c r="AU78" i="19" s="1"/>
  <c r="C45" i="19" s="1"/>
  <c r="AP89" i="19"/>
  <c r="AU89" i="19" s="1"/>
  <c r="AP108" i="19"/>
  <c r="AU108" i="19" s="1"/>
  <c r="AP107" i="19"/>
  <c r="AU107" i="19" s="1"/>
  <c r="AP117" i="19"/>
  <c r="AU117" i="19" s="1"/>
  <c r="AP81" i="19"/>
  <c r="AU81" i="19" s="1"/>
  <c r="AP85" i="19"/>
  <c r="AU85" i="19" s="1"/>
  <c r="AP114" i="19"/>
  <c r="AU114" i="19" s="1"/>
  <c r="AP86" i="19"/>
  <c r="AU86" i="19" s="1"/>
  <c r="AP77" i="19"/>
  <c r="AU77" i="19" s="1"/>
  <c r="AP96" i="19"/>
  <c r="AU96" i="19" s="1"/>
  <c r="AP98" i="19"/>
  <c r="AU98" i="19" s="1"/>
  <c r="AP95" i="19"/>
  <c r="AU95" i="19" s="1"/>
  <c r="AP111" i="19"/>
  <c r="AU111" i="19" s="1"/>
  <c r="AP109" i="19"/>
  <c r="AU109" i="19" s="1"/>
  <c r="AP90" i="19"/>
  <c r="AU90" i="19" s="1"/>
  <c r="AP91" i="19"/>
  <c r="AU91" i="19" s="1"/>
  <c r="AP82" i="19"/>
  <c r="AU82" i="19" s="1"/>
  <c r="AP105" i="19"/>
  <c r="AU105" i="19" s="1"/>
  <c r="AP113" i="19"/>
  <c r="AU113" i="19" s="1"/>
  <c r="AP110" i="19"/>
  <c r="AU110" i="19" s="1"/>
  <c r="AP79" i="19"/>
  <c r="AU79" i="19" s="1"/>
  <c r="AP112" i="19"/>
  <c r="AU112" i="19" s="1"/>
  <c r="AP118" i="19"/>
  <c r="AU118" i="19" s="1"/>
  <c r="AP93" i="19"/>
  <c r="AU93" i="19" s="1"/>
  <c r="AP87" i="19"/>
  <c r="AU87" i="19" s="1"/>
  <c r="D20" i="19"/>
  <c r="C26" i="19" l="1"/>
  <c r="E45" i="19"/>
  <c r="F45" i="19" s="1"/>
  <c r="D26" i="19"/>
  <c r="CC135" i="19"/>
  <c r="E44" i="19"/>
  <c r="F44" i="19" s="1"/>
  <c r="E25" i="19"/>
  <c r="F25" i="19" s="1"/>
  <c r="CF139" i="19"/>
  <c r="CE144" i="19"/>
  <c r="CE139" i="19"/>
  <c r="CF144" i="19"/>
  <c r="CC142" i="19"/>
  <c r="CC140" i="19"/>
  <c r="AX101" i="19"/>
  <c r="CE134" i="19"/>
  <c r="CF135" i="19"/>
  <c r="CE142" i="19"/>
  <c r="CF136" i="19"/>
  <c r="CC144" i="19"/>
  <c r="CF130" i="19"/>
  <c r="CC136" i="19"/>
  <c r="AV96" i="19"/>
  <c r="AV101" i="19"/>
  <c r="AV88" i="19"/>
  <c r="CC143" i="19"/>
  <c r="CF145" i="19"/>
  <c r="CE130" i="19"/>
  <c r="CE136" i="19"/>
  <c r="CE143" i="19"/>
  <c r="CC145" i="19"/>
  <c r="CC131" i="19"/>
  <c r="CF134" i="19"/>
  <c r="CE135" i="19"/>
  <c r="CC139" i="19"/>
  <c r="CF137" i="19"/>
  <c r="CC132" i="19"/>
  <c r="CF128" i="19"/>
  <c r="D49" i="19" s="1"/>
  <c r="CE131" i="19"/>
  <c r="CE126" i="19"/>
  <c r="CE132" i="19"/>
  <c r="CE128" i="19"/>
  <c r="D48" i="19" s="1"/>
  <c r="CF131" i="19"/>
  <c r="CE145" i="19"/>
  <c r="CC126" i="19"/>
  <c r="CF138" i="19"/>
  <c r="CC130" i="19"/>
  <c r="CF142" i="19"/>
  <c r="CF132" i="19"/>
  <c r="CC128" i="19"/>
  <c r="D46" i="19" s="1"/>
  <c r="CC127" i="19"/>
  <c r="CE141" i="19"/>
  <c r="CC133" i="19"/>
  <c r="CE129" i="19"/>
  <c r="CF141" i="19"/>
  <c r="CF143" i="19"/>
  <c r="CE133" i="19"/>
  <c r="CC134" i="19"/>
  <c r="CF129" i="19"/>
  <c r="CF126" i="19"/>
  <c r="CC138" i="19"/>
  <c r="CC137" i="19"/>
  <c r="CE140" i="19"/>
  <c r="CE127" i="19"/>
  <c r="CC141" i="19"/>
  <c r="CF133" i="19"/>
  <c r="CC129" i="19"/>
  <c r="CE138" i="19"/>
  <c r="CE137" i="19"/>
  <c r="CF140" i="19"/>
  <c r="CF127" i="19"/>
  <c r="D30" i="19" s="1"/>
  <c r="AX86" i="19"/>
  <c r="AX85" i="19"/>
  <c r="AV110" i="19"/>
  <c r="AX107" i="19"/>
  <c r="AX93" i="19"/>
  <c r="AX113" i="19"/>
  <c r="AX105" i="19"/>
  <c r="AX117" i="19"/>
  <c r="AX90" i="19"/>
  <c r="AX103" i="19"/>
  <c r="AX97" i="19"/>
  <c r="AX104" i="19"/>
  <c r="AX102" i="19"/>
  <c r="AX118" i="19"/>
  <c r="AX82" i="19"/>
  <c r="AX96" i="19"/>
  <c r="AX81" i="19"/>
  <c r="AX83" i="19"/>
  <c r="AX108" i="19"/>
  <c r="AX99" i="19"/>
  <c r="AX112" i="19"/>
  <c r="AX109" i="19"/>
  <c r="AX91" i="19"/>
  <c r="AX78" i="19"/>
  <c r="C48" i="19" s="1"/>
  <c r="AX89" i="19"/>
  <c r="AX115" i="19"/>
  <c r="AX98" i="19"/>
  <c r="AY103" i="19"/>
  <c r="AX79" i="19"/>
  <c r="AX111" i="19"/>
  <c r="AX77" i="19"/>
  <c r="AX114" i="19"/>
  <c r="AX116" i="19"/>
  <c r="AX106" i="19"/>
  <c r="AX92" i="19"/>
  <c r="AX94" i="19"/>
  <c r="AX80" i="19"/>
  <c r="AV99" i="19"/>
  <c r="AX87" i="19"/>
  <c r="AX110" i="19"/>
  <c r="AX95" i="19"/>
  <c r="AX100" i="19"/>
  <c r="AX84" i="19"/>
  <c r="AX88" i="19"/>
  <c r="AY101" i="19"/>
  <c r="AV82" i="19"/>
  <c r="AV103" i="19"/>
  <c r="AY112" i="19"/>
  <c r="AY81" i="19"/>
  <c r="AY111" i="19"/>
  <c r="AV87" i="19"/>
  <c r="AV111" i="19"/>
  <c r="AV78" i="19"/>
  <c r="C46" i="19" s="1"/>
  <c r="AY113" i="19"/>
  <c r="AV92" i="19"/>
  <c r="AY93" i="19"/>
  <c r="AY115" i="19"/>
  <c r="AY94" i="19"/>
  <c r="AY106" i="19"/>
  <c r="AY105" i="19"/>
  <c r="AY96" i="19"/>
  <c r="AY99" i="19"/>
  <c r="AY114" i="19"/>
  <c r="AY104" i="19"/>
  <c r="AY100" i="19"/>
  <c r="AY84" i="19"/>
  <c r="AY116" i="19"/>
  <c r="AV118" i="19"/>
  <c r="AV102" i="19"/>
  <c r="AY118" i="19"/>
  <c r="AY82" i="19"/>
  <c r="AY109" i="19"/>
  <c r="AY91" i="19"/>
  <c r="AY88" i="19"/>
  <c r="AY117" i="19"/>
  <c r="AY80" i="19"/>
  <c r="AY102" i="19"/>
  <c r="AY77" i="19"/>
  <c r="AY79" i="19"/>
  <c r="AY95" i="19"/>
  <c r="AY89" i="19"/>
  <c r="AY83" i="19"/>
  <c r="AY108" i="19"/>
  <c r="AY107" i="19"/>
  <c r="AV89" i="19"/>
  <c r="AV116" i="19"/>
  <c r="AV80" i="19"/>
  <c r="AV97" i="19"/>
  <c r="AV94" i="19"/>
  <c r="AV104" i="19"/>
  <c r="AV115" i="19"/>
  <c r="AY87" i="19"/>
  <c r="AY110" i="19"/>
  <c r="AY98" i="19"/>
  <c r="AY86" i="19"/>
  <c r="AY90" i="19"/>
  <c r="AY85" i="19"/>
  <c r="AY97" i="19"/>
  <c r="AY78" i="19"/>
  <c r="C49" i="19" s="1"/>
  <c r="AY92" i="19"/>
  <c r="AV93" i="19"/>
  <c r="AV112" i="19"/>
  <c r="AV113" i="19"/>
  <c r="AV90" i="19"/>
  <c r="AV95" i="19"/>
  <c r="AV77" i="19"/>
  <c r="AV114" i="19"/>
  <c r="AV85" i="19"/>
  <c r="AV117" i="19"/>
  <c r="AV107" i="19"/>
  <c r="AV106" i="19"/>
  <c r="AV79" i="19"/>
  <c r="AV105" i="19"/>
  <c r="AV91" i="19"/>
  <c r="AV109" i="19"/>
  <c r="AV98" i="19"/>
  <c r="AV86" i="19"/>
  <c r="AV81" i="19"/>
  <c r="AV108" i="19"/>
  <c r="AV100" i="19"/>
  <c r="AV83" i="19"/>
  <c r="AV84" i="19"/>
  <c r="G16" i="12"/>
  <c r="F16" i="12"/>
  <c r="E26" i="19" l="1"/>
  <c r="F26" i="19" s="1"/>
  <c r="D27" i="19"/>
  <c r="C30" i="19"/>
  <c r="E30" i="19" s="1"/>
  <c r="F30" i="19" s="1"/>
  <c r="D29" i="19"/>
  <c r="C27" i="19"/>
  <c r="C29" i="19"/>
  <c r="C51" i="19"/>
  <c r="E46" i="19"/>
  <c r="F46" i="19" s="1"/>
  <c r="E49" i="19"/>
  <c r="F49" i="19" s="1"/>
  <c r="E48" i="19"/>
  <c r="F48" i="19" s="1"/>
  <c r="D51" i="19"/>
  <c r="E27" i="19" l="1"/>
  <c r="F27" i="19" s="1"/>
  <c r="D32" i="19"/>
  <c r="E29" i="19"/>
  <c r="C32" i="19"/>
  <c r="E51" i="19"/>
  <c r="M29" i="15"/>
  <c r="M28" i="15"/>
  <c r="M27" i="15"/>
  <c r="M15" i="15"/>
  <c r="M14" i="15"/>
  <c r="M16" i="15"/>
  <c r="M17" i="15"/>
  <c r="M18" i="15"/>
  <c r="M19" i="15"/>
  <c r="M10" i="15"/>
  <c r="M11" i="15"/>
  <c r="M12" i="15"/>
  <c r="M8" i="15"/>
  <c r="M20" i="15"/>
  <c r="M21" i="15"/>
  <c r="M26" i="15"/>
  <c r="M25" i="15"/>
  <c r="M24" i="15"/>
  <c r="M23" i="15"/>
  <c r="M22" i="15"/>
  <c r="M13" i="15"/>
  <c r="M9" i="15"/>
  <c r="M7" i="15"/>
  <c r="M6" i="15"/>
  <c r="M5" i="15"/>
  <c r="M4" i="15"/>
  <c r="J2" i="6"/>
  <c r="I15" i="12" a="1"/>
  <c r="I15" i="12" s="1"/>
  <c r="H15" i="12" a="1"/>
  <c r="H15" i="12" s="1"/>
  <c r="I14" i="12" a="1"/>
  <c r="I14" i="12" s="1"/>
  <c r="H14" i="12" a="1"/>
  <c r="H14" i="12" s="1"/>
  <c r="I13" i="12" a="1"/>
  <c r="I13" i="12" s="1"/>
  <c r="H13" i="12" a="1"/>
  <c r="H13" i="12" s="1"/>
  <c r="I12" i="12" a="1"/>
  <c r="I12" i="12" s="1"/>
  <c r="H12" i="12" a="1"/>
  <c r="H12" i="12" s="1"/>
  <c r="I11" i="12" a="1"/>
  <c r="I11" i="12" s="1"/>
  <c r="H11" i="12" a="1"/>
  <c r="H11" i="12" s="1"/>
  <c r="E32" i="19" l="1"/>
  <c r="F29" i="19"/>
  <c r="F32" i="19" s="1"/>
  <c r="E16" i="10" s="1"/>
  <c r="K2" i="6"/>
  <c r="D21" i="12" s="1"/>
  <c r="G30" i="1" l="1"/>
  <c r="G32" i="1" l="1"/>
  <c r="Q66" i="1"/>
  <c r="P81" i="1"/>
  <c r="P80" i="1"/>
  <c r="J55" i="1" a="1"/>
  <c r="J55" i="1" s="1"/>
  <c r="E55" i="1" a="1"/>
  <c r="E55" i="1" s="1"/>
  <c r="E50" i="1" a="1"/>
  <c r="E50" i="1" s="1"/>
  <c r="J50" i="1" a="1"/>
  <c r="J50" i="1" s="1"/>
  <c r="O86" i="1"/>
  <c r="I42" i="1" a="1"/>
  <c r="I42" i="1" s="1"/>
  <c r="G44" i="1" s="1"/>
  <c r="O87" i="1" a="1"/>
  <c r="O87" i="1" s="1"/>
  <c r="O85" i="1"/>
  <c r="O48" i="1" l="1"/>
  <c r="O53" i="1"/>
  <c r="O88" i="1"/>
  <c r="G63" i="1" a="1"/>
  <c r="G63" i="1" s="1"/>
  <c r="F63" i="1" a="1"/>
  <c r="F63" i="1" s="1"/>
  <c r="E63" i="1" a="1"/>
  <c r="E63" i="1" s="1"/>
  <c r="N80" i="1"/>
  <c r="N81" i="1"/>
  <c r="N79" i="1"/>
  <c r="O66" i="1" a="1"/>
  <c r="O66" i="1" s="1"/>
  <c r="O65" i="1" a="1"/>
  <c r="O65" i="1" s="1"/>
  <c r="Q65" i="1" s="1"/>
  <c r="P79" i="1" l="1"/>
  <c r="F82" i="1" s="1"/>
  <c r="O57" i="1"/>
  <c r="G68" i="1"/>
  <c r="E67" i="1"/>
  <c r="E75" i="1"/>
  <c r="F67" i="1"/>
  <c r="F75" i="1"/>
  <c r="G75" i="1"/>
  <c r="G67" i="1"/>
  <c r="H75" i="1" l="1"/>
  <c r="H67" i="1"/>
  <c r="F51" i="19" l="1"/>
  <c r="E23" i="10" l="1"/>
  <c r="E25" i="10" s="1"/>
  <c r="E27"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F Lazarus</author>
  </authors>
  <commentList>
    <comment ref="AC64" authorId="0" shapeId="0" xr:uid="{3F32E2DE-8B0C-445B-8855-584392528D6A}">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2021, we are really interested in the machinery market in the year 2032, but of course since 2032 estimates are unavailable the best we can really do is use the USDA estimate for 2021, which is $111.4 billion in the Feb. 5, 2021 forecast.  We have converted the 2021 estimates to 1996 dollars because the formulas were based on 1996 inflation levels.</t>
        </r>
      </text>
    </comment>
    <comment ref="AD65" authorId="0" shapeId="0" xr:uid="{05FCA123-33BD-4A61-838A-FB35120EF400}">
      <text>
        <r>
          <rPr>
            <b/>
            <sz val="9"/>
            <color indexed="81"/>
            <rFont val="Tahoma"/>
            <family val="2"/>
          </rPr>
          <t>William F Lazarus:</t>
        </r>
        <r>
          <rPr>
            <sz val="9"/>
            <color indexed="81"/>
            <rFont val="Tahoma"/>
            <family val="2"/>
          </rPr>
          <t xml:space="preserve">
from the Bureau of Econ Analysis National Income and Product Accts</t>
        </r>
      </text>
    </comment>
    <comment ref="AC67" authorId="0" shapeId="0" xr:uid="{F2347E60-5A97-4425-BA2C-BC5BE33BA32D}">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2020, we are really interested in the machinery market in the year 2031, but of course since 2028 estimates are unavailable the best we can really do is use USDA estimates for 2020.  We have converted the 2020 estimates to 1996 dollars because the formulas were based on 1996 inflation levels.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tc={7639BA25-DC2E-4695-B877-D90ADC89B8B4}</author>
    <author>Bill Lazarus</author>
    <author>tc={D5006012-D7CD-4658-9734-12A6E5CBAF31}</author>
  </authors>
  <commentList>
    <comment ref="AN58" authorId="0" shapeId="0" xr:uid="{7639BA25-DC2E-4695-B877-D90ADC89B8B4}">
      <text>
        <t>[Threaded comment]
Your version of Excel allows you to read this threaded comment; however, any edits to it will get removed if the file is opened in a newer version of Excel. Learn more: https://go.microsoft.com/fwlink/?linkid=870924
Comment:
    Assumes no inflation</t>
      </text>
    </comment>
    <comment ref="O59" authorId="1" shapeId="0" xr:uid="{4B6C2DEA-F6F2-463D-831A-5FFD4D82C5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0" authorId="1" shapeId="0" xr:uid="{37AEBD52-8C30-417B-820B-417A957179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1" authorId="1" shapeId="0" xr:uid="{80D9E23D-24A6-44F2-974B-8A3C881E621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2" authorId="1" shapeId="0" xr:uid="{15F67F0B-1CED-453F-9368-E08E6E2C870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3" authorId="1" shapeId="0" xr:uid="{87977623-9D3D-4DF7-943F-806DBA5A2C7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4" authorId="1" shapeId="0" xr:uid="{8C15EFE7-E82F-484E-99C6-993451828CA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5" authorId="1" shapeId="0" xr:uid="{7595A9F3-A060-4299-8B29-D4DEE0B140F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7" authorId="1" shapeId="0" xr:uid="{8D599FA5-4D8B-4BA1-BC23-D16100EE63B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8" authorId="1" shapeId="0" xr:uid="{086BE03A-F4C1-43CD-859B-F630FD1EE6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69" authorId="1" shapeId="0" xr:uid="{616C856C-783A-41D8-B168-CE0AF1184B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0" authorId="1" shapeId="0" xr:uid="{7392201C-FE02-4736-ABCF-583A3A3EBB2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1" authorId="1" shapeId="0" xr:uid="{B9860C34-A11E-4544-8B0E-ECD5D082F9F3}">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2" authorId="1" shapeId="0" xr:uid="{76FCB3E9-BC53-47BD-9833-DC6AB9356A0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3" authorId="1" shapeId="0" xr:uid="{FC1FB42E-109E-4414-83CF-A12FB8E7AA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4" authorId="1" shapeId="0" xr:uid="{610B0437-F58A-46BC-BE76-0DDF7F5619E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5" authorId="1" shapeId="0" xr:uid="{DD3F9D2C-387E-46EE-A9A5-5C263B1508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6" authorId="1" shapeId="0" xr:uid="{56ABEF6B-076F-47E7-AB41-ECD916937A9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7" authorId="1" shapeId="0" xr:uid="{B399F22F-1831-4DED-8258-228F83E10B2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8" authorId="1" shapeId="0" xr:uid="{205F924E-5180-48EC-ACCA-3D7AA3416854}">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79" authorId="1" shapeId="0" xr:uid="{EF090CF4-5465-4757-9F03-875EF59827D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0" authorId="1" shapeId="0" xr:uid="{39C6994C-20B8-4A42-BFA0-D248CBDA698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1" authorId="1" shapeId="0" xr:uid="{7F5BE837-A5F2-4C12-A503-24B7DFD0D88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2" authorId="1" shapeId="0" xr:uid="{8B28096A-C1B6-409C-9C44-BF4C7F2FB49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3" authorId="1" shapeId="0" xr:uid="{C0B8E50F-142C-435B-A559-A4167FD1C03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4" authorId="1" shapeId="0" xr:uid="{0FBED64C-069E-434F-98BF-24BFD044077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5" authorId="1" shapeId="0" xr:uid="{24459858-BE39-4616-AFB6-BD3D6F0930C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6" authorId="1" shapeId="0" xr:uid="{E831704B-939A-4B90-8676-9E8A7E8E2F0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7" authorId="1" shapeId="0" xr:uid="{671EF67F-C55A-43F9-AE6A-484076CFA27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8" authorId="1" shapeId="0" xr:uid="{A50F50DB-DAD5-451A-93D6-9F0F2195396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89" authorId="1" shapeId="0" xr:uid="{667A6CE9-D9E5-4403-B404-6F03D967B66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0" authorId="1" shapeId="0" xr:uid="{50340EA1-651A-436B-ABA0-DB0762972A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1" authorId="1" shapeId="0" xr:uid="{FB85436E-0945-4257-961D-ACBE7A9E40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3" authorId="1" shapeId="0" xr:uid="{469A427B-8448-40ED-8644-93C8FDBE15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4" authorId="1" shapeId="0" xr:uid="{12AC7B6F-3582-46D9-ACEB-68E5DB542AA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5" authorId="1" shapeId="0" xr:uid="{A0FA53BF-7CC7-4189-BD4C-B8001393C12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6" authorId="1" shapeId="0" xr:uid="{B3F15BB2-C8FA-41D9-8CF3-F7EE422C8E6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7" authorId="1" shapeId="0" xr:uid="{A9AA2415-F577-407F-8E63-14F81C7ADF4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8" authorId="1" shapeId="0" xr:uid="{68D0A09C-5DAC-4F46-A3E9-2812111254A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99" authorId="1" shapeId="0" xr:uid="{FF4C1101-672D-46D3-946E-A31E5E10572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0" authorId="1" shapeId="0" xr:uid="{8E9AB23E-FDDC-4DE9-A23D-127B5EDBA3E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1" authorId="1" shapeId="0" xr:uid="{37389D4A-C93E-4A5E-A9DB-AD015171B2F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2" authorId="1" shapeId="0" xr:uid="{4161FAA1-FF09-48B5-8234-290E975467F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3" authorId="1" shapeId="0" xr:uid="{32F98A04-4D07-4A71-8378-105E0832CCD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4" authorId="1" shapeId="0" xr:uid="{B5EA882E-81EA-4683-BC15-C63DE66DBA8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5" authorId="1" shapeId="0" xr:uid="{26629AC9-71C4-4511-B34C-4B901222E148}">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6" authorId="1" shapeId="0" xr:uid="{D2BB11C5-24EB-498D-9ED9-88B6682C772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7" authorId="1" shapeId="0" xr:uid="{39425120-B7CA-4B31-BEF7-BD165A2BA6B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8" authorId="1" shapeId="0" xr:uid="{7253FD4B-026A-4263-A050-0296C0A11AB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9" authorId="1" shapeId="0" xr:uid="{835CC94C-B160-48B2-B5AB-CF6FF268E8C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0" authorId="1" shapeId="0" xr:uid="{C1E7BFEE-F319-47E4-B2A9-D0721B1ED16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1" authorId="1" shapeId="0" xr:uid="{D4D258DE-78D0-4CDE-978D-A30ACAEDFC1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2" authorId="1" shapeId="0" xr:uid="{4391D4ED-859B-4436-BE71-02F7EB7588D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3" authorId="1" shapeId="0" xr:uid="{160D1F9D-AA98-496E-BAED-0200E89181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4" authorId="1" shapeId="0" xr:uid="{92872234-D770-466A-A3E9-AFB52BE3B3B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5" authorId="1" shapeId="0" xr:uid="{00196C4F-8826-43CA-A9A3-C7B8ECFE93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6" authorId="1" shapeId="0" xr:uid="{5A483301-3D72-4DB8-BBE0-20017DA3645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7" authorId="1" shapeId="0" xr:uid="{3A12357B-0CC6-4E08-8842-B8E092FF1C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8" authorId="1" shapeId="0" xr:uid="{71FC0D7E-84CA-403E-931C-89DF2DA3E2E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BW125" authorId="2" shapeId="0" xr:uid="{D5006012-D7CD-4658-9734-12A6E5CBAF31}">
      <text>
        <t>[Threaded comment]
Your version of Excel allows you to read this threaded comment; however, any edits to it will get removed if the file is opened in a newer version of Excel. Learn more: https://go.microsoft.com/fwlink/?linkid=870924
Comment:
    Assumes no inflation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<sst xmlns="http://schemas.openxmlformats.org/spreadsheetml/2006/main" count="10839" uniqueCount="5626">
  <si>
    <t>Cover Crop Species</t>
  </si>
  <si>
    <t>Crimson Clover</t>
  </si>
  <si>
    <t>Red Clover</t>
  </si>
  <si>
    <t>Cereal Rye</t>
  </si>
  <si>
    <t>Ryegrass</t>
  </si>
  <si>
    <t>Oilseed Radish</t>
  </si>
  <si>
    <t>Turnips</t>
  </si>
  <si>
    <t>Oats</t>
  </si>
  <si>
    <t>Wheat</t>
  </si>
  <si>
    <t>Seed List</t>
  </si>
  <si>
    <t>Typical Seeding Rate (lb/ac)</t>
  </si>
  <si>
    <t>Estimated Price ($/lb)</t>
  </si>
  <si>
    <t>Price ($/lb)</t>
  </si>
  <si>
    <t>Seeding Rate (lb/ac)</t>
  </si>
  <si>
    <t>Seedbed preparation</t>
  </si>
  <si>
    <t>None</t>
  </si>
  <si>
    <t>Would you do this field activity if not planting a cover crop?</t>
  </si>
  <si>
    <t>Yes</t>
  </si>
  <si>
    <t>No</t>
  </si>
  <si>
    <t>Who will do this activity?</t>
  </si>
  <si>
    <t>Self</t>
  </si>
  <si>
    <t>Custom Operator</t>
  </si>
  <si>
    <t>If self, specify what equipment will be used</t>
  </si>
  <si>
    <t>This is not operational yet</t>
  </si>
  <si>
    <t>If custom operator, cost ($/acre)?</t>
  </si>
  <si>
    <t>Important Dates</t>
  </si>
  <si>
    <t>Harvest crop date</t>
  </si>
  <si>
    <t>Cover crop planting date</t>
  </si>
  <si>
    <t>Cover crop destruction date</t>
  </si>
  <si>
    <t>Commercial crop planting date</t>
  </si>
  <si>
    <t>No-till drill</t>
  </si>
  <si>
    <t>CC Termination</t>
  </si>
  <si>
    <t>Cover Crop termination method</t>
  </si>
  <si>
    <t>Est. cost</t>
  </si>
  <si>
    <t>Herbicide</t>
  </si>
  <si>
    <t>Roller</t>
  </si>
  <si>
    <t>Roller with follow-up chemical</t>
  </si>
  <si>
    <t>Would you do this activity if you did not have a cover crop?</t>
  </si>
  <si>
    <t>Fertility Implications</t>
  </si>
  <si>
    <t>Legume?</t>
  </si>
  <si>
    <t>yes</t>
  </si>
  <si>
    <t>no</t>
  </si>
  <si>
    <t>N credit</t>
  </si>
  <si>
    <t>N (lb/ac)</t>
  </si>
  <si>
    <t>P2O5 (lb/ac)</t>
  </si>
  <si>
    <t>K2O (lb/ac)</t>
  </si>
  <si>
    <t>Erosion benefit</t>
  </si>
  <si>
    <t>Will you add fertilizer for cover crop production that you would not normally add without cover crops?</t>
  </si>
  <si>
    <t>Note: this is uncommon unless harvesting/grazing the cover crops.</t>
  </si>
  <si>
    <t>Dry</t>
  </si>
  <si>
    <t>Liquid</t>
  </si>
  <si>
    <t>Injection</t>
  </si>
  <si>
    <t>Application 1</t>
  </si>
  <si>
    <t>Application 2</t>
  </si>
  <si>
    <t>Who</t>
  </si>
  <si>
    <t>Method</t>
  </si>
  <si>
    <t>Increased fertilization expense</t>
  </si>
  <si>
    <t>Decreased fertilization expense</t>
  </si>
  <si>
    <t>Application activity</t>
  </si>
  <si>
    <t>Who would have done the activity?</t>
  </si>
  <si>
    <t>Commercial Fertilizer Value</t>
  </si>
  <si>
    <t>User supplied fertilizer value</t>
  </si>
  <si>
    <t>I envision an estimation made by the DST based on the species of CC planted, their stage of growth, soil properties, etc.</t>
  </si>
  <si>
    <t>Model estimate of nutrient benefit</t>
  </si>
  <si>
    <t>User supplied change in fertilizer use</t>
  </si>
  <si>
    <t>The cover crops you selected MAY provide or preserve nutrients for your commodity crop production. How much, if any, will you reduce fertilizer application due to the cover crop nutrient benefit?</t>
  </si>
  <si>
    <t>Cost of planting activity necessary for cover cropping.</t>
  </si>
  <si>
    <t>Cost of cover crop termination.</t>
  </si>
  <si>
    <t>Fertilizer application expense for cover cropping</t>
  </si>
  <si>
    <t>Fertilizer product expense for cover cropping</t>
  </si>
  <si>
    <t>Cells below are for calculation. Hide but do not delete.</t>
  </si>
  <si>
    <t>Fertilizer application savings from cover cropping.</t>
  </si>
  <si>
    <t>Fertilizer product savings from cover cropping</t>
  </si>
  <si>
    <t>User supplied cost</t>
  </si>
  <si>
    <t>Yield benefit</t>
  </si>
  <si>
    <t>Yield hit</t>
  </si>
  <si>
    <t>Termination</t>
  </si>
  <si>
    <t>Tillage Implications</t>
  </si>
  <si>
    <t>If yes, you many years in 10 do you envision deep tilling in the fall prior to planting cover crops?</t>
  </si>
  <si>
    <t xml:space="preserve">Current fertilizer product: </t>
  </si>
  <si>
    <t>Expected fertilizer product:</t>
  </si>
  <si>
    <t>Fertilizer Products</t>
  </si>
  <si>
    <t>Anhydrous Ammonia</t>
  </si>
  <si>
    <t>Urea</t>
  </si>
  <si>
    <t>UAN</t>
  </si>
  <si>
    <t>MAP</t>
  </si>
  <si>
    <t>DAP</t>
  </si>
  <si>
    <t>Potash</t>
  </si>
  <si>
    <t>$/unit nutrient</t>
  </si>
  <si>
    <t>Will you switch fertilizer decisions due to cover cropping?</t>
  </si>
  <si>
    <t>Current application method</t>
  </si>
  <si>
    <t>Expected application method</t>
  </si>
  <si>
    <t>Difference in cost per pound of nutrient:</t>
  </si>
  <si>
    <t>Different in application cost:</t>
  </si>
  <si>
    <t>Current N application rate:</t>
  </si>
  <si>
    <t>Expected fertilizer application rate:</t>
  </si>
  <si>
    <t>Difference in pounds applied/acre:</t>
  </si>
  <si>
    <t>Fertilizer management savings or cost</t>
  </si>
  <si>
    <t>Will you do cover crop seedbed preparation prior to planting the cover crop?</t>
  </si>
  <si>
    <t>The next several rows only show if seedbed preparation response is "yes."</t>
  </si>
  <si>
    <t>The next several rows only show if fall tillage response is "yes."</t>
  </si>
  <si>
    <t>Do you sometimes till in the fall?</t>
  </si>
  <si>
    <t>If yes, what type of tillage do you do?</t>
  </si>
  <si>
    <t>If yes, how many years in 10 would you normally till in the fall?</t>
  </si>
  <si>
    <t>If yes, will planting cover crops reduce the incidence of tillage?</t>
  </si>
  <si>
    <t xml:space="preserve">Current tillage activity 1: </t>
  </si>
  <si>
    <t xml:space="preserve">Current tillage activity 2: </t>
  </si>
  <si>
    <t>Expected tillage activity 1:</t>
  </si>
  <si>
    <t>Expected tillage activity 2:</t>
  </si>
  <si>
    <t>Chisel plow</t>
  </si>
  <si>
    <t>Tandem disk</t>
  </si>
  <si>
    <t>Savings in fall tillage due to cover cropping</t>
  </si>
  <si>
    <t>Difference in cost of tillage activity 1:</t>
  </si>
  <si>
    <t>Difference in cost of tillage activity 2:</t>
  </si>
  <si>
    <t>Total tillage savings or cost</t>
  </si>
  <si>
    <t>Color key:</t>
  </si>
  <si>
    <t>input from the user</t>
  </si>
  <si>
    <t>recommendations or guidance from the program</t>
  </si>
  <si>
    <t>will become blue cell when completed. Yellow means "needs to be done."</t>
  </si>
  <si>
    <t>Calculation that is "final"</t>
  </si>
  <si>
    <t>a calculation or input that is intermediate and will not be seen by the user</t>
  </si>
  <si>
    <t>The selection of species can be chosen by the user. It may also refer the user to a website that helps the user decide. The cadillac version would import decisions from the seed selection website.</t>
  </si>
  <si>
    <t>Once a seed is chosen, a recommended or list value will be provided (green cells). The model will calculate from the green cells UNLESS the user enters something different in the blue cells.</t>
  </si>
  <si>
    <t>There are "fall tillage" and "tillage implications" sections. The fall tillage is intended to address pre-cover crop planting changes. The tillage implications is more general information on how cover crops might affect tillage overall.</t>
  </si>
  <si>
    <t>This section may be confused with the fall tillage/seedbed prep section. Need to think through how to incorporate.</t>
  </si>
  <si>
    <t>Not operational for fertilizer application by the farmer</t>
  </si>
  <si>
    <t>Will any of the fertilizer application activities you normally use not occur because of cover crop nutrient benefit?</t>
  </si>
  <si>
    <t>We need to be careful to not double count fertilizer savings from "decreased fertilizer expense" and "switch fertilizer decisions."</t>
  </si>
  <si>
    <t>Deep Tillage changes</t>
  </si>
  <si>
    <t>Tillage intensity changes</t>
  </si>
  <si>
    <t>What state is the field in?</t>
  </si>
  <si>
    <t>What county is the field in?</t>
  </si>
  <si>
    <t>Arkansas</t>
  </si>
  <si>
    <t>ALABAMA</t>
  </si>
  <si>
    <t xml:space="preserve"> AL</t>
  </si>
  <si>
    <t>01001</t>
  </si>
  <si>
    <t>01003</t>
  </si>
  <si>
    <t>Barbour</t>
  </si>
  <si>
    <t>01005</t>
  </si>
  <si>
    <t>Bibb</t>
  </si>
  <si>
    <t>01007</t>
  </si>
  <si>
    <t>Blount</t>
  </si>
  <si>
    <t>01009</t>
  </si>
  <si>
    <t>Bullock</t>
  </si>
  <si>
    <t>01011</t>
  </si>
  <si>
    <t>Butler</t>
  </si>
  <si>
    <t>01013</t>
  </si>
  <si>
    <t>Calhoun</t>
  </si>
  <si>
    <t>01015</t>
  </si>
  <si>
    <t>Chambers</t>
  </si>
  <si>
    <t>01017</t>
  </si>
  <si>
    <t>Cherokee</t>
  </si>
  <si>
    <t>01019</t>
  </si>
  <si>
    <t>Chilton</t>
  </si>
  <si>
    <t>01021</t>
  </si>
  <si>
    <t>Choctaw</t>
  </si>
  <si>
    <t>01023</t>
  </si>
  <si>
    <t>Clarke</t>
  </si>
  <si>
    <t>01025</t>
  </si>
  <si>
    <t>Clay</t>
  </si>
  <si>
    <t>01027</t>
  </si>
  <si>
    <t>Cleburne</t>
  </si>
  <si>
    <t>01029</t>
  </si>
  <si>
    <t>Coffee</t>
  </si>
  <si>
    <t>01031</t>
  </si>
  <si>
    <t>Colbert</t>
  </si>
  <si>
    <t>01033</t>
  </si>
  <si>
    <t>Conecuh</t>
  </si>
  <si>
    <t>01035</t>
  </si>
  <si>
    <t>Coosa</t>
  </si>
  <si>
    <t>01037</t>
  </si>
  <si>
    <t>Covington</t>
  </si>
  <si>
    <t>01039</t>
  </si>
  <si>
    <t>Crenshaw</t>
  </si>
  <si>
    <t>01041</t>
  </si>
  <si>
    <t>Cullman</t>
  </si>
  <si>
    <t>01043</t>
  </si>
  <si>
    <t>Dale</t>
  </si>
  <si>
    <t>01045</t>
  </si>
  <si>
    <t>Dallas</t>
  </si>
  <si>
    <t>01047</t>
  </si>
  <si>
    <t>DeKalb</t>
  </si>
  <si>
    <t>01049</t>
  </si>
  <si>
    <t>Elmore</t>
  </si>
  <si>
    <t>01051</t>
  </si>
  <si>
    <t>Escambia</t>
  </si>
  <si>
    <t>01053</t>
  </si>
  <si>
    <t>Etowah</t>
  </si>
  <si>
    <t>01055</t>
  </si>
  <si>
    <t>Fayette</t>
  </si>
  <si>
    <t>01057</t>
  </si>
  <si>
    <t>Franklin</t>
  </si>
  <si>
    <t>01059</t>
  </si>
  <si>
    <t>Geneva</t>
  </si>
  <si>
    <t>01061</t>
  </si>
  <si>
    <t>Greene</t>
  </si>
  <si>
    <t>01063</t>
  </si>
  <si>
    <t>Hale</t>
  </si>
  <si>
    <t>01065</t>
  </si>
  <si>
    <t>Henry</t>
  </si>
  <si>
    <t>01067</t>
  </si>
  <si>
    <t>Houston</t>
  </si>
  <si>
    <t>01069</t>
  </si>
  <si>
    <t>Jackson</t>
  </si>
  <si>
    <t>01071</t>
  </si>
  <si>
    <t>Jefferson</t>
  </si>
  <si>
    <t>01073</t>
  </si>
  <si>
    <t>Lamar</t>
  </si>
  <si>
    <t>01075</t>
  </si>
  <si>
    <t>Lauderdale</t>
  </si>
  <si>
    <t>01077</t>
  </si>
  <si>
    <t>Lawrence</t>
  </si>
  <si>
    <t>01079</t>
  </si>
  <si>
    <t>Lee</t>
  </si>
  <si>
    <t>01081</t>
  </si>
  <si>
    <t>Limestone</t>
  </si>
  <si>
    <t>01083</t>
  </si>
  <si>
    <t>Lowndes</t>
  </si>
  <si>
    <t>01085</t>
  </si>
  <si>
    <t>Macon</t>
  </si>
  <si>
    <t>01087</t>
  </si>
  <si>
    <t>Madison</t>
  </si>
  <si>
    <t>01089</t>
  </si>
  <si>
    <t>Marengo</t>
  </si>
  <si>
    <t>01091</t>
  </si>
  <si>
    <t>Marion</t>
  </si>
  <si>
    <t>01093</t>
  </si>
  <si>
    <t>Marshall</t>
  </si>
  <si>
    <t>01095</t>
  </si>
  <si>
    <t>Mobile</t>
  </si>
  <si>
    <t>01097</t>
  </si>
  <si>
    <t>Monroe</t>
  </si>
  <si>
    <t>01099</t>
  </si>
  <si>
    <t>Montgomery</t>
  </si>
  <si>
    <t>01101</t>
  </si>
  <si>
    <t>Morgan</t>
  </si>
  <si>
    <t>01103</t>
  </si>
  <si>
    <t>Perry</t>
  </si>
  <si>
    <t>01105</t>
  </si>
  <si>
    <t>Pickens</t>
  </si>
  <si>
    <t>01107</t>
  </si>
  <si>
    <t>Pike</t>
  </si>
  <si>
    <t>01109</t>
  </si>
  <si>
    <t>Randolph</t>
  </si>
  <si>
    <t>01111</t>
  </si>
  <si>
    <t>Russell</t>
  </si>
  <si>
    <t>01113</t>
  </si>
  <si>
    <t>St. Clair</t>
  </si>
  <si>
    <t>01115</t>
  </si>
  <si>
    <t>Shelby</t>
  </si>
  <si>
    <t>01117</t>
  </si>
  <si>
    <t>Sumter</t>
  </si>
  <si>
    <t>01119</t>
  </si>
  <si>
    <t>Talladega</t>
  </si>
  <si>
    <t>01121</t>
  </si>
  <si>
    <t>Tallapoosa</t>
  </si>
  <si>
    <t>01123</t>
  </si>
  <si>
    <t>Tuscaloosa</t>
  </si>
  <si>
    <t>01125</t>
  </si>
  <si>
    <t>Walker</t>
  </si>
  <si>
    <t>01127</t>
  </si>
  <si>
    <t>Washington</t>
  </si>
  <si>
    <t>01129</t>
  </si>
  <si>
    <t>Wilcox</t>
  </si>
  <si>
    <t>01131</t>
  </si>
  <si>
    <t>Winston</t>
  </si>
  <si>
    <t>01133</t>
  </si>
  <si>
    <t>ALASKA</t>
  </si>
  <si>
    <t>Aleutians East</t>
  </si>
  <si>
    <t xml:space="preserve"> AK</t>
  </si>
  <si>
    <t>02013</t>
  </si>
  <si>
    <t>Aleutians West</t>
  </si>
  <si>
    <t>02016</t>
  </si>
  <si>
    <t>Anchorage</t>
  </si>
  <si>
    <t>02020</t>
  </si>
  <si>
    <t>Bethel</t>
  </si>
  <si>
    <t>02050</t>
  </si>
  <si>
    <t>Bristol Bay</t>
  </si>
  <si>
    <t>02060</t>
  </si>
  <si>
    <t>Denali</t>
  </si>
  <si>
    <t>02068</t>
  </si>
  <si>
    <t>Dillingham</t>
  </si>
  <si>
    <t>02070</t>
  </si>
  <si>
    <t>Fairbanks North Star</t>
  </si>
  <si>
    <t>02090</t>
  </si>
  <si>
    <t>Haines</t>
  </si>
  <si>
    <t>02100</t>
  </si>
  <si>
    <t>Hoonah-Angoon</t>
  </si>
  <si>
    <t>02105</t>
  </si>
  <si>
    <t>Juneau</t>
  </si>
  <si>
    <t>02110</t>
  </si>
  <si>
    <t>Kenai Peninsula</t>
  </si>
  <si>
    <t>02122</t>
  </si>
  <si>
    <t>Ketchikan Gateway</t>
  </si>
  <si>
    <t>02130</t>
  </si>
  <si>
    <t>Kodiak Island</t>
  </si>
  <si>
    <t>02150</t>
  </si>
  <si>
    <t>Lake and Peninsula</t>
  </si>
  <si>
    <t>02164</t>
  </si>
  <si>
    <t>Matanuska-Susitna</t>
  </si>
  <si>
    <t>02170</t>
  </si>
  <si>
    <t>Nome</t>
  </si>
  <si>
    <t>02180</t>
  </si>
  <si>
    <t>North Slope</t>
  </si>
  <si>
    <t>02185</t>
  </si>
  <si>
    <t>Northwest Arctic</t>
  </si>
  <si>
    <t>02188</t>
  </si>
  <si>
    <t>Petersburg</t>
  </si>
  <si>
    <t>02195</t>
  </si>
  <si>
    <t>Prince of Wales-Hyder</t>
  </si>
  <si>
    <t>02198</t>
  </si>
  <si>
    <t>Sitka</t>
  </si>
  <si>
    <t>02220</t>
  </si>
  <si>
    <t>Skagway</t>
  </si>
  <si>
    <t>02230</t>
  </si>
  <si>
    <t>Southeast Fairbanks</t>
  </si>
  <si>
    <t>02240</t>
  </si>
  <si>
    <t>Valdez-Cordova</t>
  </si>
  <si>
    <t>02261</t>
  </si>
  <si>
    <t>Wade Hampton</t>
  </si>
  <si>
    <t>02270</t>
  </si>
  <si>
    <t>Wrangell</t>
  </si>
  <si>
    <t>02275</t>
  </si>
  <si>
    <t>Yakutat</t>
  </si>
  <si>
    <t>02282</t>
  </si>
  <si>
    <t>Yukon-Koyukuk</t>
  </si>
  <si>
    <t>02290</t>
  </si>
  <si>
    <t>ARIZONA</t>
  </si>
  <si>
    <t>Apache</t>
  </si>
  <si>
    <t xml:space="preserve"> AZ</t>
  </si>
  <si>
    <t>04001</t>
  </si>
  <si>
    <t>Cochise</t>
  </si>
  <si>
    <t>04003</t>
  </si>
  <si>
    <t>Coconino</t>
  </si>
  <si>
    <t>04005</t>
  </si>
  <si>
    <t>Gila</t>
  </si>
  <si>
    <t>04007</t>
  </si>
  <si>
    <t>Graham</t>
  </si>
  <si>
    <t>04009</t>
  </si>
  <si>
    <t>Greenlee</t>
  </si>
  <si>
    <t>04011</t>
  </si>
  <si>
    <t>La Paz</t>
  </si>
  <si>
    <t>04012</t>
  </si>
  <si>
    <t>Maricopa</t>
  </si>
  <si>
    <t>04013</t>
  </si>
  <si>
    <t>Mohave</t>
  </si>
  <si>
    <t>04015</t>
  </si>
  <si>
    <t>Navajo</t>
  </si>
  <si>
    <t>04017</t>
  </si>
  <si>
    <t>Pima</t>
  </si>
  <si>
    <t>04019</t>
  </si>
  <si>
    <t>Pinal</t>
  </si>
  <si>
    <t>04021</t>
  </si>
  <si>
    <t>Santa Cruz</t>
  </si>
  <si>
    <t>04023</t>
  </si>
  <si>
    <t>Yavapai</t>
  </si>
  <si>
    <t>04025</t>
  </si>
  <si>
    <t>Yuma</t>
  </si>
  <si>
    <t>04027</t>
  </si>
  <si>
    <t>ARKANSAS</t>
  </si>
  <si>
    <t xml:space="preserve"> AR</t>
  </si>
  <si>
    <t>05001</t>
  </si>
  <si>
    <t>Ashley</t>
  </si>
  <si>
    <t>05003</t>
  </si>
  <si>
    <t>Baxter</t>
  </si>
  <si>
    <t>05005</t>
  </si>
  <si>
    <t>Benton</t>
  </si>
  <si>
    <t>05007</t>
  </si>
  <si>
    <t>Boone</t>
  </si>
  <si>
    <t>05009</t>
  </si>
  <si>
    <t>Bradley</t>
  </si>
  <si>
    <t>05011</t>
  </si>
  <si>
    <t>05013</t>
  </si>
  <si>
    <t>Carroll</t>
  </si>
  <si>
    <t>05015</t>
  </si>
  <si>
    <t>Chicot</t>
  </si>
  <si>
    <t>05017</t>
  </si>
  <si>
    <t>Clark</t>
  </si>
  <si>
    <t>05019</t>
  </si>
  <si>
    <t>05021</t>
  </si>
  <si>
    <t>05023</t>
  </si>
  <si>
    <t>Cleveland</t>
  </si>
  <si>
    <t>05025</t>
  </si>
  <si>
    <t>Columbia</t>
  </si>
  <si>
    <t>05027</t>
  </si>
  <si>
    <t>Conway</t>
  </si>
  <si>
    <t>05029</t>
  </si>
  <si>
    <t>Craighead</t>
  </si>
  <si>
    <t>05031</t>
  </si>
  <si>
    <t>Crawford</t>
  </si>
  <si>
    <t>05033</t>
  </si>
  <si>
    <t>Crittenden</t>
  </si>
  <si>
    <t>05035</t>
  </si>
  <si>
    <t>Cross</t>
  </si>
  <si>
    <t>05037</t>
  </si>
  <si>
    <t>05039</t>
  </si>
  <si>
    <t>Desha</t>
  </si>
  <si>
    <t>05041</t>
  </si>
  <si>
    <t>Drew</t>
  </si>
  <si>
    <t>05043</t>
  </si>
  <si>
    <t>Faulkner</t>
  </si>
  <si>
    <t>05045</t>
  </si>
  <si>
    <t>05047</t>
  </si>
  <si>
    <t>Fulton</t>
  </si>
  <si>
    <t>05049</t>
  </si>
  <si>
    <t>Garland</t>
  </si>
  <si>
    <t>05051</t>
  </si>
  <si>
    <t>Grant</t>
  </si>
  <si>
    <t>05053</t>
  </si>
  <si>
    <t>05055</t>
  </si>
  <si>
    <t>Hempstead</t>
  </si>
  <si>
    <t>05057</t>
  </si>
  <si>
    <t>Hot Spring</t>
  </si>
  <si>
    <t>05059</t>
  </si>
  <si>
    <t>Howard</t>
  </si>
  <si>
    <t>05061</t>
  </si>
  <si>
    <t>Independence</t>
  </si>
  <si>
    <t>05063</t>
  </si>
  <si>
    <t>Izard</t>
  </si>
  <si>
    <t>05065</t>
  </si>
  <si>
    <t>05067</t>
  </si>
  <si>
    <t>05069</t>
  </si>
  <si>
    <t>Johnson</t>
  </si>
  <si>
    <t>05071</t>
  </si>
  <si>
    <t>Lafayette</t>
  </si>
  <si>
    <t>05073</t>
  </si>
  <si>
    <t>05075</t>
  </si>
  <si>
    <t>05077</t>
  </si>
  <si>
    <t>Lincoln</t>
  </si>
  <si>
    <t>05079</t>
  </si>
  <si>
    <t>Little River</t>
  </si>
  <si>
    <t>05081</t>
  </si>
  <si>
    <t>Logan</t>
  </si>
  <si>
    <t>05083</t>
  </si>
  <si>
    <t>Lonoke</t>
  </si>
  <si>
    <t>05085</t>
  </si>
  <si>
    <t>05087</t>
  </si>
  <si>
    <t>05089</t>
  </si>
  <si>
    <t>Miller</t>
  </si>
  <si>
    <t>05091</t>
  </si>
  <si>
    <t>Mississippi</t>
  </si>
  <si>
    <t>05093</t>
  </si>
  <si>
    <t>05095</t>
  </si>
  <si>
    <t>05097</t>
  </si>
  <si>
    <t>Nevada</t>
  </si>
  <si>
    <t>05099</t>
  </si>
  <si>
    <t>Newton</t>
  </si>
  <si>
    <t>05101</t>
  </si>
  <si>
    <t>Ouachita</t>
  </si>
  <si>
    <t>05103</t>
  </si>
  <si>
    <t>05105</t>
  </si>
  <si>
    <t>Phillips</t>
  </si>
  <si>
    <t>05107</t>
  </si>
  <si>
    <t>05109</t>
  </si>
  <si>
    <t>Poinsett</t>
  </si>
  <si>
    <t>05111</t>
  </si>
  <si>
    <t>Polk</t>
  </si>
  <si>
    <t>05113</t>
  </si>
  <si>
    <t>Pope</t>
  </si>
  <si>
    <t>05115</t>
  </si>
  <si>
    <t>Prairie</t>
  </si>
  <si>
    <t>05117</t>
  </si>
  <si>
    <t>Pulaski</t>
  </si>
  <si>
    <t>05119</t>
  </si>
  <si>
    <t>05121</t>
  </si>
  <si>
    <t>St. Francis</t>
  </si>
  <si>
    <t>05123</t>
  </si>
  <si>
    <t>Saline</t>
  </si>
  <si>
    <t>05125</t>
  </si>
  <si>
    <t>Scott</t>
  </si>
  <si>
    <t>05127</t>
  </si>
  <si>
    <t>Searcy</t>
  </si>
  <si>
    <t>05129</t>
  </si>
  <si>
    <t>Sebastian</t>
  </si>
  <si>
    <t>05131</t>
  </si>
  <si>
    <t>Sevier</t>
  </si>
  <si>
    <t>05133</t>
  </si>
  <si>
    <t>Sharp</t>
  </si>
  <si>
    <t>05135</t>
  </si>
  <si>
    <t>Stone</t>
  </si>
  <si>
    <t>05137</t>
  </si>
  <si>
    <t>Union</t>
  </si>
  <si>
    <t>05139</t>
  </si>
  <si>
    <t>Van Buren</t>
  </si>
  <si>
    <t>05141</t>
  </si>
  <si>
    <t>05143</t>
  </si>
  <si>
    <t>White</t>
  </si>
  <si>
    <t>05145</t>
  </si>
  <si>
    <t>Woodruff</t>
  </si>
  <si>
    <t>05147</t>
  </si>
  <si>
    <t>Yell</t>
  </si>
  <si>
    <t>05149</t>
  </si>
  <si>
    <t>CALIFORNIA</t>
  </si>
  <si>
    <t>Alameda</t>
  </si>
  <si>
    <t xml:space="preserve"> CA</t>
  </si>
  <si>
    <t>06001</t>
  </si>
  <si>
    <t>Alpine</t>
  </si>
  <si>
    <t>06003</t>
  </si>
  <si>
    <t>Amador</t>
  </si>
  <si>
    <t>06005</t>
  </si>
  <si>
    <t>Butte</t>
  </si>
  <si>
    <t>06007</t>
  </si>
  <si>
    <t>Calaveras</t>
  </si>
  <si>
    <t>06009</t>
  </si>
  <si>
    <t>Colusa</t>
  </si>
  <si>
    <t>06011</t>
  </si>
  <si>
    <t>Contra Costa</t>
  </si>
  <si>
    <t>06013</t>
  </si>
  <si>
    <t>Del Norte</t>
  </si>
  <si>
    <t>06015</t>
  </si>
  <si>
    <t>El Dorado</t>
  </si>
  <si>
    <t>06017</t>
  </si>
  <si>
    <t>Fresno</t>
  </si>
  <si>
    <t>06019</t>
  </si>
  <si>
    <t>Glenn</t>
  </si>
  <si>
    <t>06021</t>
  </si>
  <si>
    <t>Humboldt</t>
  </si>
  <si>
    <t>06023</t>
  </si>
  <si>
    <t>Imperial</t>
  </si>
  <si>
    <t>06025</t>
  </si>
  <si>
    <t>Inyo</t>
  </si>
  <si>
    <t>06027</t>
  </si>
  <si>
    <t>Kern</t>
  </si>
  <si>
    <t>06029</t>
  </si>
  <si>
    <t>Kings</t>
  </si>
  <si>
    <t>06031</t>
  </si>
  <si>
    <t>Lake</t>
  </si>
  <si>
    <t>06033</t>
  </si>
  <si>
    <t>Lassen</t>
  </si>
  <si>
    <t>06035</t>
  </si>
  <si>
    <t>Los Angeles</t>
  </si>
  <si>
    <t>06037</t>
  </si>
  <si>
    <t>Madera</t>
  </si>
  <si>
    <t>06039</t>
  </si>
  <si>
    <t>Marin</t>
  </si>
  <si>
    <t>06041</t>
  </si>
  <si>
    <t>Mariposa</t>
  </si>
  <si>
    <t>06043</t>
  </si>
  <si>
    <t>Mendocino</t>
  </si>
  <si>
    <t>06045</t>
  </si>
  <si>
    <t>Merced</t>
  </si>
  <si>
    <t>06047</t>
  </si>
  <si>
    <t>Modoc</t>
  </si>
  <si>
    <t>06049</t>
  </si>
  <si>
    <t>Mono</t>
  </si>
  <si>
    <t>06051</t>
  </si>
  <si>
    <t>Monterey</t>
  </si>
  <si>
    <t>06053</t>
  </si>
  <si>
    <t>Napa</t>
  </si>
  <si>
    <t>06055</t>
  </si>
  <si>
    <t>06057</t>
  </si>
  <si>
    <t>Orange</t>
  </si>
  <si>
    <t>06059</t>
  </si>
  <si>
    <t>Placer</t>
  </si>
  <si>
    <t>06061</t>
  </si>
  <si>
    <t>Plumas</t>
  </si>
  <si>
    <t>06063</t>
  </si>
  <si>
    <t>Riverside</t>
  </si>
  <si>
    <t>06065</t>
  </si>
  <si>
    <t>Sacramento</t>
  </si>
  <si>
    <t>06067</t>
  </si>
  <si>
    <t>San Benito</t>
  </si>
  <si>
    <t>06069</t>
  </si>
  <si>
    <t>San Bernardino</t>
  </si>
  <si>
    <t>06071</t>
  </si>
  <si>
    <t>San Diego</t>
  </si>
  <si>
    <t>06073</t>
  </si>
  <si>
    <t>San Francisco</t>
  </si>
  <si>
    <t>06075</t>
  </si>
  <si>
    <t>San Joaquin</t>
  </si>
  <si>
    <t>06077</t>
  </si>
  <si>
    <t>San Luis Obispo</t>
  </si>
  <si>
    <t>06079</t>
  </si>
  <si>
    <t>San Mateo</t>
  </si>
  <si>
    <t>06081</t>
  </si>
  <si>
    <t>Santa Barbara</t>
  </si>
  <si>
    <t>06083</t>
  </si>
  <si>
    <t>Santa Clara</t>
  </si>
  <si>
    <t>06085</t>
  </si>
  <si>
    <t>06087</t>
  </si>
  <si>
    <t>Shasta</t>
  </si>
  <si>
    <t>06089</t>
  </si>
  <si>
    <t>Sierra</t>
  </si>
  <si>
    <t>06091</t>
  </si>
  <si>
    <t>Siskiyou</t>
  </si>
  <si>
    <t>06093</t>
  </si>
  <si>
    <t>Solano</t>
  </si>
  <si>
    <t>06095</t>
  </si>
  <si>
    <t>Sonoma</t>
  </si>
  <si>
    <t>06097</t>
  </si>
  <si>
    <t>Stanislaus</t>
  </si>
  <si>
    <t>06099</t>
  </si>
  <si>
    <t>Sutter</t>
  </si>
  <si>
    <t>06101</t>
  </si>
  <si>
    <t>Tehama</t>
  </si>
  <si>
    <t>06103</t>
  </si>
  <si>
    <t>Trinity</t>
  </si>
  <si>
    <t>06105</t>
  </si>
  <si>
    <t>Tulare</t>
  </si>
  <si>
    <t>06107</t>
  </si>
  <si>
    <t>Tuolumne</t>
  </si>
  <si>
    <t>06109</t>
  </si>
  <si>
    <t>Ventura</t>
  </si>
  <si>
    <t>06111</t>
  </si>
  <si>
    <t>Yolo</t>
  </si>
  <si>
    <t>06113</t>
  </si>
  <si>
    <t>Yuba</t>
  </si>
  <si>
    <t>06115</t>
  </si>
  <si>
    <t>COLORADO</t>
  </si>
  <si>
    <t>Adams</t>
  </si>
  <si>
    <t xml:space="preserve"> CO</t>
  </si>
  <si>
    <t>08001</t>
  </si>
  <si>
    <t>Alamosa</t>
  </si>
  <si>
    <t>08003</t>
  </si>
  <si>
    <t>Arapahoe</t>
  </si>
  <si>
    <t>08005</t>
  </si>
  <si>
    <t>Archuleta</t>
  </si>
  <si>
    <t>08007</t>
  </si>
  <si>
    <t>Baca</t>
  </si>
  <si>
    <t>08009</t>
  </si>
  <si>
    <t>Bent</t>
  </si>
  <si>
    <t>08011</t>
  </si>
  <si>
    <t>Boulder</t>
  </si>
  <si>
    <t>08013</t>
  </si>
  <si>
    <t>Broomfield</t>
  </si>
  <si>
    <t>08014</t>
  </si>
  <si>
    <t>Chaffee</t>
  </si>
  <si>
    <t>08015</t>
  </si>
  <si>
    <t>Cheyenne</t>
  </si>
  <si>
    <t>08017</t>
  </si>
  <si>
    <t>Clear Creek</t>
  </si>
  <si>
    <t>08019</t>
  </si>
  <si>
    <t>Conejos</t>
  </si>
  <si>
    <t>08021</t>
  </si>
  <si>
    <t>Costilla</t>
  </si>
  <si>
    <t>08023</t>
  </si>
  <si>
    <t>Crowley</t>
  </si>
  <si>
    <t>08025</t>
  </si>
  <si>
    <t>Custer</t>
  </si>
  <si>
    <t>08027</t>
  </si>
  <si>
    <t>Delta</t>
  </si>
  <si>
    <t>08029</t>
  </si>
  <si>
    <t>Denver</t>
  </si>
  <si>
    <t>08031</t>
  </si>
  <si>
    <t>Dolores</t>
  </si>
  <si>
    <t>08033</t>
  </si>
  <si>
    <t>Douglas</t>
  </si>
  <si>
    <t>08035</t>
  </si>
  <si>
    <t>Eagle</t>
  </si>
  <si>
    <t>08037</t>
  </si>
  <si>
    <t>Elbert</t>
  </si>
  <si>
    <t>08039</t>
  </si>
  <si>
    <t>El Paso</t>
  </si>
  <si>
    <t>08041</t>
  </si>
  <si>
    <t>Fremont</t>
  </si>
  <si>
    <t>08043</t>
  </si>
  <si>
    <t>Garfield</t>
  </si>
  <si>
    <t>08045</t>
  </si>
  <si>
    <t>Gilpin</t>
  </si>
  <si>
    <t>08047</t>
  </si>
  <si>
    <t>Grand</t>
  </si>
  <si>
    <t>08049</t>
  </si>
  <si>
    <t>Gunnison</t>
  </si>
  <si>
    <t>08051</t>
  </si>
  <si>
    <t>Hinsdale</t>
  </si>
  <si>
    <t>08053</t>
  </si>
  <si>
    <t>Huerfano</t>
  </si>
  <si>
    <t>08055</t>
  </si>
  <si>
    <t>08057</t>
  </si>
  <si>
    <t>08059</t>
  </si>
  <si>
    <t>Kiowa</t>
  </si>
  <si>
    <t>08061</t>
  </si>
  <si>
    <t>Kit Carson</t>
  </si>
  <si>
    <t>08063</t>
  </si>
  <si>
    <t>08065</t>
  </si>
  <si>
    <t>La Plata</t>
  </si>
  <si>
    <t>08067</t>
  </si>
  <si>
    <t>Larimer</t>
  </si>
  <si>
    <t>08069</t>
  </si>
  <si>
    <t>Las Animas</t>
  </si>
  <si>
    <t>08071</t>
  </si>
  <si>
    <t>08073</t>
  </si>
  <si>
    <t>08075</t>
  </si>
  <si>
    <t>Mesa</t>
  </si>
  <si>
    <t>08077</t>
  </si>
  <si>
    <t>Mineral</t>
  </si>
  <si>
    <t>08079</t>
  </si>
  <si>
    <t>Moffat</t>
  </si>
  <si>
    <t>08081</t>
  </si>
  <si>
    <t>Montezuma</t>
  </si>
  <si>
    <t>08083</t>
  </si>
  <si>
    <t>Montrose</t>
  </si>
  <si>
    <t>08085</t>
  </si>
  <si>
    <t>08087</t>
  </si>
  <si>
    <t>Otero</t>
  </si>
  <si>
    <t>08089</t>
  </si>
  <si>
    <t>Ouray</t>
  </si>
  <si>
    <t>08091</t>
  </si>
  <si>
    <t>Park</t>
  </si>
  <si>
    <t>08093</t>
  </si>
  <si>
    <t>08095</t>
  </si>
  <si>
    <t>Pitkin</t>
  </si>
  <si>
    <t>08097</t>
  </si>
  <si>
    <t>Prowers</t>
  </si>
  <si>
    <t>08099</t>
  </si>
  <si>
    <t>Pueblo</t>
  </si>
  <si>
    <t>08101</t>
  </si>
  <si>
    <t>Rio Blanco</t>
  </si>
  <si>
    <t>08103</t>
  </si>
  <si>
    <t>Rio Grande</t>
  </si>
  <si>
    <t>08105</t>
  </si>
  <si>
    <t>Routt</t>
  </si>
  <si>
    <t>08107</t>
  </si>
  <si>
    <t>Saguache</t>
  </si>
  <si>
    <t>08109</t>
  </si>
  <si>
    <t>San Juan</t>
  </si>
  <si>
    <t>08111</t>
  </si>
  <si>
    <t>San Miguel</t>
  </si>
  <si>
    <t>08113</t>
  </si>
  <si>
    <t>Sedgwick</t>
  </si>
  <si>
    <t>08115</t>
  </si>
  <si>
    <t>Summit</t>
  </si>
  <si>
    <t>08117</t>
  </si>
  <si>
    <t>Teller</t>
  </si>
  <si>
    <t>08119</t>
  </si>
  <si>
    <t>08121</t>
  </si>
  <si>
    <t>Weld</t>
  </si>
  <si>
    <t>08123</t>
  </si>
  <si>
    <t>08125</t>
  </si>
  <si>
    <t>CONNECTICUT</t>
  </si>
  <si>
    <t>Fairfield</t>
  </si>
  <si>
    <t xml:space="preserve"> CT</t>
  </si>
  <si>
    <t>09001</t>
  </si>
  <si>
    <t>Hartford</t>
  </si>
  <si>
    <t>09003</t>
  </si>
  <si>
    <t>Litchfield</t>
  </si>
  <si>
    <t>09005</t>
  </si>
  <si>
    <t>Middlesex</t>
  </si>
  <si>
    <t>09007</t>
  </si>
  <si>
    <t>New Haven</t>
  </si>
  <si>
    <t>09009</t>
  </si>
  <si>
    <t>New London</t>
  </si>
  <si>
    <t>09011</t>
  </si>
  <si>
    <t>Tolland</t>
  </si>
  <si>
    <t>09013</t>
  </si>
  <si>
    <t>Windham</t>
  </si>
  <si>
    <t>09015</t>
  </si>
  <si>
    <t>DELAWARE</t>
  </si>
  <si>
    <t>Kent</t>
  </si>
  <si>
    <t xml:space="preserve"> DE</t>
  </si>
  <si>
    <t>10001</t>
  </si>
  <si>
    <t>New Castle</t>
  </si>
  <si>
    <t>10003</t>
  </si>
  <si>
    <t>Sussex</t>
  </si>
  <si>
    <t>10005</t>
  </si>
  <si>
    <t>DISTRICT OF COLUMBIA</t>
  </si>
  <si>
    <t>District of Columbia</t>
  </si>
  <si>
    <t>11001</t>
  </si>
  <si>
    <t>FLORIDA</t>
  </si>
  <si>
    <t>Alachua</t>
  </si>
  <si>
    <t xml:space="preserve"> FL</t>
  </si>
  <si>
    <t>12001</t>
  </si>
  <si>
    <t>Baker</t>
  </si>
  <si>
    <t>12003</t>
  </si>
  <si>
    <t>Bay</t>
  </si>
  <si>
    <t>12005</t>
  </si>
  <si>
    <t>Bradford</t>
  </si>
  <si>
    <t>12007</t>
  </si>
  <si>
    <t>Brevard</t>
  </si>
  <si>
    <t>12009</t>
  </si>
  <si>
    <t>Broward</t>
  </si>
  <si>
    <t>12011</t>
  </si>
  <si>
    <t>12013</t>
  </si>
  <si>
    <t>Charlotte</t>
  </si>
  <si>
    <t>12015</t>
  </si>
  <si>
    <t>Citrus</t>
  </si>
  <si>
    <t>12017</t>
  </si>
  <si>
    <t>12019</t>
  </si>
  <si>
    <t>Collier</t>
  </si>
  <si>
    <t>12021</t>
  </si>
  <si>
    <t>12023</t>
  </si>
  <si>
    <t>DeSoto</t>
  </si>
  <si>
    <t>12027</t>
  </si>
  <si>
    <t>Dixie</t>
  </si>
  <si>
    <t>12029</t>
  </si>
  <si>
    <t>Duval</t>
  </si>
  <si>
    <t>12031</t>
  </si>
  <si>
    <t>12033</t>
  </si>
  <si>
    <t>Flagler</t>
  </si>
  <si>
    <t>12035</t>
  </si>
  <si>
    <t>12037</t>
  </si>
  <si>
    <t>Gadsden</t>
  </si>
  <si>
    <t>12039</t>
  </si>
  <si>
    <t>Gilchrist</t>
  </si>
  <si>
    <t>12041</t>
  </si>
  <si>
    <t>Glades</t>
  </si>
  <si>
    <t>12043</t>
  </si>
  <si>
    <t>Gulf</t>
  </si>
  <si>
    <t>12045</t>
  </si>
  <si>
    <t>Hamilton</t>
  </si>
  <si>
    <t>12047</t>
  </si>
  <si>
    <t>Hardee</t>
  </si>
  <si>
    <t>12049</t>
  </si>
  <si>
    <t>Hendry</t>
  </si>
  <si>
    <t>12051</t>
  </si>
  <si>
    <t>Hernando</t>
  </si>
  <si>
    <t>12053</t>
  </si>
  <si>
    <t>Highlands</t>
  </si>
  <si>
    <t>12055</t>
  </si>
  <si>
    <t>Hillsborough</t>
  </si>
  <si>
    <t>12057</t>
  </si>
  <si>
    <t>Holmes</t>
  </si>
  <si>
    <t>12059</t>
  </si>
  <si>
    <t>Indian River</t>
  </si>
  <si>
    <t>12061</t>
  </si>
  <si>
    <t>12063</t>
  </si>
  <si>
    <t>12065</t>
  </si>
  <si>
    <t>12067</t>
  </si>
  <si>
    <t>12069</t>
  </si>
  <si>
    <t>12071</t>
  </si>
  <si>
    <t>Leon</t>
  </si>
  <si>
    <t>12073</t>
  </si>
  <si>
    <t>Levy</t>
  </si>
  <si>
    <t>12075</t>
  </si>
  <si>
    <t>Liberty</t>
  </si>
  <si>
    <t>12077</t>
  </si>
  <si>
    <t>12079</t>
  </si>
  <si>
    <t>Manatee</t>
  </si>
  <si>
    <t>12081</t>
  </si>
  <si>
    <t>12083</t>
  </si>
  <si>
    <t>Martin</t>
  </si>
  <si>
    <t>12085</t>
  </si>
  <si>
    <t>Miami-Dade</t>
  </si>
  <si>
    <t>12086</t>
  </si>
  <si>
    <t>12087</t>
  </si>
  <si>
    <t>Nassau</t>
  </si>
  <si>
    <t>12089</t>
  </si>
  <si>
    <t>Okaloosa</t>
  </si>
  <si>
    <t>12091</t>
  </si>
  <si>
    <t>Okeechobee</t>
  </si>
  <si>
    <t>12093</t>
  </si>
  <si>
    <t>12095</t>
  </si>
  <si>
    <t>Osceola</t>
  </si>
  <si>
    <t>12097</t>
  </si>
  <si>
    <t>Palm Beach</t>
  </si>
  <si>
    <t>12099</t>
  </si>
  <si>
    <t>Pasco</t>
  </si>
  <si>
    <t>12101</t>
  </si>
  <si>
    <t>Pinellas</t>
  </si>
  <si>
    <t>12103</t>
  </si>
  <si>
    <t>12105</t>
  </si>
  <si>
    <t>Putnam</t>
  </si>
  <si>
    <t>12107</t>
  </si>
  <si>
    <t>St. Johns</t>
  </si>
  <si>
    <t>12109</t>
  </si>
  <si>
    <t>St. Lucie</t>
  </si>
  <si>
    <t>12111</t>
  </si>
  <si>
    <t>Santa Rosa</t>
  </si>
  <si>
    <t>12113</t>
  </si>
  <si>
    <t>Sarasota</t>
  </si>
  <si>
    <t>12115</t>
  </si>
  <si>
    <t>Seminole</t>
  </si>
  <si>
    <t>12117</t>
  </si>
  <si>
    <t>12119</t>
  </si>
  <si>
    <t>Suwannee</t>
  </si>
  <si>
    <t>12121</t>
  </si>
  <si>
    <t>Taylor</t>
  </si>
  <si>
    <t>12123</t>
  </si>
  <si>
    <t>12125</t>
  </si>
  <si>
    <t>Volusia</t>
  </si>
  <si>
    <t>12127</t>
  </si>
  <si>
    <t>Wakulla</t>
  </si>
  <si>
    <t>12129</t>
  </si>
  <si>
    <t>Walton</t>
  </si>
  <si>
    <t>12131</t>
  </si>
  <si>
    <t>12133</t>
  </si>
  <si>
    <t>GEORGIA</t>
  </si>
  <si>
    <t>Appling</t>
  </si>
  <si>
    <t xml:space="preserve"> GA</t>
  </si>
  <si>
    <t>13001</t>
  </si>
  <si>
    <t>Atkinson</t>
  </si>
  <si>
    <t>13003</t>
  </si>
  <si>
    <t>Bacon</t>
  </si>
  <si>
    <t>13005</t>
  </si>
  <si>
    <t>13007</t>
  </si>
  <si>
    <t>Baldwin</t>
  </si>
  <si>
    <t>13009</t>
  </si>
  <si>
    <t>Banks</t>
  </si>
  <si>
    <t>13011</t>
  </si>
  <si>
    <t>Barrow</t>
  </si>
  <si>
    <t>13013</t>
  </si>
  <si>
    <t>Bartow</t>
  </si>
  <si>
    <t>13015</t>
  </si>
  <si>
    <t>Ben Hill</t>
  </si>
  <si>
    <t>13017</t>
  </si>
  <si>
    <t>Berrien</t>
  </si>
  <si>
    <t>13019</t>
  </si>
  <si>
    <t>13021</t>
  </si>
  <si>
    <t>Bleckley</t>
  </si>
  <si>
    <t>13023</t>
  </si>
  <si>
    <t>Brantley</t>
  </si>
  <si>
    <t>13025</t>
  </si>
  <si>
    <t>Brooks</t>
  </si>
  <si>
    <t>13027</t>
  </si>
  <si>
    <t>Bryan</t>
  </si>
  <si>
    <t>13029</t>
  </si>
  <si>
    <t>Bulloch</t>
  </si>
  <si>
    <t>13031</t>
  </si>
  <si>
    <t>Burke</t>
  </si>
  <si>
    <t>13033</t>
  </si>
  <si>
    <t>Butts</t>
  </si>
  <si>
    <t>13035</t>
  </si>
  <si>
    <t>13037</t>
  </si>
  <si>
    <t>Camden</t>
  </si>
  <si>
    <t>13039</t>
  </si>
  <si>
    <t>Candler</t>
  </si>
  <si>
    <t>13043</t>
  </si>
  <si>
    <t>13045</t>
  </si>
  <si>
    <t>Catoosa</t>
  </si>
  <si>
    <t>13047</t>
  </si>
  <si>
    <t>Charlton</t>
  </si>
  <si>
    <t>13049</t>
  </si>
  <si>
    <t>Chatham</t>
  </si>
  <si>
    <t>13051</t>
  </si>
  <si>
    <t>Chattahoochee</t>
  </si>
  <si>
    <t>13053</t>
  </si>
  <si>
    <t>Chattooga</t>
  </si>
  <si>
    <t>13055</t>
  </si>
  <si>
    <t>13057</t>
  </si>
  <si>
    <t>13059</t>
  </si>
  <si>
    <t>13061</t>
  </si>
  <si>
    <t>Clayton</t>
  </si>
  <si>
    <t>13063</t>
  </si>
  <si>
    <t>Clinch</t>
  </si>
  <si>
    <t>13065</t>
  </si>
  <si>
    <t>Cobb</t>
  </si>
  <si>
    <t>13067</t>
  </si>
  <si>
    <t>13069</t>
  </si>
  <si>
    <t>Colquitt</t>
  </si>
  <si>
    <t>13071</t>
  </si>
  <si>
    <t>13073</t>
  </si>
  <si>
    <t>Cook</t>
  </si>
  <si>
    <t>13075</t>
  </si>
  <si>
    <t>Coweta</t>
  </si>
  <si>
    <t>13077</t>
  </si>
  <si>
    <t>13079</t>
  </si>
  <si>
    <t>Crisp</t>
  </si>
  <si>
    <t>13081</t>
  </si>
  <si>
    <t>Dade</t>
  </si>
  <si>
    <t>13083</t>
  </si>
  <si>
    <t>Dawson</t>
  </si>
  <si>
    <t>13085</t>
  </si>
  <si>
    <t>Decatur</t>
  </si>
  <si>
    <t>13087</t>
  </si>
  <si>
    <t>13089</t>
  </si>
  <si>
    <t>Dodge</t>
  </si>
  <si>
    <t>13091</t>
  </si>
  <si>
    <t>Dooly</t>
  </si>
  <si>
    <t>13093</t>
  </si>
  <si>
    <t>Dougherty</t>
  </si>
  <si>
    <t>13095</t>
  </si>
  <si>
    <t>13097</t>
  </si>
  <si>
    <t>Early</t>
  </si>
  <si>
    <t>13099</t>
  </si>
  <si>
    <t>Echols</t>
  </si>
  <si>
    <t>13101</t>
  </si>
  <si>
    <t>Effingham</t>
  </si>
  <si>
    <t>13103</t>
  </si>
  <si>
    <t>13105</t>
  </si>
  <si>
    <t>Emanuel</t>
  </si>
  <si>
    <t>13107</t>
  </si>
  <si>
    <t>Evans</t>
  </si>
  <si>
    <t>13109</t>
  </si>
  <si>
    <t>Fannin</t>
  </si>
  <si>
    <t>13111</t>
  </si>
  <si>
    <t>13113</t>
  </si>
  <si>
    <t>Floyd</t>
  </si>
  <si>
    <t>13115</t>
  </si>
  <si>
    <t>Forsyth</t>
  </si>
  <si>
    <t>13117</t>
  </si>
  <si>
    <t>13119</t>
  </si>
  <si>
    <t>13121</t>
  </si>
  <si>
    <t>Gilmer</t>
  </si>
  <si>
    <t>13123</t>
  </si>
  <si>
    <t>Glascock</t>
  </si>
  <si>
    <t>13125</t>
  </si>
  <si>
    <t>Glynn</t>
  </si>
  <si>
    <t>13127</t>
  </si>
  <si>
    <t>Gordon</t>
  </si>
  <si>
    <t>13129</t>
  </si>
  <si>
    <t>Grady</t>
  </si>
  <si>
    <t>13131</t>
  </si>
  <si>
    <t>13133</t>
  </si>
  <si>
    <t>Gwinnett</t>
  </si>
  <si>
    <t>13135</t>
  </si>
  <si>
    <t>Habersham</t>
  </si>
  <si>
    <t>13137</t>
  </si>
  <si>
    <t>Hall</t>
  </si>
  <si>
    <t>13139</t>
  </si>
  <si>
    <t>Hancock</t>
  </si>
  <si>
    <t>13141</t>
  </si>
  <si>
    <t>Haralson</t>
  </si>
  <si>
    <t>13143</t>
  </si>
  <si>
    <t>Harris</t>
  </si>
  <si>
    <t>13145</t>
  </si>
  <si>
    <t>Hart</t>
  </si>
  <si>
    <t>13147</t>
  </si>
  <si>
    <t>Heard</t>
  </si>
  <si>
    <t>13149</t>
  </si>
  <si>
    <t>13151</t>
  </si>
  <si>
    <t>13153</t>
  </si>
  <si>
    <t>Irwin</t>
  </si>
  <si>
    <t>13155</t>
  </si>
  <si>
    <t>13157</t>
  </si>
  <si>
    <t>Jasper</t>
  </si>
  <si>
    <t>13159</t>
  </si>
  <si>
    <t>Jeff Davis</t>
  </si>
  <si>
    <t>13161</t>
  </si>
  <si>
    <t>13163</t>
  </si>
  <si>
    <t>Jenkins</t>
  </si>
  <si>
    <t>13165</t>
  </si>
  <si>
    <t>13167</t>
  </si>
  <si>
    <t>Jones</t>
  </si>
  <si>
    <t>13169</t>
  </si>
  <si>
    <t>13171</t>
  </si>
  <si>
    <t>Lanier</t>
  </si>
  <si>
    <t>13173</t>
  </si>
  <si>
    <t>Laurens</t>
  </si>
  <si>
    <t>13175</t>
  </si>
  <si>
    <t>13177</t>
  </si>
  <si>
    <t>13179</t>
  </si>
  <si>
    <t>13181</t>
  </si>
  <si>
    <t>Long</t>
  </si>
  <si>
    <t>13183</t>
  </si>
  <si>
    <t>13185</t>
  </si>
  <si>
    <t>Lumpkin</t>
  </si>
  <si>
    <t>13187</t>
  </si>
  <si>
    <t>McDuffie</t>
  </si>
  <si>
    <t>13189</t>
  </si>
  <si>
    <t>McIntosh</t>
  </si>
  <si>
    <t>13191</t>
  </si>
  <si>
    <t>13193</t>
  </si>
  <si>
    <t>13195</t>
  </si>
  <si>
    <t>13197</t>
  </si>
  <si>
    <t>Meriwether</t>
  </si>
  <si>
    <t>13199</t>
  </si>
  <si>
    <t>13201</t>
  </si>
  <si>
    <t>Mitchell</t>
  </si>
  <si>
    <t>13205</t>
  </si>
  <si>
    <t>13207</t>
  </si>
  <si>
    <t>13209</t>
  </si>
  <si>
    <t>13211</t>
  </si>
  <si>
    <t>Murray</t>
  </si>
  <si>
    <t>13213</t>
  </si>
  <si>
    <t>Muscogee</t>
  </si>
  <si>
    <t>13215</t>
  </si>
  <si>
    <t>13217</t>
  </si>
  <si>
    <t>Oconee</t>
  </si>
  <si>
    <t>13219</t>
  </si>
  <si>
    <t>Oglethorpe</t>
  </si>
  <si>
    <t>13221</t>
  </si>
  <si>
    <t>Paulding</t>
  </si>
  <si>
    <t>13223</t>
  </si>
  <si>
    <t>Peach</t>
  </si>
  <si>
    <t>13225</t>
  </si>
  <si>
    <t>13227</t>
  </si>
  <si>
    <t>Pierce</t>
  </si>
  <si>
    <t>13229</t>
  </si>
  <si>
    <t>13231</t>
  </si>
  <si>
    <t>13233</t>
  </si>
  <si>
    <t>13235</t>
  </si>
  <si>
    <t>13237</t>
  </si>
  <si>
    <t>Quitman</t>
  </si>
  <si>
    <t>13239</t>
  </si>
  <si>
    <t>Rabun</t>
  </si>
  <si>
    <t>13241</t>
  </si>
  <si>
    <t>13243</t>
  </si>
  <si>
    <t>Richmond</t>
  </si>
  <si>
    <t>13245</t>
  </si>
  <si>
    <t>Rockdale</t>
  </si>
  <si>
    <t>13247</t>
  </si>
  <si>
    <t>Schley</t>
  </si>
  <si>
    <t>13249</t>
  </si>
  <si>
    <t>Screven</t>
  </si>
  <si>
    <t>13251</t>
  </si>
  <si>
    <t>13253</t>
  </si>
  <si>
    <t>Spalding</t>
  </si>
  <si>
    <t>13255</t>
  </si>
  <si>
    <t>Stephens</t>
  </si>
  <si>
    <t>13257</t>
  </si>
  <si>
    <t>Stewart</t>
  </si>
  <si>
    <t>13259</t>
  </si>
  <si>
    <t>13261</t>
  </si>
  <si>
    <t>Talbot</t>
  </si>
  <si>
    <t>13263</t>
  </si>
  <si>
    <t>Taliaferro</t>
  </si>
  <si>
    <t>13265</t>
  </si>
  <si>
    <t>Tattnall</t>
  </si>
  <si>
    <t>13267</t>
  </si>
  <si>
    <t>13269</t>
  </si>
  <si>
    <t>Telfair</t>
  </si>
  <si>
    <t>13271</t>
  </si>
  <si>
    <t>Terrell</t>
  </si>
  <si>
    <t>13273</t>
  </si>
  <si>
    <t>Thomas</t>
  </si>
  <si>
    <t>13275</t>
  </si>
  <si>
    <t>Tift</t>
  </si>
  <si>
    <t>13277</t>
  </si>
  <si>
    <t>Toombs</t>
  </si>
  <si>
    <t>13279</t>
  </si>
  <si>
    <t>Towns</t>
  </si>
  <si>
    <t>13281</t>
  </si>
  <si>
    <t>Treutlen</t>
  </si>
  <si>
    <t>13283</t>
  </si>
  <si>
    <t>Troup</t>
  </si>
  <si>
    <t>13285</t>
  </si>
  <si>
    <t>Turner</t>
  </si>
  <si>
    <t>13287</t>
  </si>
  <si>
    <t>Twiggs</t>
  </si>
  <si>
    <t>13289</t>
  </si>
  <si>
    <t>13291</t>
  </si>
  <si>
    <t>Upson</t>
  </si>
  <si>
    <t>13293</t>
  </si>
  <si>
    <t>13295</t>
  </si>
  <si>
    <t>13297</t>
  </si>
  <si>
    <t>Ware</t>
  </si>
  <si>
    <t>13299</t>
  </si>
  <si>
    <t>Warren</t>
  </si>
  <si>
    <t>13301</t>
  </si>
  <si>
    <t>13303</t>
  </si>
  <si>
    <t>Wayne</t>
  </si>
  <si>
    <t>13305</t>
  </si>
  <si>
    <t>Webster</t>
  </si>
  <si>
    <t>13307</t>
  </si>
  <si>
    <t>Wheeler</t>
  </si>
  <si>
    <t>13309</t>
  </si>
  <si>
    <t>13311</t>
  </si>
  <si>
    <t>Whitfield</t>
  </si>
  <si>
    <t>13313</t>
  </si>
  <si>
    <t>13315</t>
  </si>
  <si>
    <t>Wilkes</t>
  </si>
  <si>
    <t>13317</t>
  </si>
  <si>
    <t>Wilkinson</t>
  </si>
  <si>
    <t>13319</t>
  </si>
  <si>
    <t>Worth</t>
  </si>
  <si>
    <t>13321</t>
  </si>
  <si>
    <t>HAWAII</t>
  </si>
  <si>
    <t>Hawaii</t>
  </si>
  <si>
    <t xml:space="preserve"> HI</t>
  </si>
  <si>
    <t>15001</t>
  </si>
  <si>
    <t>Honolulu</t>
  </si>
  <si>
    <t>15003</t>
  </si>
  <si>
    <t>Kalawao</t>
  </si>
  <si>
    <t>15005</t>
  </si>
  <si>
    <t>Kauai</t>
  </si>
  <si>
    <t>15007</t>
  </si>
  <si>
    <t>Maui</t>
  </si>
  <si>
    <t>15009</t>
  </si>
  <si>
    <t>IDAHO</t>
  </si>
  <si>
    <t>Ada</t>
  </si>
  <si>
    <t xml:space="preserve"> ID</t>
  </si>
  <si>
    <t>16001</t>
  </si>
  <si>
    <t>16003</t>
  </si>
  <si>
    <t>Bannock</t>
  </si>
  <si>
    <t>16005</t>
  </si>
  <si>
    <t>Bear Lake</t>
  </si>
  <si>
    <t>16007</t>
  </si>
  <si>
    <t>Benewah</t>
  </si>
  <si>
    <t>16009</t>
  </si>
  <si>
    <t>Bingham</t>
  </si>
  <si>
    <t>16011</t>
  </si>
  <si>
    <t>Blaine</t>
  </si>
  <si>
    <t>16013</t>
  </si>
  <si>
    <t>Boise</t>
  </si>
  <si>
    <t>16015</t>
  </si>
  <si>
    <t>Bonner</t>
  </si>
  <si>
    <t>16017</t>
  </si>
  <si>
    <t>Bonneville</t>
  </si>
  <si>
    <t>16019</t>
  </si>
  <si>
    <t>Boundary</t>
  </si>
  <si>
    <t>16021</t>
  </si>
  <si>
    <t>16023</t>
  </si>
  <si>
    <t>Camas</t>
  </si>
  <si>
    <t>16025</t>
  </si>
  <si>
    <t>Canyon</t>
  </si>
  <si>
    <t>16027</t>
  </si>
  <si>
    <t>Caribou</t>
  </si>
  <si>
    <t>16029</t>
  </si>
  <si>
    <t>Cassia</t>
  </si>
  <si>
    <t>16031</t>
  </si>
  <si>
    <t>16033</t>
  </si>
  <si>
    <t>Clearwater</t>
  </si>
  <si>
    <t>16035</t>
  </si>
  <si>
    <t>16037</t>
  </si>
  <si>
    <t>16039</t>
  </si>
  <si>
    <t>16041</t>
  </si>
  <si>
    <t>16043</t>
  </si>
  <si>
    <t>Gem</t>
  </si>
  <si>
    <t>16045</t>
  </si>
  <si>
    <t>Gooding</t>
  </si>
  <si>
    <t>16047</t>
  </si>
  <si>
    <t>Idaho</t>
  </si>
  <si>
    <t>16049</t>
  </si>
  <si>
    <t>16051</t>
  </si>
  <si>
    <t>Jerome</t>
  </si>
  <si>
    <t>16053</t>
  </si>
  <si>
    <t>Kootenai</t>
  </si>
  <si>
    <t>16055</t>
  </si>
  <si>
    <t>Latah</t>
  </si>
  <si>
    <t>16057</t>
  </si>
  <si>
    <t>Lemhi</t>
  </si>
  <si>
    <t>16059</t>
  </si>
  <si>
    <t>Lewis</t>
  </si>
  <si>
    <t>16061</t>
  </si>
  <si>
    <t>16063</t>
  </si>
  <si>
    <t>16065</t>
  </si>
  <si>
    <t>Minidoka</t>
  </si>
  <si>
    <t>16067</t>
  </si>
  <si>
    <t>Nez Perce</t>
  </si>
  <si>
    <t>16069</t>
  </si>
  <si>
    <t>Oneida</t>
  </si>
  <si>
    <t>16071</t>
  </si>
  <si>
    <t>Owyhee</t>
  </si>
  <si>
    <t>16073</t>
  </si>
  <si>
    <t>Payette</t>
  </si>
  <si>
    <t>16075</t>
  </si>
  <si>
    <t>Power</t>
  </si>
  <si>
    <t>16077</t>
  </si>
  <si>
    <t>Shoshone</t>
  </si>
  <si>
    <t>16079</t>
  </si>
  <si>
    <t>Teton</t>
  </si>
  <si>
    <t>16081</t>
  </si>
  <si>
    <t>Twin Falls</t>
  </si>
  <si>
    <t>16083</t>
  </si>
  <si>
    <t>Valley</t>
  </si>
  <si>
    <t>16085</t>
  </si>
  <si>
    <t>16087</t>
  </si>
  <si>
    <t>ILLINOIS</t>
  </si>
  <si>
    <t xml:space="preserve"> IL</t>
  </si>
  <si>
    <t>17001</t>
  </si>
  <si>
    <t>Alexander</t>
  </si>
  <si>
    <t>17003</t>
  </si>
  <si>
    <t>Bond</t>
  </si>
  <si>
    <t>17005</t>
  </si>
  <si>
    <t>17007</t>
  </si>
  <si>
    <t>Brown</t>
  </si>
  <si>
    <t>17009</t>
  </si>
  <si>
    <t>Bureau</t>
  </si>
  <si>
    <t>17011</t>
  </si>
  <si>
    <t>17013</t>
  </si>
  <si>
    <t>17015</t>
  </si>
  <si>
    <t>Cass</t>
  </si>
  <si>
    <t>17017</t>
  </si>
  <si>
    <t>Champaign</t>
  </si>
  <si>
    <t>17019</t>
  </si>
  <si>
    <t>Christian</t>
  </si>
  <si>
    <t>17021</t>
  </si>
  <si>
    <t>17023</t>
  </si>
  <si>
    <t>17025</t>
  </si>
  <si>
    <t>Clinton</t>
  </si>
  <si>
    <t>17027</t>
  </si>
  <si>
    <t>Coles</t>
  </si>
  <si>
    <t>17029</t>
  </si>
  <si>
    <t>17031</t>
  </si>
  <si>
    <t>17033</t>
  </si>
  <si>
    <t>Cumberland</t>
  </si>
  <si>
    <t>17035</t>
  </si>
  <si>
    <t>17037</t>
  </si>
  <si>
    <t>De Witt</t>
  </si>
  <si>
    <t>17039</t>
  </si>
  <si>
    <t>17041</t>
  </si>
  <si>
    <t>DuPage</t>
  </si>
  <si>
    <t>17043</t>
  </si>
  <si>
    <t>Edgar</t>
  </si>
  <si>
    <t>17045</t>
  </si>
  <si>
    <t>Edwards</t>
  </si>
  <si>
    <t>17047</t>
  </si>
  <si>
    <t>17049</t>
  </si>
  <si>
    <t>17051</t>
  </si>
  <si>
    <t>Ford</t>
  </si>
  <si>
    <t>17053</t>
  </si>
  <si>
    <t>17055</t>
  </si>
  <si>
    <t>17057</t>
  </si>
  <si>
    <t>Gallatin</t>
  </si>
  <si>
    <t>17059</t>
  </si>
  <si>
    <t>17061</t>
  </si>
  <si>
    <t>Grundy</t>
  </si>
  <si>
    <t>17063</t>
  </si>
  <si>
    <t>17065</t>
  </si>
  <si>
    <t>17067</t>
  </si>
  <si>
    <t>Hardin</t>
  </si>
  <si>
    <t>17069</t>
  </si>
  <si>
    <t>Henderson</t>
  </si>
  <si>
    <t>17071</t>
  </si>
  <si>
    <t>17073</t>
  </si>
  <si>
    <t>Iroquois</t>
  </si>
  <si>
    <t>17075</t>
  </si>
  <si>
    <t>17077</t>
  </si>
  <si>
    <t>17079</t>
  </si>
  <si>
    <t>17081</t>
  </si>
  <si>
    <t>Jersey</t>
  </si>
  <si>
    <t>17083</t>
  </si>
  <si>
    <t>Jo Daviess</t>
  </si>
  <si>
    <t>17085</t>
  </si>
  <si>
    <t>17087</t>
  </si>
  <si>
    <t>Kane</t>
  </si>
  <si>
    <t>17089</t>
  </si>
  <si>
    <t>Kankakee</t>
  </si>
  <si>
    <t>17091</t>
  </si>
  <si>
    <t>Kendall</t>
  </si>
  <si>
    <t>17093</t>
  </si>
  <si>
    <t>Knox</t>
  </si>
  <si>
    <t>17095</t>
  </si>
  <si>
    <t>17097</t>
  </si>
  <si>
    <t>LaSalle</t>
  </si>
  <si>
    <t>17099</t>
  </si>
  <si>
    <t>17101</t>
  </si>
  <si>
    <t>17103</t>
  </si>
  <si>
    <t>Livingston</t>
  </si>
  <si>
    <t>17105</t>
  </si>
  <si>
    <t>17107</t>
  </si>
  <si>
    <t>McDonough</t>
  </si>
  <si>
    <t>17109</t>
  </si>
  <si>
    <t>McHenry</t>
  </si>
  <si>
    <t>17111</t>
  </si>
  <si>
    <t>McLean</t>
  </si>
  <si>
    <t>17113</t>
  </si>
  <si>
    <t>17115</t>
  </si>
  <si>
    <t>Macoupin</t>
  </si>
  <si>
    <t>17117</t>
  </si>
  <si>
    <t>17119</t>
  </si>
  <si>
    <t>17121</t>
  </si>
  <si>
    <t>17123</t>
  </si>
  <si>
    <t>Mason</t>
  </si>
  <si>
    <t>17125</t>
  </si>
  <si>
    <t>Massac</t>
  </si>
  <si>
    <t>17127</t>
  </si>
  <si>
    <t>Menard</t>
  </si>
  <si>
    <t>17129</t>
  </si>
  <si>
    <t>Mercer</t>
  </si>
  <si>
    <t>17131</t>
  </si>
  <si>
    <t>17133</t>
  </si>
  <si>
    <t>17135</t>
  </si>
  <si>
    <t>17137</t>
  </si>
  <si>
    <t>Moultrie</t>
  </si>
  <si>
    <t>17139</t>
  </si>
  <si>
    <t>Ogle</t>
  </si>
  <si>
    <t>17141</t>
  </si>
  <si>
    <t>Peoria</t>
  </si>
  <si>
    <t>17143</t>
  </si>
  <si>
    <t>17145</t>
  </si>
  <si>
    <t>Piatt</t>
  </si>
  <si>
    <t>17147</t>
  </si>
  <si>
    <t>17149</t>
  </si>
  <si>
    <t>17151</t>
  </si>
  <si>
    <t>17153</t>
  </si>
  <si>
    <t>17155</t>
  </si>
  <si>
    <t>17157</t>
  </si>
  <si>
    <t>Richland</t>
  </si>
  <si>
    <t>17159</t>
  </si>
  <si>
    <t>Rock Island</t>
  </si>
  <si>
    <t>17161</t>
  </si>
  <si>
    <t>17163</t>
  </si>
  <si>
    <t>17165</t>
  </si>
  <si>
    <t>Sangamon</t>
  </si>
  <si>
    <t>17167</t>
  </si>
  <si>
    <t>Schuyler</t>
  </si>
  <si>
    <t>17169</t>
  </si>
  <si>
    <t>17171</t>
  </si>
  <si>
    <t>17173</t>
  </si>
  <si>
    <t>Stark</t>
  </si>
  <si>
    <t>17175</t>
  </si>
  <si>
    <t>Stephenson</t>
  </si>
  <si>
    <t>17177</t>
  </si>
  <si>
    <t>Tazewell</t>
  </si>
  <si>
    <t>17179</t>
  </si>
  <si>
    <t>17181</t>
  </si>
  <si>
    <t>Vermilion</t>
  </si>
  <si>
    <t>17183</t>
  </si>
  <si>
    <t>Wabash</t>
  </si>
  <si>
    <t>17185</t>
  </si>
  <si>
    <t>17187</t>
  </si>
  <si>
    <t>17189</t>
  </si>
  <si>
    <t>17191</t>
  </si>
  <si>
    <t>17193</t>
  </si>
  <si>
    <t>Whiteside</t>
  </si>
  <si>
    <t>17195</t>
  </si>
  <si>
    <t>Will</t>
  </si>
  <si>
    <t>17197</t>
  </si>
  <si>
    <t>Williamson</t>
  </si>
  <si>
    <t>17199</t>
  </si>
  <si>
    <t>Winnebago</t>
  </si>
  <si>
    <t>17201</t>
  </si>
  <si>
    <t>Woodford</t>
  </si>
  <si>
    <t>17203</t>
  </si>
  <si>
    <t>INDIANA</t>
  </si>
  <si>
    <t xml:space="preserve"> IN</t>
  </si>
  <si>
    <t>18001</t>
  </si>
  <si>
    <t>Allen</t>
  </si>
  <si>
    <t>18003</t>
  </si>
  <si>
    <t>Bartholomew</t>
  </si>
  <si>
    <t>18005</t>
  </si>
  <si>
    <t>18007</t>
  </si>
  <si>
    <t>Blackford</t>
  </si>
  <si>
    <t>18009</t>
  </si>
  <si>
    <t>18011</t>
  </si>
  <si>
    <t>18013</t>
  </si>
  <si>
    <t>18015</t>
  </si>
  <si>
    <t>18017</t>
  </si>
  <si>
    <t>18019</t>
  </si>
  <si>
    <t>18021</t>
  </si>
  <si>
    <t>18023</t>
  </si>
  <si>
    <t>18025</t>
  </si>
  <si>
    <t>Daviess</t>
  </si>
  <si>
    <t>18027</t>
  </si>
  <si>
    <t>Dearborn</t>
  </si>
  <si>
    <t>18029</t>
  </si>
  <si>
    <t>18031</t>
  </si>
  <si>
    <t>18033</t>
  </si>
  <si>
    <t>Delaware</t>
  </si>
  <si>
    <t>18035</t>
  </si>
  <si>
    <t>Dubois</t>
  </si>
  <si>
    <t>18037</t>
  </si>
  <si>
    <t>Elkhart</t>
  </si>
  <si>
    <t>18039</t>
  </si>
  <si>
    <t>18041</t>
  </si>
  <si>
    <t>18043</t>
  </si>
  <si>
    <t>Fountain</t>
  </si>
  <si>
    <t>18045</t>
  </si>
  <si>
    <t>18047</t>
  </si>
  <si>
    <t>18049</t>
  </si>
  <si>
    <t>Gibson</t>
  </si>
  <si>
    <t>18051</t>
  </si>
  <si>
    <t>18053</t>
  </si>
  <si>
    <t>18055</t>
  </si>
  <si>
    <t>18057</t>
  </si>
  <si>
    <t>18059</t>
  </si>
  <si>
    <t>Harrison</t>
  </si>
  <si>
    <t>18061</t>
  </si>
  <si>
    <t>Hendricks</t>
  </si>
  <si>
    <t>18063</t>
  </si>
  <si>
    <t>18065</t>
  </si>
  <si>
    <t>18067</t>
  </si>
  <si>
    <t>Huntington</t>
  </si>
  <si>
    <t>18069</t>
  </si>
  <si>
    <t>18071</t>
  </si>
  <si>
    <t>18073</t>
  </si>
  <si>
    <t>Jay</t>
  </si>
  <si>
    <t>18075</t>
  </si>
  <si>
    <t>18077</t>
  </si>
  <si>
    <t>Jennings</t>
  </si>
  <si>
    <t>18079</t>
  </si>
  <si>
    <t>18081</t>
  </si>
  <si>
    <t>18083</t>
  </si>
  <si>
    <t>Kosciusko</t>
  </si>
  <si>
    <t>18085</t>
  </si>
  <si>
    <t>LaGrange</t>
  </si>
  <si>
    <t>18087</t>
  </si>
  <si>
    <t>18089</t>
  </si>
  <si>
    <t>LaPorte</t>
  </si>
  <si>
    <t>18091</t>
  </si>
  <si>
    <t>18093</t>
  </si>
  <si>
    <t>18095</t>
  </si>
  <si>
    <t>18097</t>
  </si>
  <si>
    <t>18099</t>
  </si>
  <si>
    <t>18101</t>
  </si>
  <si>
    <t>Miami</t>
  </si>
  <si>
    <t>18103</t>
  </si>
  <si>
    <t>18105</t>
  </si>
  <si>
    <t>18107</t>
  </si>
  <si>
    <t>18109</t>
  </si>
  <si>
    <t>18111</t>
  </si>
  <si>
    <t>Noble</t>
  </si>
  <si>
    <t>18113</t>
  </si>
  <si>
    <t>Ohio</t>
  </si>
  <si>
    <t>18115</t>
  </si>
  <si>
    <t>18117</t>
  </si>
  <si>
    <t>Owen</t>
  </si>
  <si>
    <t>18119</t>
  </si>
  <si>
    <t>Parke</t>
  </si>
  <si>
    <t>18121</t>
  </si>
  <si>
    <t>18123</t>
  </si>
  <si>
    <t>18125</t>
  </si>
  <si>
    <t>Porter</t>
  </si>
  <si>
    <t>18127</t>
  </si>
  <si>
    <t>Posey</t>
  </si>
  <si>
    <t>18129</t>
  </si>
  <si>
    <t>18131</t>
  </si>
  <si>
    <t>18133</t>
  </si>
  <si>
    <t>18135</t>
  </si>
  <si>
    <t>Ripley</t>
  </si>
  <si>
    <t>18137</t>
  </si>
  <si>
    <t>Rush</t>
  </si>
  <si>
    <t>18139</t>
  </si>
  <si>
    <t>St. Joseph</t>
  </si>
  <si>
    <t>18141</t>
  </si>
  <si>
    <t>18143</t>
  </si>
  <si>
    <t>18145</t>
  </si>
  <si>
    <t>Spencer</t>
  </si>
  <si>
    <t>18147</t>
  </si>
  <si>
    <t>Starke</t>
  </si>
  <si>
    <t>18149</t>
  </si>
  <si>
    <t>Steuben</t>
  </si>
  <si>
    <t>18151</t>
  </si>
  <si>
    <t>Sullivan</t>
  </si>
  <si>
    <t>18153</t>
  </si>
  <si>
    <t>Switzerland</t>
  </si>
  <si>
    <t>18155</t>
  </si>
  <si>
    <t>Tippecanoe</t>
  </si>
  <si>
    <t>18157</t>
  </si>
  <si>
    <t>Tipton</t>
  </si>
  <si>
    <t>18159</t>
  </si>
  <si>
    <t>18161</t>
  </si>
  <si>
    <t>Vanderburgh</t>
  </si>
  <si>
    <t>18163</t>
  </si>
  <si>
    <t>Vermillion</t>
  </si>
  <si>
    <t>18165</t>
  </si>
  <si>
    <t>Vigo</t>
  </si>
  <si>
    <t>18167</t>
  </si>
  <si>
    <t>18169</t>
  </si>
  <si>
    <t>18171</t>
  </si>
  <si>
    <t>Warrick</t>
  </si>
  <si>
    <t>18173</t>
  </si>
  <si>
    <t>18175</t>
  </si>
  <si>
    <t>18177</t>
  </si>
  <si>
    <t>Wells</t>
  </si>
  <si>
    <t>18179</t>
  </si>
  <si>
    <t>18181</t>
  </si>
  <si>
    <t>Whitley</t>
  </si>
  <si>
    <t>18183</t>
  </si>
  <si>
    <t>IOWA</t>
  </si>
  <si>
    <t>Adair</t>
  </si>
  <si>
    <t xml:space="preserve"> IA</t>
  </si>
  <si>
    <t>19001</t>
  </si>
  <si>
    <t>19003</t>
  </si>
  <si>
    <t>Allamakee</t>
  </si>
  <si>
    <t>19005</t>
  </si>
  <si>
    <t>Appanoose</t>
  </si>
  <si>
    <t>19007</t>
  </si>
  <si>
    <t>Audubon</t>
  </si>
  <si>
    <t>19009</t>
  </si>
  <si>
    <t>19011</t>
  </si>
  <si>
    <t>Black Hawk</t>
  </si>
  <si>
    <t>19013</t>
  </si>
  <si>
    <t>19015</t>
  </si>
  <si>
    <t>Bremer</t>
  </si>
  <si>
    <t>19017</t>
  </si>
  <si>
    <t>Buchanan</t>
  </si>
  <si>
    <t>19019</t>
  </si>
  <si>
    <t>Buena Vista</t>
  </si>
  <si>
    <t>19021</t>
  </si>
  <si>
    <t>19023</t>
  </si>
  <si>
    <t>19025</t>
  </si>
  <si>
    <t>19027</t>
  </si>
  <si>
    <t>19029</t>
  </si>
  <si>
    <t>Cedar</t>
  </si>
  <si>
    <t>19031</t>
  </si>
  <si>
    <t>Cerro Gordo</t>
  </si>
  <si>
    <t>19033</t>
  </si>
  <si>
    <t>19035</t>
  </si>
  <si>
    <t>Chickasaw</t>
  </si>
  <si>
    <t>19037</t>
  </si>
  <si>
    <t>19039</t>
  </si>
  <si>
    <t>19041</t>
  </si>
  <si>
    <t>19043</t>
  </si>
  <si>
    <t>19045</t>
  </si>
  <si>
    <t>19047</t>
  </si>
  <si>
    <t>19049</t>
  </si>
  <si>
    <t>Davis</t>
  </si>
  <si>
    <t>19051</t>
  </si>
  <si>
    <t>19053</t>
  </si>
  <si>
    <t>19055</t>
  </si>
  <si>
    <t>Des Moines</t>
  </si>
  <si>
    <t>19057</t>
  </si>
  <si>
    <t>Dickinson</t>
  </si>
  <si>
    <t>19059</t>
  </si>
  <si>
    <t>Dubuque</t>
  </si>
  <si>
    <t>19061</t>
  </si>
  <si>
    <t>Emmet</t>
  </si>
  <si>
    <t>19063</t>
  </si>
  <si>
    <t>19065</t>
  </si>
  <si>
    <t>19067</t>
  </si>
  <si>
    <t>19069</t>
  </si>
  <si>
    <t>19071</t>
  </si>
  <si>
    <t>19073</t>
  </si>
  <si>
    <t>19075</t>
  </si>
  <si>
    <t>Guthrie</t>
  </si>
  <si>
    <t>19077</t>
  </si>
  <si>
    <t>19079</t>
  </si>
  <si>
    <t>19081</t>
  </si>
  <si>
    <t>19083</t>
  </si>
  <si>
    <t>19085</t>
  </si>
  <si>
    <t>19087</t>
  </si>
  <si>
    <t>19089</t>
  </si>
  <si>
    <t>19091</t>
  </si>
  <si>
    <t>Ida</t>
  </si>
  <si>
    <t>19093</t>
  </si>
  <si>
    <t>Iowa</t>
  </si>
  <si>
    <t>19095</t>
  </si>
  <si>
    <t>19097</t>
  </si>
  <si>
    <t>19099</t>
  </si>
  <si>
    <t>19101</t>
  </si>
  <si>
    <t>19103</t>
  </si>
  <si>
    <t>19105</t>
  </si>
  <si>
    <t>Keokuk</t>
  </si>
  <si>
    <t>19107</t>
  </si>
  <si>
    <t>Kossuth</t>
  </si>
  <si>
    <t>19109</t>
  </si>
  <si>
    <t>19111</t>
  </si>
  <si>
    <t>Linn</t>
  </si>
  <si>
    <t>19113</t>
  </si>
  <si>
    <t>Louisa</t>
  </si>
  <si>
    <t>19115</t>
  </si>
  <si>
    <t>Lucas</t>
  </si>
  <si>
    <t>19117</t>
  </si>
  <si>
    <t>Lyon</t>
  </si>
  <si>
    <t>19119</t>
  </si>
  <si>
    <t>19121</t>
  </si>
  <si>
    <t>Mahaska</t>
  </si>
  <si>
    <t>19123</t>
  </si>
  <si>
    <t>19125</t>
  </si>
  <si>
    <t>19127</t>
  </si>
  <si>
    <t>Mills</t>
  </si>
  <si>
    <t>19129</t>
  </si>
  <si>
    <t>19131</t>
  </si>
  <si>
    <t>Monona</t>
  </si>
  <si>
    <t>19133</t>
  </si>
  <si>
    <t>19135</t>
  </si>
  <si>
    <t>19137</t>
  </si>
  <si>
    <t>Muscatine</t>
  </si>
  <si>
    <t>19139</t>
  </si>
  <si>
    <t>O'Brien</t>
  </si>
  <si>
    <t>19141</t>
  </si>
  <si>
    <t>19143</t>
  </si>
  <si>
    <t>Page</t>
  </si>
  <si>
    <t>19145</t>
  </si>
  <si>
    <t>Palo Alto</t>
  </si>
  <si>
    <t>19147</t>
  </si>
  <si>
    <t>Plymouth</t>
  </si>
  <si>
    <t>19149</t>
  </si>
  <si>
    <t>Pocahontas</t>
  </si>
  <si>
    <t>19151</t>
  </si>
  <si>
    <t>19153</t>
  </si>
  <si>
    <t>Pottawattamie</t>
  </si>
  <si>
    <t>19155</t>
  </si>
  <si>
    <t>Poweshiek</t>
  </si>
  <si>
    <t>19157</t>
  </si>
  <si>
    <t>Ringgold</t>
  </si>
  <si>
    <t>19159</t>
  </si>
  <si>
    <t>Sac</t>
  </si>
  <si>
    <t>19161</t>
  </si>
  <si>
    <t>19163</t>
  </si>
  <si>
    <t>19165</t>
  </si>
  <si>
    <t>Sioux</t>
  </si>
  <si>
    <t>19167</t>
  </si>
  <si>
    <t>Story</t>
  </si>
  <si>
    <t>19169</t>
  </si>
  <si>
    <t>Tama</t>
  </si>
  <si>
    <t>19171</t>
  </si>
  <si>
    <t>19173</t>
  </si>
  <si>
    <t>19175</t>
  </si>
  <si>
    <t>19177</t>
  </si>
  <si>
    <t>Wapello</t>
  </si>
  <si>
    <t>19179</t>
  </si>
  <si>
    <t>19181</t>
  </si>
  <si>
    <t>19183</t>
  </si>
  <si>
    <t>19185</t>
  </si>
  <si>
    <t>19187</t>
  </si>
  <si>
    <t>19189</t>
  </si>
  <si>
    <t>Winneshiek</t>
  </si>
  <si>
    <t>19191</t>
  </si>
  <si>
    <t>Woodbury</t>
  </si>
  <si>
    <t>19193</t>
  </si>
  <si>
    <t>19195</t>
  </si>
  <si>
    <t>Wright</t>
  </si>
  <si>
    <t>19197</t>
  </si>
  <si>
    <t>KANSAS</t>
  </si>
  <si>
    <t xml:space="preserve"> KS</t>
  </si>
  <si>
    <t>20001</t>
  </si>
  <si>
    <t>Anderson</t>
  </si>
  <si>
    <t>20003</t>
  </si>
  <si>
    <t>Atchison</t>
  </si>
  <si>
    <t>20005</t>
  </si>
  <si>
    <t>Barber</t>
  </si>
  <si>
    <t>20007</t>
  </si>
  <si>
    <t>Barton</t>
  </si>
  <si>
    <t>20009</t>
  </si>
  <si>
    <t>Bourbon</t>
  </si>
  <si>
    <t>20011</t>
  </si>
  <si>
    <t>20013</t>
  </si>
  <si>
    <t>20015</t>
  </si>
  <si>
    <t>Chase</t>
  </si>
  <si>
    <t>20017</t>
  </si>
  <si>
    <t>Chautauqua</t>
  </si>
  <si>
    <t>20019</t>
  </si>
  <si>
    <t>20021</t>
  </si>
  <si>
    <t>20023</t>
  </si>
  <si>
    <t>20025</t>
  </si>
  <si>
    <t>20027</t>
  </si>
  <si>
    <t>Cloud</t>
  </si>
  <si>
    <t>20029</t>
  </si>
  <si>
    <t>Coffey</t>
  </si>
  <si>
    <t>20031</t>
  </si>
  <si>
    <t>Comanche</t>
  </si>
  <si>
    <t>20033</t>
  </si>
  <si>
    <t>Cowley</t>
  </si>
  <si>
    <t>20035</t>
  </si>
  <si>
    <t>20037</t>
  </si>
  <si>
    <t>20039</t>
  </si>
  <si>
    <t>20041</t>
  </si>
  <si>
    <t>Doniphan</t>
  </si>
  <si>
    <t>20043</t>
  </si>
  <si>
    <t>20045</t>
  </si>
  <si>
    <t>20047</t>
  </si>
  <si>
    <t>Elk</t>
  </si>
  <si>
    <t>20049</t>
  </si>
  <si>
    <t>Ellis</t>
  </si>
  <si>
    <t>20051</t>
  </si>
  <si>
    <t>Ellsworth</t>
  </si>
  <si>
    <t>20053</t>
  </si>
  <si>
    <t>Finney</t>
  </si>
  <si>
    <t>20055</t>
  </si>
  <si>
    <t>20057</t>
  </si>
  <si>
    <t>20059</t>
  </si>
  <si>
    <t>Geary</t>
  </si>
  <si>
    <t>20061</t>
  </si>
  <si>
    <t>Gove</t>
  </si>
  <si>
    <t>20063</t>
  </si>
  <si>
    <t>20065</t>
  </si>
  <si>
    <t>20067</t>
  </si>
  <si>
    <t>Gray</t>
  </si>
  <si>
    <t>20069</t>
  </si>
  <si>
    <t>Greeley</t>
  </si>
  <si>
    <t>20071</t>
  </si>
  <si>
    <t>Greenwood</t>
  </si>
  <si>
    <t>20073</t>
  </si>
  <si>
    <t>20075</t>
  </si>
  <si>
    <t>Harper</t>
  </si>
  <si>
    <t>20077</t>
  </si>
  <si>
    <t>Harvey</t>
  </si>
  <si>
    <t>20079</t>
  </si>
  <si>
    <t>Haskell</t>
  </si>
  <si>
    <t>20081</t>
  </si>
  <si>
    <t>Hodgeman</t>
  </si>
  <si>
    <t>20083</t>
  </si>
  <si>
    <t>20085</t>
  </si>
  <si>
    <t>20087</t>
  </si>
  <si>
    <t>Jewell</t>
  </si>
  <si>
    <t>20089</t>
  </si>
  <si>
    <t>20091</t>
  </si>
  <si>
    <t>Kearny</t>
  </si>
  <si>
    <t>20093</t>
  </si>
  <si>
    <t>Kingman</t>
  </si>
  <si>
    <t>20095</t>
  </si>
  <si>
    <t>20097</t>
  </si>
  <si>
    <t>Labette</t>
  </si>
  <si>
    <t>20099</t>
  </si>
  <si>
    <t>Lane</t>
  </si>
  <si>
    <t>20101</t>
  </si>
  <si>
    <t>Leavenworth</t>
  </si>
  <si>
    <t>20103</t>
  </si>
  <si>
    <t>20105</t>
  </si>
  <si>
    <t>20107</t>
  </si>
  <si>
    <t>20109</t>
  </si>
  <si>
    <t>20111</t>
  </si>
  <si>
    <t>McPherson</t>
  </si>
  <si>
    <t>20113</t>
  </si>
  <si>
    <t>20115</t>
  </si>
  <si>
    <t>20117</t>
  </si>
  <si>
    <t>Meade</t>
  </si>
  <si>
    <t>20119</t>
  </si>
  <si>
    <t>20121</t>
  </si>
  <si>
    <t>20123</t>
  </si>
  <si>
    <t>20125</t>
  </si>
  <si>
    <t>Morris</t>
  </si>
  <si>
    <t>20127</t>
  </si>
  <si>
    <t>Morton</t>
  </si>
  <si>
    <t>20129</t>
  </si>
  <si>
    <t>Nemaha</t>
  </si>
  <si>
    <t>20131</t>
  </si>
  <si>
    <t>Neosho</t>
  </si>
  <si>
    <t>20133</t>
  </si>
  <si>
    <t>Ness</t>
  </si>
  <si>
    <t>20135</t>
  </si>
  <si>
    <t>Norton</t>
  </si>
  <si>
    <t>20137</t>
  </si>
  <si>
    <t>Osage</t>
  </si>
  <si>
    <t>20139</t>
  </si>
  <si>
    <t>Osborne</t>
  </si>
  <si>
    <t>20141</t>
  </si>
  <si>
    <t>Ottawa</t>
  </si>
  <si>
    <t>20143</t>
  </si>
  <si>
    <t>Pawnee</t>
  </si>
  <si>
    <t>20145</t>
  </si>
  <si>
    <t>20147</t>
  </si>
  <si>
    <t>Pottawatomie</t>
  </si>
  <si>
    <t>20149</t>
  </si>
  <si>
    <t>Pratt</t>
  </si>
  <si>
    <t>20151</t>
  </si>
  <si>
    <t>Rawlins</t>
  </si>
  <si>
    <t>20153</t>
  </si>
  <si>
    <t>Reno</t>
  </si>
  <si>
    <t>20155</t>
  </si>
  <si>
    <t>Republic</t>
  </si>
  <si>
    <t>20157</t>
  </si>
  <si>
    <t>Rice</t>
  </si>
  <si>
    <t>20159</t>
  </si>
  <si>
    <t>Riley</t>
  </si>
  <si>
    <t>20161</t>
  </si>
  <si>
    <t>Rooks</t>
  </si>
  <si>
    <t>20163</t>
  </si>
  <si>
    <t>20165</t>
  </si>
  <si>
    <t>20167</t>
  </si>
  <si>
    <t>20169</t>
  </si>
  <si>
    <t>20171</t>
  </si>
  <si>
    <t>20173</t>
  </si>
  <si>
    <t>Seward</t>
  </si>
  <si>
    <t>20175</t>
  </si>
  <si>
    <t>Shawnee</t>
  </si>
  <si>
    <t>20177</t>
  </si>
  <si>
    <t>Sheridan</t>
  </si>
  <si>
    <t>20179</t>
  </si>
  <si>
    <t>Sherman</t>
  </si>
  <si>
    <t>20181</t>
  </si>
  <si>
    <t>Smith</t>
  </si>
  <si>
    <t>20183</t>
  </si>
  <si>
    <t>Stafford</t>
  </si>
  <si>
    <t>20185</t>
  </si>
  <si>
    <t>Stanton</t>
  </si>
  <si>
    <t>20187</t>
  </si>
  <si>
    <t>Stevens</t>
  </si>
  <si>
    <t>20189</t>
  </si>
  <si>
    <t>Sumner</t>
  </si>
  <si>
    <t>20191</t>
  </si>
  <si>
    <t>20193</t>
  </si>
  <si>
    <t>Trego</t>
  </si>
  <si>
    <t>20195</t>
  </si>
  <si>
    <t>Wabaunsee</t>
  </si>
  <si>
    <t>20197</t>
  </si>
  <si>
    <t>Wallace</t>
  </si>
  <si>
    <t>20199</t>
  </si>
  <si>
    <t>20201</t>
  </si>
  <si>
    <t>Wichita</t>
  </si>
  <si>
    <t>20203</t>
  </si>
  <si>
    <t>Wilson</t>
  </si>
  <si>
    <t>20205</t>
  </si>
  <si>
    <t>Woodson</t>
  </si>
  <si>
    <t>20207</t>
  </si>
  <si>
    <t>Wyandotte</t>
  </si>
  <si>
    <t>20209</t>
  </si>
  <si>
    <t>KENTUCKY</t>
  </si>
  <si>
    <t xml:space="preserve"> KY</t>
  </si>
  <si>
    <t>21001</t>
  </si>
  <si>
    <t>21003</t>
  </si>
  <si>
    <t>21005</t>
  </si>
  <si>
    <t>Ballard</t>
  </si>
  <si>
    <t>21007</t>
  </si>
  <si>
    <t>Barren</t>
  </si>
  <si>
    <t>21009</t>
  </si>
  <si>
    <t>Bath</t>
  </si>
  <si>
    <t>21011</t>
  </si>
  <si>
    <t>Bell</t>
  </si>
  <si>
    <t>21013</t>
  </si>
  <si>
    <t>21015</t>
  </si>
  <si>
    <t>21017</t>
  </si>
  <si>
    <t>Boyd</t>
  </si>
  <si>
    <t>21019</t>
  </si>
  <si>
    <t>Boyle</t>
  </si>
  <si>
    <t>21021</t>
  </si>
  <si>
    <t>Bracken</t>
  </si>
  <si>
    <t>21023</t>
  </si>
  <si>
    <t>Breathitt</t>
  </si>
  <si>
    <t>21025</t>
  </si>
  <si>
    <t>Breckinridge</t>
  </si>
  <si>
    <t>21027</t>
  </si>
  <si>
    <t>Bullitt</t>
  </si>
  <si>
    <t>21029</t>
  </si>
  <si>
    <t>21031</t>
  </si>
  <si>
    <t>Caldwell</t>
  </si>
  <si>
    <t>21033</t>
  </si>
  <si>
    <t>Calloway</t>
  </si>
  <si>
    <t>21035</t>
  </si>
  <si>
    <t>Campbell</t>
  </si>
  <si>
    <t>21037</t>
  </si>
  <si>
    <t>Carlisle</t>
  </si>
  <si>
    <t>21039</t>
  </si>
  <si>
    <t>21041</t>
  </si>
  <si>
    <t>Carter</t>
  </si>
  <si>
    <t>21043</t>
  </si>
  <si>
    <t>Casey</t>
  </si>
  <si>
    <t>21045</t>
  </si>
  <si>
    <t>21047</t>
  </si>
  <si>
    <t>21049</t>
  </si>
  <si>
    <t>21051</t>
  </si>
  <si>
    <t>21053</t>
  </si>
  <si>
    <t>21055</t>
  </si>
  <si>
    <t>21057</t>
  </si>
  <si>
    <t>21059</t>
  </si>
  <si>
    <t>Edmonson</t>
  </si>
  <si>
    <t>21061</t>
  </si>
  <si>
    <t>Elliott</t>
  </si>
  <si>
    <t>21063</t>
  </si>
  <si>
    <t>Estill</t>
  </si>
  <si>
    <t>21065</t>
  </si>
  <si>
    <t>21067</t>
  </si>
  <si>
    <t>Fleming</t>
  </si>
  <si>
    <t>21069</t>
  </si>
  <si>
    <t>21071</t>
  </si>
  <si>
    <t>21073</t>
  </si>
  <si>
    <t>21075</t>
  </si>
  <si>
    <t>21077</t>
  </si>
  <si>
    <t>Garrard</t>
  </si>
  <si>
    <t>21079</t>
  </si>
  <si>
    <t>21081</t>
  </si>
  <si>
    <t>Graves</t>
  </si>
  <si>
    <t>21083</t>
  </si>
  <si>
    <t>Grayson</t>
  </si>
  <si>
    <t>21085</t>
  </si>
  <si>
    <t>Green</t>
  </si>
  <si>
    <t>21087</t>
  </si>
  <si>
    <t>Greenup</t>
  </si>
  <si>
    <t>21089</t>
  </si>
  <si>
    <t>21091</t>
  </si>
  <si>
    <t>21093</t>
  </si>
  <si>
    <t>Harlan</t>
  </si>
  <si>
    <t>21095</t>
  </si>
  <si>
    <t>21097</t>
  </si>
  <si>
    <t>21099</t>
  </si>
  <si>
    <t>21101</t>
  </si>
  <si>
    <t>21103</t>
  </si>
  <si>
    <t>Hickman</t>
  </si>
  <si>
    <t>21105</t>
  </si>
  <si>
    <t>Hopkins</t>
  </si>
  <si>
    <t>21107</t>
  </si>
  <si>
    <t>21109</t>
  </si>
  <si>
    <t>21111</t>
  </si>
  <si>
    <t>Jessamine</t>
  </si>
  <si>
    <t>21113</t>
  </si>
  <si>
    <t>21115</t>
  </si>
  <si>
    <t>Kenton</t>
  </si>
  <si>
    <t>21117</t>
  </si>
  <si>
    <t>Knott</t>
  </si>
  <si>
    <t>21119</t>
  </si>
  <si>
    <t>21121</t>
  </si>
  <si>
    <t>Larue</t>
  </si>
  <si>
    <t>21123</t>
  </si>
  <si>
    <t>Laurel</t>
  </si>
  <si>
    <t>21125</t>
  </si>
  <si>
    <t>21127</t>
  </si>
  <si>
    <t>21129</t>
  </si>
  <si>
    <t>Leslie</t>
  </si>
  <si>
    <t>21131</t>
  </si>
  <si>
    <t>Letcher</t>
  </si>
  <si>
    <t>21133</t>
  </si>
  <si>
    <t>21135</t>
  </si>
  <si>
    <t>21137</t>
  </si>
  <si>
    <t>21139</t>
  </si>
  <si>
    <t>21141</t>
  </si>
  <si>
    <t>21143</t>
  </si>
  <si>
    <t>McCracken</t>
  </si>
  <si>
    <t>21145</t>
  </si>
  <si>
    <t>McCreary</t>
  </si>
  <si>
    <t>21147</t>
  </si>
  <si>
    <t>21149</t>
  </si>
  <si>
    <t>21151</t>
  </si>
  <si>
    <t>Magoffin</t>
  </si>
  <si>
    <t>21153</t>
  </si>
  <si>
    <t>21155</t>
  </si>
  <si>
    <t>21157</t>
  </si>
  <si>
    <t>21159</t>
  </si>
  <si>
    <t>21161</t>
  </si>
  <si>
    <t>21163</t>
  </si>
  <si>
    <t>Menifee</t>
  </si>
  <si>
    <t>21165</t>
  </si>
  <si>
    <t>21167</t>
  </si>
  <si>
    <t>Metcalfe</t>
  </si>
  <si>
    <t>21169</t>
  </si>
  <si>
    <t>21171</t>
  </si>
  <si>
    <t>21173</t>
  </si>
  <si>
    <t>21175</t>
  </si>
  <si>
    <t>Muhlenberg</t>
  </si>
  <si>
    <t>21177</t>
  </si>
  <si>
    <t>Nelson</t>
  </si>
  <si>
    <t>21179</t>
  </si>
  <si>
    <t>Nicholas</t>
  </si>
  <si>
    <t>21181</t>
  </si>
  <si>
    <t>21183</t>
  </si>
  <si>
    <t>Oldham</t>
  </si>
  <si>
    <t>21185</t>
  </si>
  <si>
    <t>21187</t>
  </si>
  <si>
    <t>Owsley</t>
  </si>
  <si>
    <t>21189</t>
  </si>
  <si>
    <t>Pendleton</t>
  </si>
  <si>
    <t>21191</t>
  </si>
  <si>
    <t>21193</t>
  </si>
  <si>
    <t>21195</t>
  </si>
  <si>
    <t>Powell</t>
  </si>
  <si>
    <t>21197</t>
  </si>
  <si>
    <t>21199</t>
  </si>
  <si>
    <t>Robertson</t>
  </si>
  <si>
    <t>21201</t>
  </si>
  <si>
    <t>Rockcastle</t>
  </si>
  <si>
    <t>21203</t>
  </si>
  <si>
    <t>Rowan</t>
  </si>
  <si>
    <t>21205</t>
  </si>
  <si>
    <t>21207</t>
  </si>
  <si>
    <t>21209</t>
  </si>
  <si>
    <t>21211</t>
  </si>
  <si>
    <t>Simpson</t>
  </si>
  <si>
    <t>21213</t>
  </si>
  <si>
    <t>21215</t>
  </si>
  <si>
    <t>21217</t>
  </si>
  <si>
    <t>Todd</t>
  </si>
  <si>
    <t>21219</t>
  </si>
  <si>
    <t>Trigg</t>
  </si>
  <si>
    <t>21221</t>
  </si>
  <si>
    <t>Trimble</t>
  </si>
  <si>
    <t>21223</t>
  </si>
  <si>
    <t>21225</t>
  </si>
  <si>
    <t>21227</t>
  </si>
  <si>
    <t>21229</t>
  </si>
  <si>
    <t>21231</t>
  </si>
  <si>
    <t>21233</t>
  </si>
  <si>
    <t>21235</t>
  </si>
  <si>
    <t>Wolfe</t>
  </si>
  <si>
    <t>21237</t>
  </si>
  <si>
    <t>21239</t>
  </si>
  <si>
    <t>LOUISIANA</t>
  </si>
  <si>
    <t>Acadia</t>
  </si>
  <si>
    <t xml:space="preserve"> LA</t>
  </si>
  <si>
    <t>22001</t>
  </si>
  <si>
    <t>22003</t>
  </si>
  <si>
    <t>Ascension</t>
  </si>
  <si>
    <t>22005</t>
  </si>
  <si>
    <t>Assumption</t>
  </si>
  <si>
    <t>22007</t>
  </si>
  <si>
    <t>Avoyelles</t>
  </si>
  <si>
    <t>22009</t>
  </si>
  <si>
    <t>Beauregard</t>
  </si>
  <si>
    <t>22011</t>
  </si>
  <si>
    <t>Bienville</t>
  </si>
  <si>
    <t>22013</t>
  </si>
  <si>
    <t>Bossier</t>
  </si>
  <si>
    <t>22015</t>
  </si>
  <si>
    <t>Caddo</t>
  </si>
  <si>
    <t>22017</t>
  </si>
  <si>
    <t>Calcasieu</t>
  </si>
  <si>
    <t>22019</t>
  </si>
  <si>
    <t>22021</t>
  </si>
  <si>
    <t>Cameron</t>
  </si>
  <si>
    <t>22023</t>
  </si>
  <si>
    <t>Catahoula</t>
  </si>
  <si>
    <t>22025</t>
  </si>
  <si>
    <t>Claiborne</t>
  </si>
  <si>
    <t>22027</t>
  </si>
  <si>
    <t>Concordia</t>
  </si>
  <si>
    <t>22029</t>
  </si>
  <si>
    <t>De Soto</t>
  </si>
  <si>
    <t>22031</t>
  </si>
  <si>
    <t>East Baton Rouge</t>
  </si>
  <si>
    <t>22033</t>
  </si>
  <si>
    <t>East Carroll</t>
  </si>
  <si>
    <t>22035</t>
  </si>
  <si>
    <t>East Feliciana</t>
  </si>
  <si>
    <t>22037</t>
  </si>
  <si>
    <t>Evangeline</t>
  </si>
  <si>
    <t>22039</t>
  </si>
  <si>
    <t>22041</t>
  </si>
  <si>
    <t>22043</t>
  </si>
  <si>
    <t>Iberia</t>
  </si>
  <si>
    <t>22045</t>
  </si>
  <si>
    <t>Iberville</t>
  </si>
  <si>
    <t>22047</t>
  </si>
  <si>
    <t>22049</t>
  </si>
  <si>
    <t>22051</t>
  </si>
  <si>
    <t>Jefferson Davis</t>
  </si>
  <si>
    <t>22053</t>
  </si>
  <si>
    <t>22055</t>
  </si>
  <si>
    <t>Lafourche</t>
  </si>
  <si>
    <t>22057</t>
  </si>
  <si>
    <t>La Salle</t>
  </si>
  <si>
    <t>22059</t>
  </si>
  <si>
    <t>22061</t>
  </si>
  <si>
    <t>22063</t>
  </si>
  <si>
    <t>22065</t>
  </si>
  <si>
    <t>Morehouse</t>
  </si>
  <si>
    <t>22067</t>
  </si>
  <si>
    <t>Natchitoches</t>
  </si>
  <si>
    <t>22069</t>
  </si>
  <si>
    <t>Orleans</t>
  </si>
  <si>
    <t>22071</t>
  </si>
  <si>
    <t>22073</t>
  </si>
  <si>
    <t>Plaquemines</t>
  </si>
  <si>
    <t>22075</t>
  </si>
  <si>
    <t>Pointe Coupee</t>
  </si>
  <si>
    <t>22077</t>
  </si>
  <si>
    <t>Rapides</t>
  </si>
  <si>
    <t>22079</t>
  </si>
  <si>
    <t>Red River</t>
  </si>
  <si>
    <t>22081</t>
  </si>
  <si>
    <t>22083</t>
  </si>
  <si>
    <t>Sabine</t>
  </si>
  <si>
    <t>22085</t>
  </si>
  <si>
    <t>St. Bernard</t>
  </si>
  <si>
    <t>22087</t>
  </si>
  <si>
    <t>St. Charles</t>
  </si>
  <si>
    <t>22089</t>
  </si>
  <si>
    <t>St. Helena</t>
  </si>
  <si>
    <t>22091</t>
  </si>
  <si>
    <t>St. James</t>
  </si>
  <si>
    <t>22093</t>
  </si>
  <si>
    <t>St. John the Baptist</t>
  </si>
  <si>
    <t>22095</t>
  </si>
  <si>
    <t>St. Landry</t>
  </si>
  <si>
    <t>22097</t>
  </si>
  <si>
    <t>St. Martin</t>
  </si>
  <si>
    <t>22099</t>
  </si>
  <si>
    <t>St. Mary</t>
  </si>
  <si>
    <t>22101</t>
  </si>
  <si>
    <t>St. Tammany</t>
  </si>
  <si>
    <t>22103</t>
  </si>
  <si>
    <t>Tangipahoa</t>
  </si>
  <si>
    <t>22105</t>
  </si>
  <si>
    <t>Tensas</t>
  </si>
  <si>
    <t>22107</t>
  </si>
  <si>
    <t>Terrebonne</t>
  </si>
  <si>
    <t>22109</t>
  </si>
  <si>
    <t>22111</t>
  </si>
  <si>
    <t>22113</t>
  </si>
  <si>
    <t>Vernon</t>
  </si>
  <si>
    <t>22115</t>
  </si>
  <si>
    <t>22117</t>
  </si>
  <si>
    <t>22119</t>
  </si>
  <si>
    <t>West Baton Rouge</t>
  </si>
  <si>
    <t>22121</t>
  </si>
  <si>
    <t>West Carroll</t>
  </si>
  <si>
    <t>22123</t>
  </si>
  <si>
    <t>West Feliciana</t>
  </si>
  <si>
    <t>22125</t>
  </si>
  <si>
    <t>Winn</t>
  </si>
  <si>
    <t>22127</t>
  </si>
  <si>
    <t>MAINE</t>
  </si>
  <si>
    <t>Androscoggin</t>
  </si>
  <si>
    <t xml:space="preserve"> ME</t>
  </si>
  <si>
    <t>23001</t>
  </si>
  <si>
    <t>Aroostook</t>
  </si>
  <si>
    <t>23003</t>
  </si>
  <si>
    <t>23005</t>
  </si>
  <si>
    <t>23007</t>
  </si>
  <si>
    <t>23009</t>
  </si>
  <si>
    <t>Kennebec</t>
  </si>
  <si>
    <t>23011</t>
  </si>
  <si>
    <t>23013</t>
  </si>
  <si>
    <t>23015</t>
  </si>
  <si>
    <t>Oxford</t>
  </si>
  <si>
    <t>23017</t>
  </si>
  <si>
    <t>Penobscot</t>
  </si>
  <si>
    <t>23019</t>
  </si>
  <si>
    <t>Piscataquis</t>
  </si>
  <si>
    <t>23021</t>
  </si>
  <si>
    <t>Sagadahoc</t>
  </si>
  <si>
    <t>23023</t>
  </si>
  <si>
    <t>Somerset</t>
  </si>
  <si>
    <t>23025</t>
  </si>
  <si>
    <t>Waldo</t>
  </si>
  <si>
    <t>23027</t>
  </si>
  <si>
    <t>23029</t>
  </si>
  <si>
    <t>York</t>
  </si>
  <si>
    <t>23031</t>
  </si>
  <si>
    <t>MARYLAND</t>
  </si>
  <si>
    <t>Allegany</t>
  </si>
  <si>
    <t xml:space="preserve"> MD</t>
  </si>
  <si>
    <t>24001</t>
  </si>
  <si>
    <t>Anne Arundel</t>
  </si>
  <si>
    <t>24003</t>
  </si>
  <si>
    <t>Baltimore</t>
  </si>
  <si>
    <t>24005</t>
  </si>
  <si>
    <t>Calvert</t>
  </si>
  <si>
    <t>24009</t>
  </si>
  <si>
    <t>Caroline</t>
  </si>
  <si>
    <t>24011</t>
  </si>
  <si>
    <t>24013</t>
  </si>
  <si>
    <t>Cecil</t>
  </si>
  <si>
    <t>24015</t>
  </si>
  <si>
    <t>Charles</t>
  </si>
  <si>
    <t>24017</t>
  </si>
  <si>
    <t>Dorchester</t>
  </si>
  <si>
    <t>24019</t>
  </si>
  <si>
    <t>Frederick</t>
  </si>
  <si>
    <t>24021</t>
  </si>
  <si>
    <t>Garrett</t>
  </si>
  <si>
    <t>24023</t>
  </si>
  <si>
    <t>Harford</t>
  </si>
  <si>
    <t>24025</t>
  </si>
  <si>
    <t>24027</t>
  </si>
  <si>
    <t>24029</t>
  </si>
  <si>
    <t>24031</t>
  </si>
  <si>
    <t>Prince George's</t>
  </si>
  <si>
    <t>24033</t>
  </si>
  <si>
    <t>Queen Anne's</t>
  </si>
  <si>
    <t>24035</t>
  </si>
  <si>
    <t>St. Mary's</t>
  </si>
  <si>
    <t>24037</t>
  </si>
  <si>
    <t>24039</t>
  </si>
  <si>
    <t>24041</t>
  </si>
  <si>
    <t>24043</t>
  </si>
  <si>
    <t>Wicomico</t>
  </si>
  <si>
    <t>24045</t>
  </si>
  <si>
    <t>Worcester</t>
  </si>
  <si>
    <t>24047</t>
  </si>
  <si>
    <t>Baltimore city</t>
  </si>
  <si>
    <t>24510</t>
  </si>
  <si>
    <t>MASSACHUSETTS</t>
  </si>
  <si>
    <t>Barnstable</t>
  </si>
  <si>
    <t xml:space="preserve"> MA</t>
  </si>
  <si>
    <t>25001</t>
  </si>
  <si>
    <t>Berkshire</t>
  </si>
  <si>
    <t>25003</t>
  </si>
  <si>
    <t>Bristol</t>
  </si>
  <si>
    <t>25005</t>
  </si>
  <si>
    <t>Dukes</t>
  </si>
  <si>
    <t>25007</t>
  </si>
  <si>
    <t>Essex</t>
  </si>
  <si>
    <t>25009</t>
  </si>
  <si>
    <t>25011</t>
  </si>
  <si>
    <t>Hampden</t>
  </si>
  <si>
    <t>25013</t>
  </si>
  <si>
    <t>Hampshire</t>
  </si>
  <si>
    <t>25015</t>
  </si>
  <si>
    <t>25017</t>
  </si>
  <si>
    <t>Nantucket</t>
  </si>
  <si>
    <t>25019</t>
  </si>
  <si>
    <t>Norfolk</t>
  </si>
  <si>
    <t>25021</t>
  </si>
  <si>
    <t>25023</t>
  </si>
  <si>
    <t>Suffolk</t>
  </si>
  <si>
    <t>25025</t>
  </si>
  <si>
    <t>25027</t>
  </si>
  <si>
    <t>MICHIGAN</t>
  </si>
  <si>
    <t>Alcona</t>
  </si>
  <si>
    <t xml:space="preserve"> MI</t>
  </si>
  <si>
    <t>26001</t>
  </si>
  <si>
    <t>Alger</t>
  </si>
  <si>
    <t>26003</t>
  </si>
  <si>
    <t>Allegan</t>
  </si>
  <si>
    <t>26005</t>
  </si>
  <si>
    <t>Alpena</t>
  </si>
  <si>
    <t>26007</t>
  </si>
  <si>
    <t>Antrim</t>
  </si>
  <si>
    <t>26009</t>
  </si>
  <si>
    <t>Arenac</t>
  </si>
  <si>
    <t>26011</t>
  </si>
  <si>
    <t>Baraga</t>
  </si>
  <si>
    <t>26013</t>
  </si>
  <si>
    <t>Barry</t>
  </si>
  <si>
    <t>26015</t>
  </si>
  <si>
    <t>26017</t>
  </si>
  <si>
    <t>Benzie</t>
  </si>
  <si>
    <t>26019</t>
  </si>
  <si>
    <t>26021</t>
  </si>
  <si>
    <t>Branch</t>
  </si>
  <si>
    <t>26023</t>
  </si>
  <si>
    <t>26025</t>
  </si>
  <si>
    <t>26027</t>
  </si>
  <si>
    <t>Charlevoix</t>
  </si>
  <si>
    <t>26029</t>
  </si>
  <si>
    <t>Cheboygan</t>
  </si>
  <si>
    <t>26031</t>
  </si>
  <si>
    <t>Chippewa</t>
  </si>
  <si>
    <t>26033</t>
  </si>
  <si>
    <t>Clare</t>
  </si>
  <si>
    <t>26035</t>
  </si>
  <si>
    <t>26037</t>
  </si>
  <si>
    <t>26039</t>
  </si>
  <si>
    <t>26041</t>
  </si>
  <si>
    <t>26043</t>
  </si>
  <si>
    <t>Eaton</t>
  </si>
  <si>
    <t>26045</t>
  </si>
  <si>
    <t>26047</t>
  </si>
  <si>
    <t>Genesee</t>
  </si>
  <si>
    <t>26049</t>
  </si>
  <si>
    <t>Gladwin</t>
  </si>
  <si>
    <t>26051</t>
  </si>
  <si>
    <t>Gogebic</t>
  </si>
  <si>
    <t>26053</t>
  </si>
  <si>
    <t>Grand Traverse</t>
  </si>
  <si>
    <t>26055</t>
  </si>
  <si>
    <t>Gratiot</t>
  </si>
  <si>
    <t>26057</t>
  </si>
  <si>
    <t>Hillsdale</t>
  </si>
  <si>
    <t>26059</t>
  </si>
  <si>
    <t>Houghton</t>
  </si>
  <si>
    <t>26061</t>
  </si>
  <si>
    <t>Huron</t>
  </si>
  <si>
    <t>26063</t>
  </si>
  <si>
    <t>Ingham</t>
  </si>
  <si>
    <t>26065</t>
  </si>
  <si>
    <t>Ionia</t>
  </si>
  <si>
    <t>26067</t>
  </si>
  <si>
    <t>Iosco</t>
  </si>
  <si>
    <t>26069</t>
  </si>
  <si>
    <t>Iron</t>
  </si>
  <si>
    <t>26071</t>
  </si>
  <si>
    <t>Isabella</t>
  </si>
  <si>
    <t>26073</t>
  </si>
  <si>
    <t>26075</t>
  </si>
  <si>
    <t>Kalamazoo</t>
  </si>
  <si>
    <t>26077</t>
  </si>
  <si>
    <t>Kalkaska</t>
  </si>
  <si>
    <t>26079</t>
  </si>
  <si>
    <t>26081</t>
  </si>
  <si>
    <t>Keweenaw</t>
  </si>
  <si>
    <t>26083</t>
  </si>
  <si>
    <t>26085</t>
  </si>
  <si>
    <t>Lapeer</t>
  </si>
  <si>
    <t>26087</t>
  </si>
  <si>
    <t>Leelanau</t>
  </si>
  <si>
    <t>26089</t>
  </si>
  <si>
    <t>Lenawee</t>
  </si>
  <si>
    <t>26091</t>
  </si>
  <si>
    <t>26093</t>
  </si>
  <si>
    <t>Luce</t>
  </si>
  <si>
    <t>26095</t>
  </si>
  <si>
    <t>Mackinac</t>
  </si>
  <si>
    <t>26097</t>
  </si>
  <si>
    <t>Macomb</t>
  </si>
  <si>
    <t>26099</t>
  </si>
  <si>
    <t>Manistee</t>
  </si>
  <si>
    <t>26101</t>
  </si>
  <si>
    <t>Marquette</t>
  </si>
  <si>
    <t>26103</t>
  </si>
  <si>
    <t>26105</t>
  </si>
  <si>
    <t>Mecosta</t>
  </si>
  <si>
    <t>26107</t>
  </si>
  <si>
    <t>Menominee</t>
  </si>
  <si>
    <t>26109</t>
  </si>
  <si>
    <t>Midland</t>
  </si>
  <si>
    <t>26111</t>
  </si>
  <si>
    <t>Missaukee</t>
  </si>
  <si>
    <t>26113</t>
  </si>
  <si>
    <t>26115</t>
  </si>
  <si>
    <t>Montcalm</t>
  </si>
  <si>
    <t>26117</t>
  </si>
  <si>
    <t>Montmorency</t>
  </si>
  <si>
    <t>26119</t>
  </si>
  <si>
    <t>Muskegon</t>
  </si>
  <si>
    <t>26121</t>
  </si>
  <si>
    <t>Newaygo</t>
  </si>
  <si>
    <t>26123</t>
  </si>
  <si>
    <t>Oakland</t>
  </si>
  <si>
    <t>26125</t>
  </si>
  <si>
    <t>Oceana</t>
  </si>
  <si>
    <t>26127</t>
  </si>
  <si>
    <t>Ogemaw</t>
  </si>
  <si>
    <t>26129</t>
  </si>
  <si>
    <t>Ontonagon</t>
  </si>
  <si>
    <t>26131</t>
  </si>
  <si>
    <t>26133</t>
  </si>
  <si>
    <t>Oscoda</t>
  </si>
  <si>
    <t>26135</t>
  </si>
  <si>
    <t>Otsego</t>
  </si>
  <si>
    <t>26137</t>
  </si>
  <si>
    <t>26139</t>
  </si>
  <si>
    <t>Presque Isle</t>
  </si>
  <si>
    <t>26141</t>
  </si>
  <si>
    <t>Roscommon</t>
  </si>
  <si>
    <t>26143</t>
  </si>
  <si>
    <t>Saginaw</t>
  </si>
  <si>
    <t>26145</t>
  </si>
  <si>
    <t>26147</t>
  </si>
  <si>
    <t>26149</t>
  </si>
  <si>
    <t>Sanilac</t>
  </si>
  <si>
    <t>26151</t>
  </si>
  <si>
    <t>Schoolcraft</t>
  </si>
  <si>
    <t>26153</t>
  </si>
  <si>
    <t>Shiawassee</t>
  </si>
  <si>
    <t>26155</t>
  </si>
  <si>
    <t>Tuscola</t>
  </si>
  <si>
    <t>26157</t>
  </si>
  <si>
    <t>26159</t>
  </si>
  <si>
    <t>Washtenaw</t>
  </si>
  <si>
    <t>26161</t>
  </si>
  <si>
    <t>26163</t>
  </si>
  <si>
    <t>Wexford</t>
  </si>
  <si>
    <t>26165</t>
  </si>
  <si>
    <t>MINNESOTA</t>
  </si>
  <si>
    <t>Aitkin</t>
  </si>
  <si>
    <t xml:space="preserve"> MN</t>
  </si>
  <si>
    <t>27001</t>
  </si>
  <si>
    <t>Anoka</t>
  </si>
  <si>
    <t>27003</t>
  </si>
  <si>
    <t>Becker</t>
  </si>
  <si>
    <t>27005</t>
  </si>
  <si>
    <t>Beltrami</t>
  </si>
  <si>
    <t>27007</t>
  </si>
  <si>
    <t>27009</t>
  </si>
  <si>
    <t>Big Stone</t>
  </si>
  <si>
    <t>27011</t>
  </si>
  <si>
    <t>Blue Earth</t>
  </si>
  <si>
    <t>27013</t>
  </si>
  <si>
    <t>27015</t>
  </si>
  <si>
    <t>Carlton</t>
  </si>
  <si>
    <t>27017</t>
  </si>
  <si>
    <t>Carver</t>
  </si>
  <si>
    <t>27019</t>
  </si>
  <si>
    <t>27021</t>
  </si>
  <si>
    <t>27023</t>
  </si>
  <si>
    <t>Chisago</t>
  </si>
  <si>
    <t>27025</t>
  </si>
  <si>
    <t>27027</t>
  </si>
  <si>
    <t>27029</t>
  </si>
  <si>
    <t>27031</t>
  </si>
  <si>
    <t>Cottonwood</t>
  </si>
  <si>
    <t>27033</t>
  </si>
  <si>
    <t>Crow Wing</t>
  </si>
  <si>
    <t>27035</t>
  </si>
  <si>
    <t>Dakota</t>
  </si>
  <si>
    <t>27037</t>
  </si>
  <si>
    <t>27039</t>
  </si>
  <si>
    <t>27041</t>
  </si>
  <si>
    <t>Faribault</t>
  </si>
  <si>
    <t>27043</t>
  </si>
  <si>
    <t>Fillmore</t>
  </si>
  <si>
    <t>27045</t>
  </si>
  <si>
    <t>Freeborn</t>
  </si>
  <si>
    <t>27047</t>
  </si>
  <si>
    <t>Goodhue</t>
  </si>
  <si>
    <t>27049</t>
  </si>
  <si>
    <t>27051</t>
  </si>
  <si>
    <t>Hennepin</t>
  </si>
  <si>
    <t>27053</t>
  </si>
  <si>
    <t>27055</t>
  </si>
  <si>
    <t>Hubbard</t>
  </si>
  <si>
    <t>27057</t>
  </si>
  <si>
    <t>Isanti</t>
  </si>
  <si>
    <t>27059</t>
  </si>
  <si>
    <t>Itasca</t>
  </si>
  <si>
    <t>27061</t>
  </si>
  <si>
    <t>27063</t>
  </si>
  <si>
    <t>Kanabec</t>
  </si>
  <si>
    <t>27065</t>
  </si>
  <si>
    <t>Kandiyohi</t>
  </si>
  <si>
    <t>27067</t>
  </si>
  <si>
    <t>Kittson</t>
  </si>
  <si>
    <t>27069</t>
  </si>
  <si>
    <t>Koochiching</t>
  </si>
  <si>
    <t>27071</t>
  </si>
  <si>
    <t>Lac qui Parle</t>
  </si>
  <si>
    <t>27073</t>
  </si>
  <si>
    <t>27075</t>
  </si>
  <si>
    <t>Lake of the Woods</t>
  </si>
  <si>
    <t>27077</t>
  </si>
  <si>
    <t>Le Sueur</t>
  </si>
  <si>
    <t>27079</t>
  </si>
  <si>
    <t>27081</t>
  </si>
  <si>
    <t>27083</t>
  </si>
  <si>
    <t>McLeod</t>
  </si>
  <si>
    <t>27085</t>
  </si>
  <si>
    <t>Mahnomen</t>
  </si>
  <si>
    <t>27087</t>
  </si>
  <si>
    <t>27089</t>
  </si>
  <si>
    <t>27091</t>
  </si>
  <si>
    <t>Meeker</t>
  </si>
  <si>
    <t>27093</t>
  </si>
  <si>
    <t>Mille Lacs</t>
  </si>
  <si>
    <t>27095</t>
  </si>
  <si>
    <t>Morrison</t>
  </si>
  <si>
    <t>27097</t>
  </si>
  <si>
    <t>Mower</t>
  </si>
  <si>
    <t>27099</t>
  </si>
  <si>
    <t>27101</t>
  </si>
  <si>
    <t>Nicollet</t>
  </si>
  <si>
    <t>27103</t>
  </si>
  <si>
    <t>Nobles</t>
  </si>
  <si>
    <t>27105</t>
  </si>
  <si>
    <t>Norman</t>
  </si>
  <si>
    <t>27107</t>
  </si>
  <si>
    <t>Olmsted</t>
  </si>
  <si>
    <t>27109</t>
  </si>
  <si>
    <t>Otter Tail</t>
  </si>
  <si>
    <t>27111</t>
  </si>
  <si>
    <t>Pennington</t>
  </si>
  <si>
    <t>27113</t>
  </si>
  <si>
    <t>Pine</t>
  </si>
  <si>
    <t>27115</t>
  </si>
  <si>
    <t>Pipestone</t>
  </si>
  <si>
    <t>27117</t>
  </si>
  <si>
    <t>27119</t>
  </si>
  <si>
    <t>27121</t>
  </si>
  <si>
    <t>Ramsey</t>
  </si>
  <si>
    <t>27123</t>
  </si>
  <si>
    <t>Red Lake</t>
  </si>
  <si>
    <t>27125</t>
  </si>
  <si>
    <t>Redwood</t>
  </si>
  <si>
    <t>27127</t>
  </si>
  <si>
    <t>Renville</t>
  </si>
  <si>
    <t>27129</t>
  </si>
  <si>
    <t>27131</t>
  </si>
  <si>
    <t>Rock</t>
  </si>
  <si>
    <t>27133</t>
  </si>
  <si>
    <t>Roseau</t>
  </si>
  <si>
    <t>27135</t>
  </si>
  <si>
    <t>St. Louis</t>
  </si>
  <si>
    <t>27137</t>
  </si>
  <si>
    <t>27139</t>
  </si>
  <si>
    <t>Sherburne</t>
  </si>
  <si>
    <t>27141</t>
  </si>
  <si>
    <t>Sibley</t>
  </si>
  <si>
    <t>27143</t>
  </si>
  <si>
    <t>Stearns</t>
  </si>
  <si>
    <t>27145</t>
  </si>
  <si>
    <t>Steele</t>
  </si>
  <si>
    <t>27147</t>
  </si>
  <si>
    <t>27149</t>
  </si>
  <si>
    <t>Swift</t>
  </si>
  <si>
    <t>27151</t>
  </si>
  <si>
    <t>27153</t>
  </si>
  <si>
    <t>Traverse</t>
  </si>
  <si>
    <t>27155</t>
  </si>
  <si>
    <t>Wabasha</t>
  </si>
  <si>
    <t>27157</t>
  </si>
  <si>
    <t>Wadena</t>
  </si>
  <si>
    <t>27159</t>
  </si>
  <si>
    <t>Waseca</t>
  </si>
  <si>
    <t>27161</t>
  </si>
  <si>
    <t>27163</t>
  </si>
  <si>
    <t>Watonwan</t>
  </si>
  <si>
    <t>27165</t>
  </si>
  <si>
    <t>Wilkin</t>
  </si>
  <si>
    <t>27167</t>
  </si>
  <si>
    <t>Winona</t>
  </si>
  <si>
    <t>27169</t>
  </si>
  <si>
    <t>27171</t>
  </si>
  <si>
    <t>Yellow Medicine</t>
  </si>
  <si>
    <t>27173</t>
  </si>
  <si>
    <t>MISSISSIPPI</t>
  </si>
  <si>
    <t xml:space="preserve"> MS</t>
  </si>
  <si>
    <t>28001</t>
  </si>
  <si>
    <t>Alcorn</t>
  </si>
  <si>
    <t>28003</t>
  </si>
  <si>
    <t>Amite</t>
  </si>
  <si>
    <t>28005</t>
  </si>
  <si>
    <t>Attala</t>
  </si>
  <si>
    <t>28007</t>
  </si>
  <si>
    <t>28009</t>
  </si>
  <si>
    <t>Bolivar</t>
  </si>
  <si>
    <t>28011</t>
  </si>
  <si>
    <t>28013</t>
  </si>
  <si>
    <t>28015</t>
  </si>
  <si>
    <t>28017</t>
  </si>
  <si>
    <t>28019</t>
  </si>
  <si>
    <t>28021</t>
  </si>
  <si>
    <t>28023</t>
  </si>
  <si>
    <t>28025</t>
  </si>
  <si>
    <t>Coahoma</t>
  </si>
  <si>
    <t>28027</t>
  </si>
  <si>
    <t>Copiah</t>
  </si>
  <si>
    <t>28029</t>
  </si>
  <si>
    <t>28031</t>
  </si>
  <si>
    <t>28033</t>
  </si>
  <si>
    <t>Forrest</t>
  </si>
  <si>
    <t>28035</t>
  </si>
  <si>
    <t>28037</t>
  </si>
  <si>
    <t>George</t>
  </si>
  <si>
    <t>28039</t>
  </si>
  <si>
    <t>28041</t>
  </si>
  <si>
    <t>Grenada</t>
  </si>
  <si>
    <t>28043</t>
  </si>
  <si>
    <t>28045</t>
  </si>
  <si>
    <t>28047</t>
  </si>
  <si>
    <t>Hinds</t>
  </si>
  <si>
    <t>28049</t>
  </si>
  <si>
    <t>28051</t>
  </si>
  <si>
    <t>Humphreys</t>
  </si>
  <si>
    <t>28053</t>
  </si>
  <si>
    <t>Issaquena</t>
  </si>
  <si>
    <t>28055</t>
  </si>
  <si>
    <t>Itawamba</t>
  </si>
  <si>
    <t>28057</t>
  </si>
  <si>
    <t>28059</t>
  </si>
  <si>
    <t>28061</t>
  </si>
  <si>
    <t>28063</t>
  </si>
  <si>
    <t>28065</t>
  </si>
  <si>
    <t>28067</t>
  </si>
  <si>
    <t>Kemper</t>
  </si>
  <si>
    <t>28069</t>
  </si>
  <si>
    <t>28071</t>
  </si>
  <si>
    <t>28073</t>
  </si>
  <si>
    <t>28075</t>
  </si>
  <si>
    <t>28077</t>
  </si>
  <si>
    <t>Leake</t>
  </si>
  <si>
    <t>28079</t>
  </si>
  <si>
    <t>28081</t>
  </si>
  <si>
    <t>Leflore</t>
  </si>
  <si>
    <t>28083</t>
  </si>
  <si>
    <t>28085</t>
  </si>
  <si>
    <t>28087</t>
  </si>
  <si>
    <t>28089</t>
  </si>
  <si>
    <t>28091</t>
  </si>
  <si>
    <t>28093</t>
  </si>
  <si>
    <t>28095</t>
  </si>
  <si>
    <t>28097</t>
  </si>
  <si>
    <t>Neshoba</t>
  </si>
  <si>
    <t>28099</t>
  </si>
  <si>
    <t>28101</t>
  </si>
  <si>
    <t>Noxubee</t>
  </si>
  <si>
    <t>28103</t>
  </si>
  <si>
    <t>Oktibbeha</t>
  </si>
  <si>
    <t>28105</t>
  </si>
  <si>
    <t>Panola</t>
  </si>
  <si>
    <t>28107</t>
  </si>
  <si>
    <t>Pearl River</t>
  </si>
  <si>
    <t>28109</t>
  </si>
  <si>
    <t>28111</t>
  </si>
  <si>
    <t>28113</t>
  </si>
  <si>
    <t>Pontotoc</t>
  </si>
  <si>
    <t>28115</t>
  </si>
  <si>
    <t>Prentiss</t>
  </si>
  <si>
    <t>28117</t>
  </si>
  <si>
    <t>28119</t>
  </si>
  <si>
    <t>Rankin</t>
  </si>
  <si>
    <t>28121</t>
  </si>
  <si>
    <t>28123</t>
  </si>
  <si>
    <t>Sharkey</t>
  </si>
  <si>
    <t>28125</t>
  </si>
  <si>
    <t>28127</t>
  </si>
  <si>
    <t>28129</t>
  </si>
  <si>
    <t>28131</t>
  </si>
  <si>
    <t>Sunflower</t>
  </si>
  <si>
    <t>28133</t>
  </si>
  <si>
    <t>Tallahatchie</t>
  </si>
  <si>
    <t>28135</t>
  </si>
  <si>
    <t>Tate</t>
  </si>
  <si>
    <t>28137</t>
  </si>
  <si>
    <t>Tippah</t>
  </si>
  <si>
    <t>28139</t>
  </si>
  <si>
    <t>Tishomingo</t>
  </si>
  <si>
    <t>28141</t>
  </si>
  <si>
    <t>Tunica</t>
  </si>
  <si>
    <t>28143</t>
  </si>
  <si>
    <t>28145</t>
  </si>
  <si>
    <t>Walthall</t>
  </si>
  <si>
    <t>28147</t>
  </si>
  <si>
    <t>28149</t>
  </si>
  <si>
    <t>28151</t>
  </si>
  <si>
    <t>28153</t>
  </si>
  <si>
    <t>28155</t>
  </si>
  <si>
    <t>28157</t>
  </si>
  <si>
    <t>28159</t>
  </si>
  <si>
    <t>Yalobusha</t>
  </si>
  <si>
    <t>28161</t>
  </si>
  <si>
    <t>Yazoo</t>
  </si>
  <si>
    <t>28163</t>
  </si>
  <si>
    <t>MISSOURI</t>
  </si>
  <si>
    <t xml:space="preserve"> MO</t>
  </si>
  <si>
    <t>29001</t>
  </si>
  <si>
    <t>Andrew</t>
  </si>
  <si>
    <t>29003</t>
  </si>
  <si>
    <t>29005</t>
  </si>
  <si>
    <t>Audrain</t>
  </si>
  <si>
    <t>29007</t>
  </si>
  <si>
    <t>29009</t>
  </si>
  <si>
    <t>29011</t>
  </si>
  <si>
    <t>Bates</t>
  </si>
  <si>
    <t>29013</t>
  </si>
  <si>
    <t>29015</t>
  </si>
  <si>
    <t>Bollinger</t>
  </si>
  <si>
    <t>29017</t>
  </si>
  <si>
    <t>29019</t>
  </si>
  <si>
    <t>29021</t>
  </si>
  <si>
    <t>29023</t>
  </si>
  <si>
    <t>29025</t>
  </si>
  <si>
    <t>Callaway</t>
  </si>
  <si>
    <t>29027</t>
  </si>
  <si>
    <t>29029</t>
  </si>
  <si>
    <t>Cape Girardeau</t>
  </si>
  <si>
    <t>29031</t>
  </si>
  <si>
    <t>29033</t>
  </si>
  <si>
    <t>29035</t>
  </si>
  <si>
    <t>29037</t>
  </si>
  <si>
    <t>29039</t>
  </si>
  <si>
    <t>Chariton</t>
  </si>
  <si>
    <t>29041</t>
  </si>
  <si>
    <t>29043</t>
  </si>
  <si>
    <t>29045</t>
  </si>
  <si>
    <t>29047</t>
  </si>
  <si>
    <t>29049</t>
  </si>
  <si>
    <t>Cole</t>
  </si>
  <si>
    <t>29051</t>
  </si>
  <si>
    <t>Cooper</t>
  </si>
  <si>
    <t>29053</t>
  </si>
  <si>
    <t>29055</t>
  </si>
  <si>
    <t>29057</t>
  </si>
  <si>
    <t>29059</t>
  </si>
  <si>
    <t>29061</t>
  </si>
  <si>
    <t>29063</t>
  </si>
  <si>
    <t>Dent</t>
  </si>
  <si>
    <t>29065</t>
  </si>
  <si>
    <t>29067</t>
  </si>
  <si>
    <t>Dunklin</t>
  </si>
  <si>
    <t>29069</t>
  </si>
  <si>
    <t>29071</t>
  </si>
  <si>
    <t>Gasconade</t>
  </si>
  <si>
    <t>29073</t>
  </si>
  <si>
    <t>Gentry</t>
  </si>
  <si>
    <t>29075</t>
  </si>
  <si>
    <t>29077</t>
  </si>
  <si>
    <t>29079</t>
  </si>
  <si>
    <t>29081</t>
  </si>
  <si>
    <t>29083</t>
  </si>
  <si>
    <t>Hickory</t>
  </si>
  <si>
    <t>29085</t>
  </si>
  <si>
    <t>Holt</t>
  </si>
  <si>
    <t>29087</t>
  </si>
  <si>
    <t>29089</t>
  </si>
  <si>
    <t>Howell</t>
  </si>
  <si>
    <t>29091</t>
  </si>
  <si>
    <t>29093</t>
  </si>
  <si>
    <t>29095</t>
  </si>
  <si>
    <t>29097</t>
  </si>
  <si>
    <t>29099</t>
  </si>
  <si>
    <t>29101</t>
  </si>
  <si>
    <t>29103</t>
  </si>
  <si>
    <t>Laclede</t>
  </si>
  <si>
    <t>29105</t>
  </si>
  <si>
    <t>29107</t>
  </si>
  <si>
    <t>29109</t>
  </si>
  <si>
    <t>29111</t>
  </si>
  <si>
    <t>29113</t>
  </si>
  <si>
    <t>29115</t>
  </si>
  <si>
    <t>29117</t>
  </si>
  <si>
    <t>McDonald</t>
  </si>
  <si>
    <t>29119</t>
  </si>
  <si>
    <t>29121</t>
  </si>
  <si>
    <t>29123</t>
  </si>
  <si>
    <t>Maries</t>
  </si>
  <si>
    <t>29125</t>
  </si>
  <si>
    <t>29127</t>
  </si>
  <si>
    <t>29129</t>
  </si>
  <si>
    <t>29131</t>
  </si>
  <si>
    <t>29133</t>
  </si>
  <si>
    <t>Moniteau</t>
  </si>
  <si>
    <t>29135</t>
  </si>
  <si>
    <t>29137</t>
  </si>
  <si>
    <t>29139</t>
  </si>
  <si>
    <t>29141</t>
  </si>
  <si>
    <t>New Madrid</t>
  </si>
  <si>
    <t>29143</t>
  </si>
  <si>
    <t>29145</t>
  </si>
  <si>
    <t>Nodaway</t>
  </si>
  <si>
    <t>29147</t>
  </si>
  <si>
    <t>Oregon</t>
  </si>
  <si>
    <t>29149</t>
  </si>
  <si>
    <t>29151</t>
  </si>
  <si>
    <t>Ozark</t>
  </si>
  <si>
    <t>29153</t>
  </si>
  <si>
    <t>Pemiscot</t>
  </si>
  <si>
    <t>29155</t>
  </si>
  <si>
    <t>29157</t>
  </si>
  <si>
    <t>Pettis</t>
  </si>
  <si>
    <t>29159</t>
  </si>
  <si>
    <t>Phelps</t>
  </si>
  <si>
    <t>29161</t>
  </si>
  <si>
    <t>29163</t>
  </si>
  <si>
    <t>Platte</t>
  </si>
  <si>
    <t>29165</t>
  </si>
  <si>
    <t>29167</t>
  </si>
  <si>
    <t>29169</t>
  </si>
  <si>
    <t>29171</t>
  </si>
  <si>
    <t>Ralls</t>
  </si>
  <si>
    <t>29173</t>
  </si>
  <si>
    <t>29175</t>
  </si>
  <si>
    <t>Ray</t>
  </si>
  <si>
    <t>29177</t>
  </si>
  <si>
    <t>Reynolds</t>
  </si>
  <si>
    <t>29179</t>
  </si>
  <si>
    <t>29181</t>
  </si>
  <si>
    <t>29183</t>
  </si>
  <si>
    <t>29185</t>
  </si>
  <si>
    <t>Ste. Genevieve</t>
  </si>
  <si>
    <t>29186</t>
  </si>
  <si>
    <t>St. Francois</t>
  </si>
  <si>
    <t>29187</t>
  </si>
  <si>
    <t>29189</t>
  </si>
  <si>
    <t>29195</t>
  </si>
  <si>
    <t>29197</t>
  </si>
  <si>
    <t>Scotland</t>
  </si>
  <si>
    <t>29199</t>
  </si>
  <si>
    <t>29201</t>
  </si>
  <si>
    <t>Shannon</t>
  </si>
  <si>
    <t>29203</t>
  </si>
  <si>
    <t>29205</t>
  </si>
  <si>
    <t>Stoddard</t>
  </si>
  <si>
    <t>29207</t>
  </si>
  <si>
    <t>29209</t>
  </si>
  <si>
    <t>29211</t>
  </si>
  <si>
    <t>Taney</t>
  </si>
  <si>
    <t>29213</t>
  </si>
  <si>
    <t>Texas</t>
  </si>
  <si>
    <t>29215</t>
  </si>
  <si>
    <t>29217</t>
  </si>
  <si>
    <t>29219</t>
  </si>
  <si>
    <t>29221</t>
  </si>
  <si>
    <t>29223</t>
  </si>
  <si>
    <t>29225</t>
  </si>
  <si>
    <t>29227</t>
  </si>
  <si>
    <t>29229</t>
  </si>
  <si>
    <t>St. Louis city</t>
  </si>
  <si>
    <t>29510</t>
  </si>
  <si>
    <t>MONTANA</t>
  </si>
  <si>
    <t>Beaverhead</t>
  </si>
  <si>
    <t xml:space="preserve"> MT</t>
  </si>
  <si>
    <t>30001</t>
  </si>
  <si>
    <t>Big Horn</t>
  </si>
  <si>
    <t>30003</t>
  </si>
  <si>
    <t>30005</t>
  </si>
  <si>
    <t>Broadwater</t>
  </si>
  <si>
    <t>30007</t>
  </si>
  <si>
    <t>Carbon</t>
  </si>
  <si>
    <t>30009</t>
  </si>
  <si>
    <t>30011</t>
  </si>
  <si>
    <t>Cascade</t>
  </si>
  <si>
    <t>30013</t>
  </si>
  <si>
    <t>Chouteau</t>
  </si>
  <si>
    <t>30015</t>
  </si>
  <si>
    <t>30017</t>
  </si>
  <si>
    <t>Daniels</t>
  </si>
  <si>
    <t>30019</t>
  </si>
  <si>
    <t>30021</t>
  </si>
  <si>
    <t>Deer Lodge</t>
  </si>
  <si>
    <t>30023</t>
  </si>
  <si>
    <t>Fallon</t>
  </si>
  <si>
    <t>30025</t>
  </si>
  <si>
    <t>Fergus</t>
  </si>
  <si>
    <t>30027</t>
  </si>
  <si>
    <t>Flathead</t>
  </si>
  <si>
    <t>30029</t>
  </si>
  <si>
    <t>30031</t>
  </si>
  <si>
    <t>30033</t>
  </si>
  <si>
    <t>Glacier</t>
  </si>
  <si>
    <t>30035</t>
  </si>
  <si>
    <t>Golden Valley</t>
  </si>
  <si>
    <t>30037</t>
  </si>
  <si>
    <t>Granite</t>
  </si>
  <si>
    <t>30039</t>
  </si>
  <si>
    <t>Hill</t>
  </si>
  <si>
    <t>30041</t>
  </si>
  <si>
    <t>30043</t>
  </si>
  <si>
    <t>Judith Basin</t>
  </si>
  <si>
    <t>30045</t>
  </si>
  <si>
    <t>30047</t>
  </si>
  <si>
    <t>Lewis and Clark</t>
  </si>
  <si>
    <t>30049</t>
  </si>
  <si>
    <t>30051</t>
  </si>
  <si>
    <t>30053</t>
  </si>
  <si>
    <t>McCone</t>
  </si>
  <si>
    <t>30055</t>
  </si>
  <si>
    <t>30057</t>
  </si>
  <si>
    <t>Meagher</t>
  </si>
  <si>
    <t>30059</t>
  </si>
  <si>
    <t>30061</t>
  </si>
  <si>
    <t>Missoula</t>
  </si>
  <si>
    <t>30063</t>
  </si>
  <si>
    <t>Musselshell</t>
  </si>
  <si>
    <t>30065</t>
  </si>
  <si>
    <t>30067</t>
  </si>
  <si>
    <t>Petroleum</t>
  </si>
  <si>
    <t>30069</t>
  </si>
  <si>
    <t>30071</t>
  </si>
  <si>
    <t>Pondera</t>
  </si>
  <si>
    <t>30073</t>
  </si>
  <si>
    <t>Powder River</t>
  </si>
  <si>
    <t>30075</t>
  </si>
  <si>
    <t>30077</t>
  </si>
  <si>
    <t>30079</t>
  </si>
  <si>
    <t>Ravalli</t>
  </si>
  <si>
    <t>30081</t>
  </si>
  <si>
    <t>30083</t>
  </si>
  <si>
    <t>Roosevelt</t>
  </si>
  <si>
    <t>30085</t>
  </si>
  <si>
    <t>Rosebud</t>
  </si>
  <si>
    <t>30087</t>
  </si>
  <si>
    <t>Sanders</t>
  </si>
  <si>
    <t>30089</t>
  </si>
  <si>
    <t>30091</t>
  </si>
  <si>
    <t>Silver Bow</t>
  </si>
  <si>
    <t>30093</t>
  </si>
  <si>
    <t>Stillwater</t>
  </si>
  <si>
    <t>30095</t>
  </si>
  <si>
    <t>Sweet Grass</t>
  </si>
  <si>
    <t>30097</t>
  </si>
  <si>
    <t>30099</t>
  </si>
  <si>
    <t>Toole</t>
  </si>
  <si>
    <t>30101</t>
  </si>
  <si>
    <t>Treasure</t>
  </si>
  <si>
    <t>30103</t>
  </si>
  <si>
    <t>30105</t>
  </si>
  <si>
    <t>Wheatland</t>
  </si>
  <si>
    <t>30107</t>
  </si>
  <si>
    <t>Wibaux</t>
  </si>
  <si>
    <t>30109</t>
  </si>
  <si>
    <t>Yellowstone</t>
  </si>
  <si>
    <t>30111</t>
  </si>
  <si>
    <t>Yellowstone National Park</t>
  </si>
  <si>
    <t>30113</t>
  </si>
  <si>
    <t>NEBRASKA</t>
  </si>
  <si>
    <t xml:space="preserve"> NE</t>
  </si>
  <si>
    <t>31001</t>
  </si>
  <si>
    <t>Antelope</t>
  </si>
  <si>
    <t>31003</t>
  </si>
  <si>
    <t>Arthur</t>
  </si>
  <si>
    <t>31005</t>
  </si>
  <si>
    <t>Banner</t>
  </si>
  <si>
    <t>31007</t>
  </si>
  <si>
    <t>31009</t>
  </si>
  <si>
    <t>31011</t>
  </si>
  <si>
    <t>Box Butte</t>
  </si>
  <si>
    <t>31013</t>
  </si>
  <si>
    <t>31015</t>
  </si>
  <si>
    <t>31017</t>
  </si>
  <si>
    <t>Buffalo</t>
  </si>
  <si>
    <t>31019</t>
  </si>
  <si>
    <t>Burt</t>
  </si>
  <si>
    <t>31021</t>
  </si>
  <si>
    <t>31023</t>
  </si>
  <si>
    <t>31025</t>
  </si>
  <si>
    <t>31027</t>
  </si>
  <si>
    <t>31029</t>
  </si>
  <si>
    <t>Cherry</t>
  </si>
  <si>
    <t>31031</t>
  </si>
  <si>
    <t>31033</t>
  </si>
  <si>
    <t>31035</t>
  </si>
  <si>
    <t>Colfax</t>
  </si>
  <si>
    <t>31037</t>
  </si>
  <si>
    <t>Cuming</t>
  </si>
  <si>
    <t>31039</t>
  </si>
  <si>
    <t>31041</t>
  </si>
  <si>
    <t>31043</t>
  </si>
  <si>
    <t>Dawes</t>
  </si>
  <si>
    <t>31045</t>
  </si>
  <si>
    <t>31047</t>
  </si>
  <si>
    <t>Deuel</t>
  </si>
  <si>
    <t>31049</t>
  </si>
  <si>
    <t>Dixon</t>
  </si>
  <si>
    <t>31051</t>
  </si>
  <si>
    <t>31053</t>
  </si>
  <si>
    <t>31055</t>
  </si>
  <si>
    <t>Dundy</t>
  </si>
  <si>
    <t>31057</t>
  </si>
  <si>
    <t>31059</t>
  </si>
  <si>
    <t>31061</t>
  </si>
  <si>
    <t>Frontier</t>
  </si>
  <si>
    <t>31063</t>
  </si>
  <si>
    <t>Furnas</t>
  </si>
  <si>
    <t>31065</t>
  </si>
  <si>
    <t>Gage</t>
  </si>
  <si>
    <t>31067</t>
  </si>
  <si>
    <t>Garden</t>
  </si>
  <si>
    <t>31069</t>
  </si>
  <si>
    <t>31071</t>
  </si>
  <si>
    <t>Gosper</t>
  </si>
  <si>
    <t>31073</t>
  </si>
  <si>
    <t>31075</t>
  </si>
  <si>
    <t>31077</t>
  </si>
  <si>
    <t>31079</t>
  </si>
  <si>
    <t>31081</t>
  </si>
  <si>
    <t>31083</t>
  </si>
  <si>
    <t>Hayes</t>
  </si>
  <si>
    <t>31085</t>
  </si>
  <si>
    <t>Hitchcock</t>
  </si>
  <si>
    <t>31087</t>
  </si>
  <si>
    <t>31089</t>
  </si>
  <si>
    <t>Hooker</t>
  </si>
  <si>
    <t>31091</t>
  </si>
  <si>
    <t>31093</t>
  </si>
  <si>
    <t>31095</t>
  </si>
  <si>
    <t>31097</t>
  </si>
  <si>
    <t>Kearney</t>
  </si>
  <si>
    <t>31099</t>
  </si>
  <si>
    <t>Keith</t>
  </si>
  <si>
    <t>31101</t>
  </si>
  <si>
    <t>Keya Paha</t>
  </si>
  <si>
    <t>31103</t>
  </si>
  <si>
    <t>Kimball</t>
  </si>
  <si>
    <t>31105</t>
  </si>
  <si>
    <t>31107</t>
  </si>
  <si>
    <t>Lancaster</t>
  </si>
  <si>
    <t>31109</t>
  </si>
  <si>
    <t>31111</t>
  </si>
  <si>
    <t>31113</t>
  </si>
  <si>
    <t>Loup</t>
  </si>
  <si>
    <t>31115</t>
  </si>
  <si>
    <t>31117</t>
  </si>
  <si>
    <t>31119</t>
  </si>
  <si>
    <t>Merrick</t>
  </si>
  <si>
    <t>31121</t>
  </si>
  <si>
    <t>Morrill</t>
  </si>
  <si>
    <t>31123</t>
  </si>
  <si>
    <t>Nance</t>
  </si>
  <si>
    <t>31125</t>
  </si>
  <si>
    <t>31127</t>
  </si>
  <si>
    <t>Nuckolls</t>
  </si>
  <si>
    <t>31129</t>
  </si>
  <si>
    <t>Otoe</t>
  </si>
  <si>
    <t>31131</t>
  </si>
  <si>
    <t>31133</t>
  </si>
  <si>
    <t>Perkins</t>
  </si>
  <si>
    <t>31135</t>
  </si>
  <si>
    <t>31137</t>
  </si>
  <si>
    <t>31139</t>
  </si>
  <si>
    <t>31141</t>
  </si>
  <si>
    <t>31143</t>
  </si>
  <si>
    <t>Red Willow</t>
  </si>
  <si>
    <t>31145</t>
  </si>
  <si>
    <t>Richardson</t>
  </si>
  <si>
    <t>31147</t>
  </si>
  <si>
    <t>31149</t>
  </si>
  <si>
    <t>31151</t>
  </si>
  <si>
    <t>Sarpy</t>
  </si>
  <si>
    <t>31153</t>
  </si>
  <si>
    <t>Saunders</t>
  </si>
  <si>
    <t>31155</t>
  </si>
  <si>
    <t>Scotts Bluff</t>
  </si>
  <si>
    <t>31157</t>
  </si>
  <si>
    <t>31159</t>
  </si>
  <si>
    <t>31161</t>
  </si>
  <si>
    <t>31163</t>
  </si>
  <si>
    <t>31165</t>
  </si>
  <si>
    <t>31167</t>
  </si>
  <si>
    <t>Thayer</t>
  </si>
  <si>
    <t>31169</t>
  </si>
  <si>
    <t>31171</t>
  </si>
  <si>
    <t>Thurston</t>
  </si>
  <si>
    <t>31173</t>
  </si>
  <si>
    <t>31175</t>
  </si>
  <si>
    <t>31177</t>
  </si>
  <si>
    <t>31179</t>
  </si>
  <si>
    <t>31181</t>
  </si>
  <si>
    <t>31183</t>
  </si>
  <si>
    <t>31185</t>
  </si>
  <si>
    <t>NEVADA</t>
  </si>
  <si>
    <t>Churchill</t>
  </si>
  <si>
    <t xml:space="preserve"> NV</t>
  </si>
  <si>
    <t>32001</t>
  </si>
  <si>
    <t>32003</t>
  </si>
  <si>
    <t>32005</t>
  </si>
  <si>
    <t>Elko</t>
  </si>
  <si>
    <t>32007</t>
  </si>
  <si>
    <t>Esmeralda</t>
  </si>
  <si>
    <t>32009</t>
  </si>
  <si>
    <t>Eureka</t>
  </si>
  <si>
    <t>32011</t>
  </si>
  <si>
    <t>32013</t>
  </si>
  <si>
    <t>Lander</t>
  </si>
  <si>
    <t>32015</t>
  </si>
  <si>
    <t>32017</t>
  </si>
  <si>
    <t>32019</t>
  </si>
  <si>
    <t>32021</t>
  </si>
  <si>
    <t>Nye</t>
  </si>
  <si>
    <t>32023</t>
  </si>
  <si>
    <t>Pershing</t>
  </si>
  <si>
    <t>32027</t>
  </si>
  <si>
    <t>Storey</t>
  </si>
  <si>
    <t>32029</t>
  </si>
  <si>
    <t>Washoe</t>
  </si>
  <si>
    <t>32031</t>
  </si>
  <si>
    <t>White Pine</t>
  </si>
  <si>
    <t>32033</t>
  </si>
  <si>
    <t>Carson City city</t>
  </si>
  <si>
    <t>32510</t>
  </si>
  <si>
    <t>NEW HAMPSHIRE</t>
  </si>
  <si>
    <t>Belknap</t>
  </si>
  <si>
    <t xml:space="preserve"> NH</t>
  </si>
  <si>
    <t>33001</t>
  </si>
  <si>
    <t>33003</t>
  </si>
  <si>
    <t>Cheshire</t>
  </si>
  <si>
    <t>33005</t>
  </si>
  <si>
    <t>Coos</t>
  </si>
  <si>
    <t>33007</t>
  </si>
  <si>
    <t>Grafton</t>
  </si>
  <si>
    <t>33009</t>
  </si>
  <si>
    <t>33011</t>
  </si>
  <si>
    <t>Merrimack</t>
  </si>
  <si>
    <t>33013</t>
  </si>
  <si>
    <t>Rockingham</t>
  </si>
  <si>
    <t>33015</t>
  </si>
  <si>
    <t>Strafford</t>
  </si>
  <si>
    <t>33017</t>
  </si>
  <si>
    <t>33019</t>
  </si>
  <si>
    <t>NEW JERSEY</t>
  </si>
  <si>
    <t>Atlantic</t>
  </si>
  <si>
    <t xml:space="preserve"> NJ</t>
  </si>
  <si>
    <t>34001</t>
  </si>
  <si>
    <t>Bergen</t>
  </si>
  <si>
    <t>34003</t>
  </si>
  <si>
    <t>Burlington</t>
  </si>
  <si>
    <t>34005</t>
  </si>
  <si>
    <t>34007</t>
  </si>
  <si>
    <t>Cape May</t>
  </si>
  <si>
    <t>34009</t>
  </si>
  <si>
    <t>34011</t>
  </si>
  <si>
    <t>34013</t>
  </si>
  <si>
    <t>Gloucester</t>
  </si>
  <si>
    <t>34015</t>
  </si>
  <si>
    <t>Hudson</t>
  </si>
  <si>
    <t>34017</t>
  </si>
  <si>
    <t>Hunterdon</t>
  </si>
  <si>
    <t>34019</t>
  </si>
  <si>
    <t>34021</t>
  </si>
  <si>
    <t>34023</t>
  </si>
  <si>
    <t>Monmouth</t>
  </si>
  <si>
    <t>34025</t>
  </si>
  <si>
    <t>34027</t>
  </si>
  <si>
    <t>Ocean</t>
  </si>
  <si>
    <t>34029</t>
  </si>
  <si>
    <t>Passaic</t>
  </si>
  <si>
    <t>34031</t>
  </si>
  <si>
    <t>Salem</t>
  </si>
  <si>
    <t>34033</t>
  </si>
  <si>
    <t>34035</t>
  </si>
  <si>
    <t>34037</t>
  </si>
  <si>
    <t>34039</t>
  </si>
  <si>
    <t>34041</t>
  </si>
  <si>
    <t>NEW MEXICO</t>
  </si>
  <si>
    <t>Bernalillo</t>
  </si>
  <si>
    <t xml:space="preserve"> NM</t>
  </si>
  <si>
    <t>35001</t>
  </si>
  <si>
    <t>Catron</t>
  </si>
  <si>
    <t>35003</t>
  </si>
  <si>
    <t>Chaves</t>
  </si>
  <si>
    <t>35005</t>
  </si>
  <si>
    <t>Cibola</t>
  </si>
  <si>
    <t>35006</t>
  </si>
  <si>
    <t>35007</t>
  </si>
  <si>
    <t>Curry</t>
  </si>
  <si>
    <t>35009</t>
  </si>
  <si>
    <t>De Baca</t>
  </si>
  <si>
    <t>35011</t>
  </si>
  <si>
    <t>Dona Ana</t>
  </si>
  <si>
    <t>35013</t>
  </si>
  <si>
    <t>Eddy</t>
  </si>
  <si>
    <t>35015</t>
  </si>
  <si>
    <t>35017</t>
  </si>
  <si>
    <t>Guadalupe</t>
  </si>
  <si>
    <t>35019</t>
  </si>
  <si>
    <t>Harding</t>
  </si>
  <si>
    <t>35021</t>
  </si>
  <si>
    <t>Hidalgo</t>
  </si>
  <si>
    <t>35023</t>
  </si>
  <si>
    <t>Lea</t>
  </si>
  <si>
    <t>35025</t>
  </si>
  <si>
    <t>35027</t>
  </si>
  <si>
    <t>Los Alamos</t>
  </si>
  <si>
    <t>35028</t>
  </si>
  <si>
    <t>Luna</t>
  </si>
  <si>
    <t>35029</t>
  </si>
  <si>
    <t>McKinley</t>
  </si>
  <si>
    <t>35031</t>
  </si>
  <si>
    <t>Mora</t>
  </si>
  <si>
    <t>35033</t>
  </si>
  <si>
    <t>35035</t>
  </si>
  <si>
    <t>Quay</t>
  </si>
  <si>
    <t>35037</t>
  </si>
  <si>
    <t>Rio Arriba</t>
  </si>
  <si>
    <t>35039</t>
  </si>
  <si>
    <t>35041</t>
  </si>
  <si>
    <t>Sandoval</t>
  </si>
  <si>
    <t>35043</t>
  </si>
  <si>
    <t>35045</t>
  </si>
  <si>
    <t>35047</t>
  </si>
  <si>
    <t>Santa Fe</t>
  </si>
  <si>
    <t>35049</t>
  </si>
  <si>
    <t>35051</t>
  </si>
  <si>
    <t>Socorro</t>
  </si>
  <si>
    <t>35053</t>
  </si>
  <si>
    <t>Taos</t>
  </si>
  <si>
    <t>35055</t>
  </si>
  <si>
    <t>Torrance</t>
  </si>
  <si>
    <t>35057</t>
  </si>
  <si>
    <t>35059</t>
  </si>
  <si>
    <t>Valencia</t>
  </si>
  <si>
    <t>35061</t>
  </si>
  <si>
    <t>NEW YORK</t>
  </si>
  <si>
    <t>Albany</t>
  </si>
  <si>
    <t xml:space="preserve"> NY</t>
  </si>
  <si>
    <t>36001</t>
  </si>
  <si>
    <t>36003</t>
  </si>
  <si>
    <t>Bronx</t>
  </si>
  <si>
    <t>36005</t>
  </si>
  <si>
    <t>Broome</t>
  </si>
  <si>
    <t>36007</t>
  </si>
  <si>
    <t>Cattaraugus</t>
  </si>
  <si>
    <t>36009</t>
  </si>
  <si>
    <t>Cayuga</t>
  </si>
  <si>
    <t>36011</t>
  </si>
  <si>
    <t>36013</t>
  </si>
  <si>
    <t>Chemung</t>
  </si>
  <si>
    <t>36015</t>
  </si>
  <si>
    <t>Chenango</t>
  </si>
  <si>
    <t>36017</t>
  </si>
  <si>
    <t>36019</t>
  </si>
  <si>
    <t>36021</t>
  </si>
  <si>
    <t>Cortland</t>
  </si>
  <si>
    <t>36023</t>
  </si>
  <si>
    <t>36025</t>
  </si>
  <si>
    <t>Dutchess</t>
  </si>
  <si>
    <t>36027</t>
  </si>
  <si>
    <t>Erie</t>
  </si>
  <si>
    <t>36029</t>
  </si>
  <si>
    <t>36031</t>
  </si>
  <si>
    <t>36033</t>
  </si>
  <si>
    <t>36035</t>
  </si>
  <si>
    <t>36037</t>
  </si>
  <si>
    <t>36039</t>
  </si>
  <si>
    <t>36041</t>
  </si>
  <si>
    <t>Herkimer</t>
  </si>
  <si>
    <t>36043</t>
  </si>
  <si>
    <t>36045</t>
  </si>
  <si>
    <t>36047</t>
  </si>
  <si>
    <t>36049</t>
  </si>
  <si>
    <t>36051</t>
  </si>
  <si>
    <t>36053</t>
  </si>
  <si>
    <t>36055</t>
  </si>
  <si>
    <t>36057</t>
  </si>
  <si>
    <t>36059</t>
  </si>
  <si>
    <t>New York</t>
  </si>
  <si>
    <t>36061</t>
  </si>
  <si>
    <t>Niagara</t>
  </si>
  <si>
    <t>36063</t>
  </si>
  <si>
    <t>36065</t>
  </si>
  <si>
    <t>Onondaga</t>
  </si>
  <si>
    <t>36067</t>
  </si>
  <si>
    <t>Ontario</t>
  </si>
  <si>
    <t>36069</t>
  </si>
  <si>
    <t>36071</t>
  </si>
  <si>
    <t>36073</t>
  </si>
  <si>
    <t>Oswego</t>
  </si>
  <si>
    <t>36075</t>
  </si>
  <si>
    <t>36077</t>
  </si>
  <si>
    <t>36079</t>
  </si>
  <si>
    <t>Queens</t>
  </si>
  <si>
    <t>36081</t>
  </si>
  <si>
    <t>Rensselaer</t>
  </si>
  <si>
    <t>36083</t>
  </si>
  <si>
    <t>36085</t>
  </si>
  <si>
    <t>Rockland</t>
  </si>
  <si>
    <t>36087</t>
  </si>
  <si>
    <t>St. Lawrence</t>
  </si>
  <si>
    <t>36089</t>
  </si>
  <si>
    <t>Saratoga</t>
  </si>
  <si>
    <t>36091</t>
  </si>
  <si>
    <t>Schenectady</t>
  </si>
  <si>
    <t>36093</t>
  </si>
  <si>
    <t>Schoharie</t>
  </si>
  <si>
    <t>36095</t>
  </si>
  <si>
    <t>36097</t>
  </si>
  <si>
    <t>Seneca</t>
  </si>
  <si>
    <t>36099</t>
  </si>
  <si>
    <t>36101</t>
  </si>
  <si>
    <t>36103</t>
  </si>
  <si>
    <t>36105</t>
  </si>
  <si>
    <t>Tioga</t>
  </si>
  <si>
    <t>36107</t>
  </si>
  <si>
    <t>Tompkins</t>
  </si>
  <si>
    <t>36109</t>
  </si>
  <si>
    <t>Ulster</t>
  </si>
  <si>
    <t>36111</t>
  </si>
  <si>
    <t>36113</t>
  </si>
  <si>
    <t>36115</t>
  </si>
  <si>
    <t>36117</t>
  </si>
  <si>
    <t>Westchester</t>
  </si>
  <si>
    <t>36119</t>
  </si>
  <si>
    <t>Wyoming</t>
  </si>
  <si>
    <t>36121</t>
  </si>
  <si>
    <t>Yates</t>
  </si>
  <si>
    <t>36123</t>
  </si>
  <si>
    <t>NORTH CAROLINA</t>
  </si>
  <si>
    <t>Alamance</t>
  </si>
  <si>
    <t xml:space="preserve"> NC</t>
  </si>
  <si>
    <t>37001</t>
  </si>
  <si>
    <t>37003</t>
  </si>
  <si>
    <t>Alleghany</t>
  </si>
  <si>
    <t>37005</t>
  </si>
  <si>
    <t>Anson</t>
  </si>
  <si>
    <t>37007</t>
  </si>
  <si>
    <t>Ashe</t>
  </si>
  <si>
    <t>37009</t>
  </si>
  <si>
    <t>Avery</t>
  </si>
  <si>
    <t>37011</t>
  </si>
  <si>
    <t>Beaufort</t>
  </si>
  <si>
    <t>37013</t>
  </si>
  <si>
    <t>Bertie</t>
  </si>
  <si>
    <t>37015</t>
  </si>
  <si>
    <t>Bladen</t>
  </si>
  <si>
    <t>37017</t>
  </si>
  <si>
    <t>Brunswick</t>
  </si>
  <si>
    <t>37019</t>
  </si>
  <si>
    <t>Buncombe</t>
  </si>
  <si>
    <t>37021</t>
  </si>
  <si>
    <t>37023</t>
  </si>
  <si>
    <t>Cabarrus</t>
  </si>
  <si>
    <t>37025</t>
  </si>
  <si>
    <t>37027</t>
  </si>
  <si>
    <t>37029</t>
  </si>
  <si>
    <t>Carteret</t>
  </si>
  <si>
    <t>37031</t>
  </si>
  <si>
    <t>Caswell</t>
  </si>
  <si>
    <t>37033</t>
  </si>
  <si>
    <t>Catawba</t>
  </si>
  <si>
    <t>37035</t>
  </si>
  <si>
    <t>37037</t>
  </si>
  <si>
    <t>37039</t>
  </si>
  <si>
    <t>Chowan</t>
  </si>
  <si>
    <t>37041</t>
  </si>
  <si>
    <t>37043</t>
  </si>
  <si>
    <t>37045</t>
  </si>
  <si>
    <t>Columbus</t>
  </si>
  <si>
    <t>37047</t>
  </si>
  <si>
    <t>Craven</t>
  </si>
  <si>
    <t>37049</t>
  </si>
  <si>
    <t>37051</t>
  </si>
  <si>
    <t>Currituck</t>
  </si>
  <si>
    <t>37053</t>
  </si>
  <si>
    <t>Dare</t>
  </si>
  <si>
    <t>37055</t>
  </si>
  <si>
    <t>Davidson</t>
  </si>
  <si>
    <t>37057</t>
  </si>
  <si>
    <t>Davie</t>
  </si>
  <si>
    <t>37059</t>
  </si>
  <si>
    <t>Duplin</t>
  </si>
  <si>
    <t>37061</t>
  </si>
  <si>
    <t>Durham</t>
  </si>
  <si>
    <t>37063</t>
  </si>
  <si>
    <t>Edgecombe</t>
  </si>
  <si>
    <t>37065</t>
  </si>
  <si>
    <t>37067</t>
  </si>
  <si>
    <t>37069</t>
  </si>
  <si>
    <t>Gaston</t>
  </si>
  <si>
    <t>37071</t>
  </si>
  <si>
    <t>Gates</t>
  </si>
  <si>
    <t>37073</t>
  </si>
  <si>
    <t>37075</t>
  </si>
  <si>
    <t>Granville</t>
  </si>
  <si>
    <t>37077</t>
  </si>
  <si>
    <t>37079</t>
  </si>
  <si>
    <t>Guilford</t>
  </si>
  <si>
    <t>37081</t>
  </si>
  <si>
    <t>Halifax</t>
  </si>
  <si>
    <t>37083</t>
  </si>
  <si>
    <t>Harnett</t>
  </si>
  <si>
    <t>37085</t>
  </si>
  <si>
    <t>Haywood</t>
  </si>
  <si>
    <t>37087</t>
  </si>
  <si>
    <t>37089</t>
  </si>
  <si>
    <t>Hertford</t>
  </si>
  <si>
    <t>37091</t>
  </si>
  <si>
    <t>Hoke</t>
  </si>
  <si>
    <t>37093</t>
  </si>
  <si>
    <t>Hyde</t>
  </si>
  <si>
    <t>37095</t>
  </si>
  <si>
    <t>Iredell</t>
  </si>
  <si>
    <t>37097</t>
  </si>
  <si>
    <t>37099</t>
  </si>
  <si>
    <t>Johnston</t>
  </si>
  <si>
    <t>37101</t>
  </si>
  <si>
    <t>37103</t>
  </si>
  <si>
    <t>37105</t>
  </si>
  <si>
    <t>Lenoir</t>
  </si>
  <si>
    <t>37107</t>
  </si>
  <si>
    <t>37109</t>
  </si>
  <si>
    <t>McDowell</t>
  </si>
  <si>
    <t>37111</t>
  </si>
  <si>
    <t>37113</t>
  </si>
  <si>
    <t>37115</t>
  </si>
  <si>
    <t>37117</t>
  </si>
  <si>
    <t>Mecklenburg</t>
  </si>
  <si>
    <t>37119</t>
  </si>
  <si>
    <t>37121</t>
  </si>
  <si>
    <t>37123</t>
  </si>
  <si>
    <t>Moore</t>
  </si>
  <si>
    <t>37125</t>
  </si>
  <si>
    <t>Nash</t>
  </si>
  <si>
    <t>37127</t>
  </si>
  <si>
    <t>New Hanover</t>
  </si>
  <si>
    <t>37129</t>
  </si>
  <si>
    <t>Northampton</t>
  </si>
  <si>
    <t>37131</t>
  </si>
  <si>
    <t>Onslow</t>
  </si>
  <si>
    <t>37133</t>
  </si>
  <si>
    <t>37135</t>
  </si>
  <si>
    <t>Pamlico</t>
  </si>
  <si>
    <t>37137</t>
  </si>
  <si>
    <t>Pasquotank</t>
  </si>
  <si>
    <t>37139</t>
  </si>
  <si>
    <t>Pender</t>
  </si>
  <si>
    <t>37141</t>
  </si>
  <si>
    <t>Perquimans</t>
  </si>
  <si>
    <t>37143</t>
  </si>
  <si>
    <t>Person</t>
  </si>
  <si>
    <t>37145</t>
  </si>
  <si>
    <t>Pitt</t>
  </si>
  <si>
    <t>37147</t>
  </si>
  <si>
    <t>37149</t>
  </si>
  <si>
    <t>37151</t>
  </si>
  <si>
    <t>37153</t>
  </si>
  <si>
    <t>Robeson</t>
  </si>
  <si>
    <t>37155</t>
  </si>
  <si>
    <t>37157</t>
  </si>
  <si>
    <t>37159</t>
  </si>
  <si>
    <t>Rutherford</t>
  </si>
  <si>
    <t>37161</t>
  </si>
  <si>
    <t>Sampson</t>
  </si>
  <si>
    <t>37163</t>
  </si>
  <si>
    <t>37165</t>
  </si>
  <si>
    <t>Stanly</t>
  </si>
  <si>
    <t>37167</t>
  </si>
  <si>
    <t>Stokes</t>
  </si>
  <si>
    <t>37169</t>
  </si>
  <si>
    <t>Surry</t>
  </si>
  <si>
    <t>37171</t>
  </si>
  <si>
    <t>Swain</t>
  </si>
  <si>
    <t>37173</t>
  </si>
  <si>
    <t>Transylvania</t>
  </si>
  <si>
    <t>37175</t>
  </si>
  <si>
    <t>Tyrrell</t>
  </si>
  <si>
    <t>37177</t>
  </si>
  <si>
    <t>37179</t>
  </si>
  <si>
    <t>Vance</t>
  </si>
  <si>
    <t>37181</t>
  </si>
  <si>
    <t>Wake</t>
  </si>
  <si>
    <t>37183</t>
  </si>
  <si>
    <t>37185</t>
  </si>
  <si>
    <t>37187</t>
  </si>
  <si>
    <t>Watauga</t>
  </si>
  <si>
    <t>37189</t>
  </si>
  <si>
    <t>37191</t>
  </si>
  <si>
    <t>37193</t>
  </si>
  <si>
    <t>37195</t>
  </si>
  <si>
    <t>Yadkin</t>
  </si>
  <si>
    <t>37197</t>
  </si>
  <si>
    <t>Yancey</t>
  </si>
  <si>
    <t>37199</t>
  </si>
  <si>
    <t>NORTH DAKOTA</t>
  </si>
  <si>
    <t xml:space="preserve"> ND</t>
  </si>
  <si>
    <t>38001</t>
  </si>
  <si>
    <t>Barnes</t>
  </si>
  <si>
    <t>38003</t>
  </si>
  <si>
    <t>Benson</t>
  </si>
  <si>
    <t>38005</t>
  </si>
  <si>
    <t>Billings</t>
  </si>
  <si>
    <t>38007</t>
  </si>
  <si>
    <t>Bottineau</t>
  </si>
  <si>
    <t>38009</t>
  </si>
  <si>
    <t>Bowman</t>
  </si>
  <si>
    <t>38011</t>
  </si>
  <si>
    <t>38013</t>
  </si>
  <si>
    <t>Burleigh</t>
  </si>
  <si>
    <t>38015</t>
  </si>
  <si>
    <t>38017</t>
  </si>
  <si>
    <t>Cavalier</t>
  </si>
  <si>
    <t>38019</t>
  </si>
  <si>
    <t>Dickey</t>
  </si>
  <si>
    <t>38021</t>
  </si>
  <si>
    <t>Divide</t>
  </si>
  <si>
    <t>38023</t>
  </si>
  <si>
    <t>Dunn</t>
  </si>
  <si>
    <t>38025</t>
  </si>
  <si>
    <t>38027</t>
  </si>
  <si>
    <t>Emmons</t>
  </si>
  <si>
    <t>38029</t>
  </si>
  <si>
    <t>Foster</t>
  </si>
  <si>
    <t>38031</t>
  </si>
  <si>
    <t>38033</t>
  </si>
  <si>
    <t>Grand Forks</t>
  </si>
  <si>
    <t>38035</t>
  </si>
  <si>
    <t>38037</t>
  </si>
  <si>
    <t>Griggs</t>
  </si>
  <si>
    <t>38039</t>
  </si>
  <si>
    <t>Hettinger</t>
  </si>
  <si>
    <t>38041</t>
  </si>
  <si>
    <t>Kidder</t>
  </si>
  <si>
    <t>38043</t>
  </si>
  <si>
    <t>LaMoure</t>
  </si>
  <si>
    <t>38045</t>
  </si>
  <si>
    <t>38047</t>
  </si>
  <si>
    <t>38049</t>
  </si>
  <si>
    <t>38051</t>
  </si>
  <si>
    <t>McKenzie</t>
  </si>
  <si>
    <t>38053</t>
  </si>
  <si>
    <t>38055</t>
  </si>
  <si>
    <t>38057</t>
  </si>
  <si>
    <t>38059</t>
  </si>
  <si>
    <t>Mountrail</t>
  </si>
  <si>
    <t>38061</t>
  </si>
  <si>
    <t>38063</t>
  </si>
  <si>
    <t>Oliver</t>
  </si>
  <si>
    <t>38065</t>
  </si>
  <si>
    <t>Pembina</t>
  </si>
  <si>
    <t>38067</t>
  </si>
  <si>
    <t>38069</t>
  </si>
  <si>
    <t>38071</t>
  </si>
  <si>
    <t>Ransom</t>
  </si>
  <si>
    <t>38073</t>
  </si>
  <si>
    <t>38075</t>
  </si>
  <si>
    <t>38077</t>
  </si>
  <si>
    <t>Rolette</t>
  </si>
  <si>
    <t>38079</t>
  </si>
  <si>
    <t>Sargent</t>
  </si>
  <si>
    <t>38081</t>
  </si>
  <si>
    <t>38083</t>
  </si>
  <si>
    <t>38085</t>
  </si>
  <si>
    <t>Slope</t>
  </si>
  <si>
    <t>38087</t>
  </si>
  <si>
    <t>38089</t>
  </si>
  <si>
    <t>38091</t>
  </si>
  <si>
    <t>Stutsman</t>
  </si>
  <si>
    <t>38093</t>
  </si>
  <si>
    <t>Towner</t>
  </si>
  <si>
    <t>38095</t>
  </si>
  <si>
    <t>Traill</t>
  </si>
  <si>
    <t>38097</t>
  </si>
  <si>
    <t>Walsh</t>
  </si>
  <si>
    <t>38099</t>
  </si>
  <si>
    <t>Ward</t>
  </si>
  <si>
    <t>38101</t>
  </si>
  <si>
    <t>38103</t>
  </si>
  <si>
    <t>Williams</t>
  </si>
  <si>
    <t>38105</t>
  </si>
  <si>
    <t>OHIO</t>
  </si>
  <si>
    <t xml:space="preserve"> OH</t>
  </si>
  <si>
    <t>39001</t>
  </si>
  <si>
    <t>39003</t>
  </si>
  <si>
    <t>Ashland</t>
  </si>
  <si>
    <t>39005</t>
  </si>
  <si>
    <t>Ashtabula</t>
  </si>
  <si>
    <t>39007</t>
  </si>
  <si>
    <t>Athens</t>
  </si>
  <si>
    <t>39009</t>
  </si>
  <si>
    <t>Auglaize</t>
  </si>
  <si>
    <t>39011</t>
  </si>
  <si>
    <t>Belmont</t>
  </si>
  <si>
    <t>39013</t>
  </si>
  <si>
    <t>39015</t>
  </si>
  <si>
    <t>39017</t>
  </si>
  <si>
    <t>39019</t>
  </si>
  <si>
    <t>39021</t>
  </si>
  <si>
    <t>39023</t>
  </si>
  <si>
    <t>Clermont</t>
  </si>
  <si>
    <t>39025</t>
  </si>
  <si>
    <t>39027</t>
  </si>
  <si>
    <t>Columbiana</t>
  </si>
  <si>
    <t>39029</t>
  </si>
  <si>
    <t>Coshocton</t>
  </si>
  <si>
    <t>39031</t>
  </si>
  <si>
    <t>39033</t>
  </si>
  <si>
    <t>Cuyahoga</t>
  </si>
  <si>
    <t>39035</t>
  </si>
  <si>
    <t>Darke</t>
  </si>
  <si>
    <t>39037</t>
  </si>
  <si>
    <t>Defiance</t>
  </si>
  <si>
    <t>39039</t>
  </si>
  <si>
    <t>39041</t>
  </si>
  <si>
    <t>39043</t>
  </si>
  <si>
    <t>39045</t>
  </si>
  <si>
    <t>39047</t>
  </si>
  <si>
    <t>39049</t>
  </si>
  <si>
    <t>39051</t>
  </si>
  <si>
    <t>Gallia</t>
  </si>
  <si>
    <t>39053</t>
  </si>
  <si>
    <t>Geauga</t>
  </si>
  <si>
    <t>39055</t>
  </si>
  <si>
    <t>39057</t>
  </si>
  <si>
    <t>Guernsey</t>
  </si>
  <si>
    <t>39059</t>
  </si>
  <si>
    <t>39061</t>
  </si>
  <si>
    <t>39063</t>
  </si>
  <si>
    <t>39065</t>
  </si>
  <si>
    <t>39067</t>
  </si>
  <si>
    <t>39069</t>
  </si>
  <si>
    <t>Highland</t>
  </si>
  <si>
    <t>39071</t>
  </si>
  <si>
    <t>Hocking</t>
  </si>
  <si>
    <t>39073</t>
  </si>
  <si>
    <t>39075</t>
  </si>
  <si>
    <t>39077</t>
  </si>
  <si>
    <t>39079</t>
  </si>
  <si>
    <t>39081</t>
  </si>
  <si>
    <t>39083</t>
  </si>
  <si>
    <t>39085</t>
  </si>
  <si>
    <t>39087</t>
  </si>
  <si>
    <t>Licking</t>
  </si>
  <si>
    <t>39089</t>
  </si>
  <si>
    <t>39091</t>
  </si>
  <si>
    <t>Lorain</t>
  </si>
  <si>
    <t>39093</t>
  </si>
  <si>
    <t>39095</t>
  </si>
  <si>
    <t>39097</t>
  </si>
  <si>
    <t>Mahoning</t>
  </si>
  <si>
    <t>39099</t>
  </si>
  <si>
    <t>39101</t>
  </si>
  <si>
    <t>Medina</t>
  </si>
  <si>
    <t>39103</t>
  </si>
  <si>
    <t>Meigs</t>
  </si>
  <si>
    <t>39105</t>
  </si>
  <si>
    <t>39107</t>
  </si>
  <si>
    <t>39109</t>
  </si>
  <si>
    <t>39111</t>
  </si>
  <si>
    <t>39113</t>
  </si>
  <si>
    <t>39115</t>
  </si>
  <si>
    <t>Morrow</t>
  </si>
  <si>
    <t>39117</t>
  </si>
  <si>
    <t>Muskingum</t>
  </si>
  <si>
    <t>39119</t>
  </si>
  <si>
    <t>39121</t>
  </si>
  <si>
    <t>39123</t>
  </si>
  <si>
    <t>39125</t>
  </si>
  <si>
    <t>39127</t>
  </si>
  <si>
    <t>Pickaway</t>
  </si>
  <si>
    <t>39129</t>
  </si>
  <si>
    <t>39131</t>
  </si>
  <si>
    <t>Portage</t>
  </si>
  <si>
    <t>39133</t>
  </si>
  <si>
    <t>Preble</t>
  </si>
  <si>
    <t>39135</t>
  </si>
  <si>
    <t>39137</t>
  </si>
  <si>
    <t>39139</t>
  </si>
  <si>
    <t>Ross</t>
  </si>
  <si>
    <t>39141</t>
  </si>
  <si>
    <t>Sandusky</t>
  </si>
  <si>
    <t>39143</t>
  </si>
  <si>
    <t>Scioto</t>
  </si>
  <si>
    <t>39145</t>
  </si>
  <si>
    <t>39147</t>
  </si>
  <si>
    <t>39149</t>
  </si>
  <si>
    <t>39151</t>
  </si>
  <si>
    <t>39153</t>
  </si>
  <si>
    <t>Trumbull</t>
  </si>
  <si>
    <t>39155</t>
  </si>
  <si>
    <t>Tuscarawas</t>
  </si>
  <si>
    <t>39157</t>
  </si>
  <si>
    <t>39159</t>
  </si>
  <si>
    <t>Van Wert</t>
  </si>
  <si>
    <t>39161</t>
  </si>
  <si>
    <t>Vinton</t>
  </si>
  <si>
    <t>39163</t>
  </si>
  <si>
    <t>39165</t>
  </si>
  <si>
    <t>39167</t>
  </si>
  <si>
    <t>39169</t>
  </si>
  <si>
    <t>39171</t>
  </si>
  <si>
    <t>Wood</t>
  </si>
  <si>
    <t>39173</t>
  </si>
  <si>
    <t>Wyandot</t>
  </si>
  <si>
    <t>39175</t>
  </si>
  <si>
    <t>OKLAHOMA</t>
  </si>
  <si>
    <t xml:space="preserve"> OK</t>
  </si>
  <si>
    <t>40001</t>
  </si>
  <si>
    <t>Alfalfa</t>
  </si>
  <si>
    <t>40003</t>
  </si>
  <si>
    <t>Atoka</t>
  </si>
  <si>
    <t>40005</t>
  </si>
  <si>
    <t>Beaver</t>
  </si>
  <si>
    <t>40007</t>
  </si>
  <si>
    <t>Beckham</t>
  </si>
  <si>
    <t>40009</t>
  </si>
  <si>
    <t>40011</t>
  </si>
  <si>
    <t>40013</t>
  </si>
  <si>
    <t>40015</t>
  </si>
  <si>
    <t>Canadian</t>
  </si>
  <si>
    <t>40017</t>
  </si>
  <si>
    <t>40019</t>
  </si>
  <si>
    <t>40021</t>
  </si>
  <si>
    <t>40023</t>
  </si>
  <si>
    <t>Cimarron</t>
  </si>
  <si>
    <t>40025</t>
  </si>
  <si>
    <t>40027</t>
  </si>
  <si>
    <t>Coal</t>
  </si>
  <si>
    <t>40029</t>
  </si>
  <si>
    <t>40031</t>
  </si>
  <si>
    <t>Cotton</t>
  </si>
  <si>
    <t>40033</t>
  </si>
  <si>
    <t>Craig</t>
  </si>
  <si>
    <t>40035</t>
  </si>
  <si>
    <t>Creek</t>
  </si>
  <si>
    <t>40037</t>
  </si>
  <si>
    <t>40039</t>
  </si>
  <si>
    <t>40041</t>
  </si>
  <si>
    <t>Dewey</t>
  </si>
  <si>
    <t>40043</t>
  </si>
  <si>
    <t>40045</t>
  </si>
  <si>
    <t>40047</t>
  </si>
  <si>
    <t>Garvin</t>
  </si>
  <si>
    <t>40049</t>
  </si>
  <si>
    <t>40051</t>
  </si>
  <si>
    <t>40053</t>
  </si>
  <si>
    <t>Greer</t>
  </si>
  <si>
    <t>40055</t>
  </si>
  <si>
    <t>Harmon</t>
  </si>
  <si>
    <t>40057</t>
  </si>
  <si>
    <t>40059</t>
  </si>
  <si>
    <t>40061</t>
  </si>
  <si>
    <t>Hughes</t>
  </si>
  <si>
    <t>40063</t>
  </si>
  <si>
    <t>40065</t>
  </si>
  <si>
    <t>40067</t>
  </si>
  <si>
    <t>40069</t>
  </si>
  <si>
    <t>Kay</t>
  </si>
  <si>
    <t>40071</t>
  </si>
  <si>
    <t>Kingfisher</t>
  </si>
  <si>
    <t>40073</t>
  </si>
  <si>
    <t>40075</t>
  </si>
  <si>
    <t>Latimer</t>
  </si>
  <si>
    <t>40077</t>
  </si>
  <si>
    <t>Le Flore</t>
  </si>
  <si>
    <t>40079</t>
  </si>
  <si>
    <t>40081</t>
  </si>
  <si>
    <t>40083</t>
  </si>
  <si>
    <t>Love</t>
  </si>
  <si>
    <t>40085</t>
  </si>
  <si>
    <t>McClain</t>
  </si>
  <si>
    <t>40087</t>
  </si>
  <si>
    <t>McCurtain</t>
  </si>
  <si>
    <t>40089</t>
  </si>
  <si>
    <t>40091</t>
  </si>
  <si>
    <t>Major</t>
  </si>
  <si>
    <t>40093</t>
  </si>
  <si>
    <t>40095</t>
  </si>
  <si>
    <t>Mayes</t>
  </si>
  <si>
    <t>40097</t>
  </si>
  <si>
    <t>40099</t>
  </si>
  <si>
    <t>Muskogee</t>
  </si>
  <si>
    <t>40101</t>
  </si>
  <si>
    <t>40103</t>
  </si>
  <si>
    <t>Nowata</t>
  </si>
  <si>
    <t>40105</t>
  </si>
  <si>
    <t>Okfuskee</t>
  </si>
  <si>
    <t>40107</t>
  </si>
  <si>
    <t>Oklahoma</t>
  </si>
  <si>
    <t>40109</t>
  </si>
  <si>
    <t>Okmulgee</t>
  </si>
  <si>
    <t>40111</t>
  </si>
  <si>
    <t>40113</t>
  </si>
  <si>
    <t>40115</t>
  </si>
  <si>
    <t>40117</t>
  </si>
  <si>
    <t>Payne</t>
  </si>
  <si>
    <t>40119</t>
  </si>
  <si>
    <t>Pittsburg</t>
  </si>
  <si>
    <t>40121</t>
  </si>
  <si>
    <t>40123</t>
  </si>
  <si>
    <t>40125</t>
  </si>
  <si>
    <t>Pushmataha</t>
  </si>
  <si>
    <t>40127</t>
  </si>
  <si>
    <t>Roger Mills</t>
  </si>
  <si>
    <t>40129</t>
  </si>
  <si>
    <t>Rogers</t>
  </si>
  <si>
    <t>40131</t>
  </si>
  <si>
    <t>40133</t>
  </si>
  <si>
    <t>Sequoyah</t>
  </si>
  <si>
    <t>40135</t>
  </si>
  <si>
    <t>40137</t>
  </si>
  <si>
    <t>40139</t>
  </si>
  <si>
    <t>Tillman</t>
  </si>
  <si>
    <t>40141</t>
  </si>
  <si>
    <t>Tulsa</t>
  </si>
  <si>
    <t>40143</t>
  </si>
  <si>
    <t>Wagoner</t>
  </si>
  <si>
    <t>40145</t>
  </si>
  <si>
    <t>40147</t>
  </si>
  <si>
    <t>Washita</t>
  </si>
  <si>
    <t>40149</t>
  </si>
  <si>
    <t>Woods</t>
  </si>
  <si>
    <t>40151</t>
  </si>
  <si>
    <t>Woodward</t>
  </si>
  <si>
    <t>40153</t>
  </si>
  <si>
    <t>OREGON</t>
  </si>
  <si>
    <t xml:space="preserve"> OR</t>
  </si>
  <si>
    <t>41001</t>
  </si>
  <si>
    <t>41003</t>
  </si>
  <si>
    <t>Clackamas</t>
  </si>
  <si>
    <t>41005</t>
  </si>
  <si>
    <t>Clatsop</t>
  </si>
  <si>
    <t>41007</t>
  </si>
  <si>
    <t>41009</t>
  </si>
  <si>
    <t>41011</t>
  </si>
  <si>
    <t>Crook</t>
  </si>
  <si>
    <t>41013</t>
  </si>
  <si>
    <t>41015</t>
  </si>
  <si>
    <t>Deschutes</t>
  </si>
  <si>
    <t>41017</t>
  </si>
  <si>
    <t>41019</t>
  </si>
  <si>
    <t>Gilliam</t>
  </si>
  <si>
    <t>41021</t>
  </si>
  <si>
    <t>41023</t>
  </si>
  <si>
    <t>Harney</t>
  </si>
  <si>
    <t>41025</t>
  </si>
  <si>
    <t>Hood River</t>
  </si>
  <si>
    <t>41027</t>
  </si>
  <si>
    <t>41029</t>
  </si>
  <si>
    <t>41031</t>
  </si>
  <si>
    <t>Josephine</t>
  </si>
  <si>
    <t>41033</t>
  </si>
  <si>
    <t>Klamath</t>
  </si>
  <si>
    <t>41035</t>
  </si>
  <si>
    <t>41037</t>
  </si>
  <si>
    <t>41039</t>
  </si>
  <si>
    <t>41041</t>
  </si>
  <si>
    <t>41043</t>
  </si>
  <si>
    <t>Malheur</t>
  </si>
  <si>
    <t>41045</t>
  </si>
  <si>
    <t>41047</t>
  </si>
  <si>
    <t>41049</t>
  </si>
  <si>
    <t>Multnomah</t>
  </si>
  <si>
    <t>41051</t>
  </si>
  <si>
    <t>41053</t>
  </si>
  <si>
    <t>41055</t>
  </si>
  <si>
    <t>Tillamook</t>
  </si>
  <si>
    <t>41057</t>
  </si>
  <si>
    <t>Umatilla</t>
  </si>
  <si>
    <t>41059</t>
  </si>
  <si>
    <t>41061</t>
  </si>
  <si>
    <t>Wallowa</t>
  </si>
  <si>
    <t>41063</t>
  </si>
  <si>
    <t>Wasco</t>
  </si>
  <si>
    <t>41065</t>
  </si>
  <si>
    <t>41067</t>
  </si>
  <si>
    <t>41069</t>
  </si>
  <si>
    <t>Yamhill</t>
  </si>
  <si>
    <t>41071</t>
  </si>
  <si>
    <t>PENNSYLVANIA</t>
  </si>
  <si>
    <t xml:space="preserve"> PA</t>
  </si>
  <si>
    <t>42001</t>
  </si>
  <si>
    <t>Allegheny</t>
  </si>
  <si>
    <t>42003</t>
  </si>
  <si>
    <t>Armstrong</t>
  </si>
  <si>
    <t>42005</t>
  </si>
  <si>
    <t>42007</t>
  </si>
  <si>
    <t>Bedford</t>
  </si>
  <si>
    <t>42009</t>
  </si>
  <si>
    <t>Berks</t>
  </si>
  <si>
    <t>42011</t>
  </si>
  <si>
    <t>Blair</t>
  </si>
  <si>
    <t>42013</t>
  </si>
  <si>
    <t>42015</t>
  </si>
  <si>
    <t>Bucks</t>
  </si>
  <si>
    <t>42017</t>
  </si>
  <si>
    <t>42019</t>
  </si>
  <si>
    <t>Cambria</t>
  </si>
  <si>
    <t>42021</t>
  </si>
  <si>
    <t>42023</t>
  </si>
  <si>
    <t>42025</t>
  </si>
  <si>
    <t>Centre</t>
  </si>
  <si>
    <t>42027</t>
  </si>
  <si>
    <t>Chester</t>
  </si>
  <si>
    <t>42029</t>
  </si>
  <si>
    <t>Clarion</t>
  </si>
  <si>
    <t>42031</t>
  </si>
  <si>
    <t>Clearfield</t>
  </si>
  <si>
    <t>42033</t>
  </si>
  <si>
    <t>42035</t>
  </si>
  <si>
    <t>42037</t>
  </si>
  <si>
    <t>42039</t>
  </si>
  <si>
    <t>42041</t>
  </si>
  <si>
    <t>Dauphin</t>
  </si>
  <si>
    <t>42043</t>
  </si>
  <si>
    <t>42045</t>
  </si>
  <si>
    <t>42047</t>
  </si>
  <si>
    <t>42049</t>
  </si>
  <si>
    <t>42051</t>
  </si>
  <si>
    <t>Forest</t>
  </si>
  <si>
    <t>42053</t>
  </si>
  <si>
    <t>42055</t>
  </si>
  <si>
    <t>42057</t>
  </si>
  <si>
    <t>42059</t>
  </si>
  <si>
    <t>Huntingdon</t>
  </si>
  <si>
    <t>42061</t>
  </si>
  <si>
    <t>Indiana</t>
  </si>
  <si>
    <t>42063</t>
  </si>
  <si>
    <t>42065</t>
  </si>
  <si>
    <t>Juniata</t>
  </si>
  <si>
    <t>42067</t>
  </si>
  <si>
    <t>Lackawanna</t>
  </si>
  <si>
    <t>42069</t>
  </si>
  <si>
    <t>42071</t>
  </si>
  <si>
    <t>42073</t>
  </si>
  <si>
    <t>Lebanon</t>
  </si>
  <si>
    <t>42075</t>
  </si>
  <si>
    <t>Lehigh</t>
  </si>
  <si>
    <t>42077</t>
  </si>
  <si>
    <t>Luzerne</t>
  </si>
  <si>
    <t>42079</t>
  </si>
  <si>
    <t>Lycoming</t>
  </si>
  <si>
    <t>42081</t>
  </si>
  <si>
    <t>McKean</t>
  </si>
  <si>
    <t>42083</t>
  </si>
  <si>
    <t>42085</t>
  </si>
  <si>
    <t>Mifflin</t>
  </si>
  <si>
    <t>42087</t>
  </si>
  <si>
    <t>42089</t>
  </si>
  <si>
    <t>42091</t>
  </si>
  <si>
    <t>Montour</t>
  </si>
  <si>
    <t>42093</t>
  </si>
  <si>
    <t>42095</t>
  </si>
  <si>
    <t>Northumberland</t>
  </si>
  <si>
    <t>42097</t>
  </si>
  <si>
    <t>42099</t>
  </si>
  <si>
    <t>Philadelphia</t>
  </si>
  <si>
    <t>42101</t>
  </si>
  <si>
    <t>42103</t>
  </si>
  <si>
    <t>Potter</t>
  </si>
  <si>
    <t>42105</t>
  </si>
  <si>
    <t>Schuylkill</t>
  </si>
  <si>
    <t>42107</t>
  </si>
  <si>
    <t>Snyder</t>
  </si>
  <si>
    <t>42109</t>
  </si>
  <si>
    <t>42111</t>
  </si>
  <si>
    <t>42113</t>
  </si>
  <si>
    <t>Susquehanna</t>
  </si>
  <si>
    <t>42115</t>
  </si>
  <si>
    <t>42117</t>
  </si>
  <si>
    <t>42119</t>
  </si>
  <si>
    <t>Venango</t>
  </si>
  <si>
    <t>42121</t>
  </si>
  <si>
    <t>42123</t>
  </si>
  <si>
    <t>42125</t>
  </si>
  <si>
    <t>42127</t>
  </si>
  <si>
    <t>Westmoreland</t>
  </si>
  <si>
    <t>42129</t>
  </si>
  <si>
    <t>42131</t>
  </si>
  <si>
    <t>42133</t>
  </si>
  <si>
    <t>RHODE ISLAND</t>
  </si>
  <si>
    <t xml:space="preserve"> RI</t>
  </si>
  <si>
    <t>44001</t>
  </si>
  <si>
    <t>44003</t>
  </si>
  <si>
    <t>Newport</t>
  </si>
  <si>
    <t>44005</t>
  </si>
  <si>
    <t>Providence</t>
  </si>
  <si>
    <t>44007</t>
  </si>
  <si>
    <t>44009</t>
  </si>
  <si>
    <t>SOUTH CAROLINA</t>
  </si>
  <si>
    <t>Abbeville</t>
  </si>
  <si>
    <t xml:space="preserve"> SC</t>
  </si>
  <si>
    <t>45001</t>
  </si>
  <si>
    <t>Aiken</t>
  </si>
  <si>
    <t>45003</t>
  </si>
  <si>
    <t>Allendale</t>
  </si>
  <si>
    <t>45005</t>
  </si>
  <si>
    <t>45007</t>
  </si>
  <si>
    <t>Bamberg</t>
  </si>
  <si>
    <t>45009</t>
  </si>
  <si>
    <t>Barnwell</t>
  </si>
  <si>
    <t>45011</t>
  </si>
  <si>
    <t>45013</t>
  </si>
  <si>
    <t>Berkeley</t>
  </si>
  <si>
    <t>45015</t>
  </si>
  <si>
    <t>45017</t>
  </si>
  <si>
    <t>Charleston</t>
  </si>
  <si>
    <t>45019</t>
  </si>
  <si>
    <t>45021</t>
  </si>
  <si>
    <t>45023</t>
  </si>
  <si>
    <t>Chesterfield</t>
  </si>
  <si>
    <t>45025</t>
  </si>
  <si>
    <t>Clarendon</t>
  </si>
  <si>
    <t>45027</t>
  </si>
  <si>
    <t>Colleton</t>
  </si>
  <si>
    <t>45029</t>
  </si>
  <si>
    <t>Darlington</t>
  </si>
  <si>
    <t>45031</t>
  </si>
  <si>
    <t>Dillon</t>
  </si>
  <si>
    <t>45033</t>
  </si>
  <si>
    <t>45035</t>
  </si>
  <si>
    <t>Edgefield</t>
  </si>
  <si>
    <t>45037</t>
  </si>
  <si>
    <t>45039</t>
  </si>
  <si>
    <t>Florence</t>
  </si>
  <si>
    <t>45041</t>
  </si>
  <si>
    <t>Georgetown</t>
  </si>
  <si>
    <t>45043</t>
  </si>
  <si>
    <t>Greenville</t>
  </si>
  <si>
    <t>45045</t>
  </si>
  <si>
    <t>45047</t>
  </si>
  <si>
    <t>Hampton</t>
  </si>
  <si>
    <t>45049</t>
  </si>
  <si>
    <t>Horry</t>
  </si>
  <si>
    <t>45051</t>
  </si>
  <si>
    <t>45053</t>
  </si>
  <si>
    <t>Kershaw</t>
  </si>
  <si>
    <t>45055</t>
  </si>
  <si>
    <t>45057</t>
  </si>
  <si>
    <t>45059</t>
  </si>
  <si>
    <t>45061</t>
  </si>
  <si>
    <t>Lexington</t>
  </si>
  <si>
    <t>45063</t>
  </si>
  <si>
    <t>McCormick</t>
  </si>
  <si>
    <t>45065</t>
  </si>
  <si>
    <t>45067</t>
  </si>
  <si>
    <t>Marlboro</t>
  </si>
  <si>
    <t>45069</t>
  </si>
  <si>
    <t>Newberry</t>
  </si>
  <si>
    <t>45071</t>
  </si>
  <si>
    <t>45073</t>
  </si>
  <si>
    <t>Orangeburg</t>
  </si>
  <si>
    <t>45075</t>
  </si>
  <si>
    <t>45077</t>
  </si>
  <si>
    <t>45079</t>
  </si>
  <si>
    <t>Saluda</t>
  </si>
  <si>
    <t>45081</t>
  </si>
  <si>
    <t>Spartanburg</t>
  </si>
  <si>
    <t>45083</t>
  </si>
  <si>
    <t>45085</t>
  </si>
  <si>
    <t>45087</t>
  </si>
  <si>
    <t>Williamsburg</t>
  </si>
  <si>
    <t>45089</t>
  </si>
  <si>
    <t>45091</t>
  </si>
  <si>
    <t>SOUTH DAKOTA</t>
  </si>
  <si>
    <t>Aurora</t>
  </si>
  <si>
    <t xml:space="preserve"> SD</t>
  </si>
  <si>
    <t>46003</t>
  </si>
  <si>
    <t>Beadle</t>
  </si>
  <si>
    <t>46005</t>
  </si>
  <si>
    <t>Bennett</t>
  </si>
  <si>
    <t>46007</t>
  </si>
  <si>
    <t>Bon Homme</t>
  </si>
  <si>
    <t>46009</t>
  </si>
  <si>
    <t>Brookings</t>
  </si>
  <si>
    <t>46011</t>
  </si>
  <si>
    <t>46013</t>
  </si>
  <si>
    <t>Brule</t>
  </si>
  <si>
    <t>46015</t>
  </si>
  <si>
    <t>46017</t>
  </si>
  <si>
    <t>46019</t>
  </si>
  <si>
    <t>46021</t>
  </si>
  <si>
    <t>Charles Mix</t>
  </si>
  <si>
    <t>46023</t>
  </si>
  <si>
    <t>46025</t>
  </si>
  <si>
    <t>46027</t>
  </si>
  <si>
    <t>Codington</t>
  </si>
  <si>
    <t>46029</t>
  </si>
  <si>
    <t>Corson</t>
  </si>
  <si>
    <t>46031</t>
  </si>
  <si>
    <t>46033</t>
  </si>
  <si>
    <t>Davison</t>
  </si>
  <si>
    <t>46035</t>
  </si>
  <si>
    <t>Day</t>
  </si>
  <si>
    <t>46037</t>
  </si>
  <si>
    <t>46039</t>
  </si>
  <si>
    <t>46041</t>
  </si>
  <si>
    <t>46043</t>
  </si>
  <si>
    <t>Edmunds</t>
  </si>
  <si>
    <t>46045</t>
  </si>
  <si>
    <t>Fall River</t>
  </si>
  <si>
    <t>46047</t>
  </si>
  <si>
    <t>Faulk</t>
  </si>
  <si>
    <t>46049</t>
  </si>
  <si>
    <t>46051</t>
  </si>
  <si>
    <t>Gregory</t>
  </si>
  <si>
    <t>46053</t>
  </si>
  <si>
    <t>Haakon</t>
  </si>
  <si>
    <t>46055</t>
  </si>
  <si>
    <t>Hamlin</t>
  </si>
  <si>
    <t>46057</t>
  </si>
  <si>
    <t>Hand</t>
  </si>
  <si>
    <t>46059</t>
  </si>
  <si>
    <t>Hanson</t>
  </si>
  <si>
    <t>46061</t>
  </si>
  <si>
    <t>46063</t>
  </si>
  <si>
    <t>46065</t>
  </si>
  <si>
    <t>Hutchinson</t>
  </si>
  <si>
    <t>46067</t>
  </si>
  <si>
    <t>46069</t>
  </si>
  <si>
    <t>46071</t>
  </si>
  <si>
    <t>Jerauld</t>
  </si>
  <si>
    <t>46073</t>
  </si>
  <si>
    <t>46075</t>
  </si>
  <si>
    <t>Kingsbury</t>
  </si>
  <si>
    <t>46077</t>
  </si>
  <si>
    <t>46079</t>
  </si>
  <si>
    <t>46081</t>
  </si>
  <si>
    <t>46083</t>
  </si>
  <si>
    <t>Lyman</t>
  </si>
  <si>
    <t>46085</t>
  </si>
  <si>
    <t>McCook</t>
  </si>
  <si>
    <t>46087</t>
  </si>
  <si>
    <t>46089</t>
  </si>
  <si>
    <t>46091</t>
  </si>
  <si>
    <t>46093</t>
  </si>
  <si>
    <t>Mellette</t>
  </si>
  <si>
    <t>46095</t>
  </si>
  <si>
    <t>Miner</t>
  </si>
  <si>
    <t>46097</t>
  </si>
  <si>
    <t>Minnehaha</t>
  </si>
  <si>
    <t>46099</t>
  </si>
  <si>
    <t>Moody</t>
  </si>
  <si>
    <t>46101</t>
  </si>
  <si>
    <t>46103</t>
  </si>
  <si>
    <t>46105</t>
  </si>
  <si>
    <t>46107</t>
  </si>
  <si>
    <t>Roberts</t>
  </si>
  <si>
    <t>46109</t>
  </si>
  <si>
    <t>Sanborn</t>
  </si>
  <si>
    <t>46111</t>
  </si>
  <si>
    <t>46113</t>
  </si>
  <si>
    <t>Spink</t>
  </si>
  <si>
    <t>46115</t>
  </si>
  <si>
    <t>Stanley</t>
  </si>
  <si>
    <t>46117</t>
  </si>
  <si>
    <t>Sully</t>
  </si>
  <si>
    <t>46119</t>
  </si>
  <si>
    <t>46121</t>
  </si>
  <si>
    <t>Tripp</t>
  </si>
  <si>
    <t>46123</t>
  </si>
  <si>
    <t>46125</t>
  </si>
  <si>
    <t>46127</t>
  </si>
  <si>
    <t>Walworth</t>
  </si>
  <si>
    <t>46129</t>
  </si>
  <si>
    <t>Yankton</t>
  </si>
  <si>
    <t>46135</t>
  </si>
  <si>
    <t>Ziebach</t>
  </si>
  <si>
    <t>46137</t>
  </si>
  <si>
    <t>TENNESSEE</t>
  </si>
  <si>
    <t xml:space="preserve"> TN</t>
  </si>
  <si>
    <t>47001</t>
  </si>
  <si>
    <t>47003</t>
  </si>
  <si>
    <t>47005</t>
  </si>
  <si>
    <t>Bledsoe</t>
  </si>
  <si>
    <t>47007</t>
  </si>
  <si>
    <t>47009</t>
  </si>
  <si>
    <t>47011</t>
  </si>
  <si>
    <t>47013</t>
  </si>
  <si>
    <t>Cannon</t>
  </si>
  <si>
    <t>47015</t>
  </si>
  <si>
    <t>47017</t>
  </si>
  <si>
    <t>47019</t>
  </si>
  <si>
    <t>Cheatham</t>
  </si>
  <si>
    <t>47021</t>
  </si>
  <si>
    <t>47023</t>
  </si>
  <si>
    <t>47025</t>
  </si>
  <si>
    <t>47027</t>
  </si>
  <si>
    <t>Cocke</t>
  </si>
  <si>
    <t>47029</t>
  </si>
  <si>
    <t>47031</t>
  </si>
  <si>
    <t>Crockett</t>
  </si>
  <si>
    <t>47033</t>
  </si>
  <si>
    <t>47035</t>
  </si>
  <si>
    <t>47037</t>
  </si>
  <si>
    <t>47039</t>
  </si>
  <si>
    <t>47041</t>
  </si>
  <si>
    <t>Dickson</t>
  </si>
  <si>
    <t>47043</t>
  </si>
  <si>
    <t>Dyer</t>
  </si>
  <si>
    <t>47045</t>
  </si>
  <si>
    <t>47047</t>
  </si>
  <si>
    <t>Fentress</t>
  </si>
  <si>
    <t>47049</t>
  </si>
  <si>
    <t>47051</t>
  </si>
  <si>
    <t>47053</t>
  </si>
  <si>
    <t>Giles</t>
  </si>
  <si>
    <t>47055</t>
  </si>
  <si>
    <t>Grainger</t>
  </si>
  <si>
    <t>47057</t>
  </si>
  <si>
    <t>47059</t>
  </si>
  <si>
    <t>47061</t>
  </si>
  <si>
    <t>Hamblen</t>
  </si>
  <si>
    <t>47063</t>
  </si>
  <si>
    <t>47065</t>
  </si>
  <si>
    <t>47067</t>
  </si>
  <si>
    <t>Hardeman</t>
  </si>
  <si>
    <t>47069</t>
  </si>
  <si>
    <t>47071</t>
  </si>
  <si>
    <t>Hawkins</t>
  </si>
  <si>
    <t>47073</t>
  </si>
  <si>
    <t>47075</t>
  </si>
  <si>
    <t>47077</t>
  </si>
  <si>
    <t>47079</t>
  </si>
  <si>
    <t>47081</t>
  </si>
  <si>
    <t>47083</t>
  </si>
  <si>
    <t>47085</t>
  </si>
  <si>
    <t>47087</t>
  </si>
  <si>
    <t>47089</t>
  </si>
  <si>
    <t>47091</t>
  </si>
  <si>
    <t>47093</t>
  </si>
  <si>
    <t>47095</t>
  </si>
  <si>
    <t>47097</t>
  </si>
  <si>
    <t>47099</t>
  </si>
  <si>
    <t>47101</t>
  </si>
  <si>
    <t>47103</t>
  </si>
  <si>
    <t>Loudon</t>
  </si>
  <si>
    <t>47105</t>
  </si>
  <si>
    <t>McMinn</t>
  </si>
  <si>
    <t>47107</t>
  </si>
  <si>
    <t>McNairy</t>
  </si>
  <si>
    <t>47109</t>
  </si>
  <si>
    <t>47111</t>
  </si>
  <si>
    <t>47113</t>
  </si>
  <si>
    <t>47115</t>
  </si>
  <si>
    <t>47117</t>
  </si>
  <si>
    <t>Maury</t>
  </si>
  <si>
    <t>47119</t>
  </si>
  <si>
    <t>47121</t>
  </si>
  <si>
    <t>47123</t>
  </si>
  <si>
    <t>47125</t>
  </si>
  <si>
    <t>47127</t>
  </si>
  <si>
    <t>47129</t>
  </si>
  <si>
    <t>Obion</t>
  </si>
  <si>
    <t>47131</t>
  </si>
  <si>
    <t>Overton</t>
  </si>
  <si>
    <t>47133</t>
  </si>
  <si>
    <t>47135</t>
  </si>
  <si>
    <t>Pickett</t>
  </si>
  <si>
    <t>47137</t>
  </si>
  <si>
    <t>47139</t>
  </si>
  <si>
    <t>47141</t>
  </si>
  <si>
    <t>Rhea</t>
  </si>
  <si>
    <t>47143</t>
  </si>
  <si>
    <t>Roane</t>
  </si>
  <si>
    <t>47145</t>
  </si>
  <si>
    <t>47147</t>
  </si>
  <si>
    <t>47149</t>
  </si>
  <si>
    <t>47151</t>
  </si>
  <si>
    <t>Sequatchie</t>
  </si>
  <si>
    <t>47153</t>
  </si>
  <si>
    <t>47155</t>
  </si>
  <si>
    <t>47157</t>
  </si>
  <si>
    <t>47159</t>
  </si>
  <si>
    <t>47161</t>
  </si>
  <si>
    <t>47163</t>
  </si>
  <si>
    <t>47165</t>
  </si>
  <si>
    <t>47167</t>
  </si>
  <si>
    <t>Trousdale</t>
  </si>
  <si>
    <t>47169</t>
  </si>
  <si>
    <t>Unicoi</t>
  </si>
  <si>
    <t>47171</t>
  </si>
  <si>
    <t>47173</t>
  </si>
  <si>
    <t>47175</t>
  </si>
  <si>
    <t>47177</t>
  </si>
  <si>
    <t>47179</t>
  </si>
  <si>
    <t>47181</t>
  </si>
  <si>
    <t>Weakley</t>
  </si>
  <si>
    <t>47183</t>
  </si>
  <si>
    <t>47185</t>
  </si>
  <si>
    <t>47187</t>
  </si>
  <si>
    <t>47189</t>
  </si>
  <si>
    <t>TEXAS</t>
  </si>
  <si>
    <t xml:space="preserve"> TX</t>
  </si>
  <si>
    <t>48001</t>
  </si>
  <si>
    <t>Andrews</t>
  </si>
  <si>
    <t>48003</t>
  </si>
  <si>
    <t>Angelina</t>
  </si>
  <si>
    <t>48005</t>
  </si>
  <si>
    <t>Aransas</t>
  </si>
  <si>
    <t>48007</t>
  </si>
  <si>
    <t>Archer</t>
  </si>
  <si>
    <t>48009</t>
  </si>
  <si>
    <t>48011</t>
  </si>
  <si>
    <t>Atascosa</t>
  </si>
  <si>
    <t>48013</t>
  </si>
  <si>
    <t>Austin</t>
  </si>
  <si>
    <t>48015</t>
  </si>
  <si>
    <t>Bailey</t>
  </si>
  <si>
    <t>48017</t>
  </si>
  <si>
    <t>Bandera</t>
  </si>
  <si>
    <t>48019</t>
  </si>
  <si>
    <t>Bastrop</t>
  </si>
  <si>
    <t>48021</t>
  </si>
  <si>
    <t>Baylor</t>
  </si>
  <si>
    <t>48023</t>
  </si>
  <si>
    <t>Bee</t>
  </si>
  <si>
    <t>48025</t>
  </si>
  <si>
    <t>48027</t>
  </si>
  <si>
    <t>Bexar</t>
  </si>
  <si>
    <t>48029</t>
  </si>
  <si>
    <t>Blanco</t>
  </si>
  <si>
    <t>48031</t>
  </si>
  <si>
    <t>Borden</t>
  </si>
  <si>
    <t>48033</t>
  </si>
  <si>
    <t>Bosque</t>
  </si>
  <si>
    <t>48035</t>
  </si>
  <si>
    <t>Bowie</t>
  </si>
  <si>
    <t>48037</t>
  </si>
  <si>
    <t>Brazoria</t>
  </si>
  <si>
    <t>48039</t>
  </si>
  <si>
    <t>Brazos</t>
  </si>
  <si>
    <t>48041</t>
  </si>
  <si>
    <t>Brewster</t>
  </si>
  <si>
    <t>48043</t>
  </si>
  <si>
    <t>Briscoe</t>
  </si>
  <si>
    <t>48045</t>
  </si>
  <si>
    <t>48047</t>
  </si>
  <si>
    <t>48049</t>
  </si>
  <si>
    <t>Burleson</t>
  </si>
  <si>
    <t>48051</t>
  </si>
  <si>
    <t>Burnet</t>
  </si>
  <si>
    <t>48053</t>
  </si>
  <si>
    <t>48055</t>
  </si>
  <si>
    <t>48057</t>
  </si>
  <si>
    <t>Callahan</t>
  </si>
  <si>
    <t>48059</t>
  </si>
  <si>
    <t>48061</t>
  </si>
  <si>
    <t>Camp</t>
  </si>
  <si>
    <t>48063</t>
  </si>
  <si>
    <t>Carson</t>
  </si>
  <si>
    <t>48065</t>
  </si>
  <si>
    <t>48067</t>
  </si>
  <si>
    <t>Castro</t>
  </si>
  <si>
    <t>48069</t>
  </si>
  <si>
    <t>48071</t>
  </si>
  <si>
    <t>48073</t>
  </si>
  <si>
    <t>Childress</t>
  </si>
  <si>
    <t>48075</t>
  </si>
  <si>
    <t>48077</t>
  </si>
  <si>
    <t>Cochran</t>
  </si>
  <si>
    <t>48079</t>
  </si>
  <si>
    <t>Coke</t>
  </si>
  <si>
    <t>48081</t>
  </si>
  <si>
    <t>Coleman</t>
  </si>
  <si>
    <t>48083</t>
  </si>
  <si>
    <t>Collin</t>
  </si>
  <si>
    <t>48085</t>
  </si>
  <si>
    <t>Collingsworth</t>
  </si>
  <si>
    <t>48087</t>
  </si>
  <si>
    <t>Colorado</t>
  </si>
  <si>
    <t>48089</t>
  </si>
  <si>
    <t>Comal</t>
  </si>
  <si>
    <t>48091</t>
  </si>
  <si>
    <t>48093</t>
  </si>
  <si>
    <t>Concho</t>
  </si>
  <si>
    <t>48095</t>
  </si>
  <si>
    <t>Cooke</t>
  </si>
  <si>
    <t>48097</t>
  </si>
  <si>
    <t>Coryell</t>
  </si>
  <si>
    <t>48099</t>
  </si>
  <si>
    <t>Cottle</t>
  </si>
  <si>
    <t>48101</t>
  </si>
  <si>
    <t>Crane</t>
  </si>
  <si>
    <t>48103</t>
  </si>
  <si>
    <t>48105</t>
  </si>
  <si>
    <t>Crosby</t>
  </si>
  <si>
    <t>48107</t>
  </si>
  <si>
    <t>Culberson</t>
  </si>
  <si>
    <t>48109</t>
  </si>
  <si>
    <t>Dallam</t>
  </si>
  <si>
    <t>48111</t>
  </si>
  <si>
    <t>48113</t>
  </si>
  <si>
    <t>48115</t>
  </si>
  <si>
    <t>Deaf Smith</t>
  </si>
  <si>
    <t>48117</t>
  </si>
  <si>
    <t>48119</t>
  </si>
  <si>
    <t>Denton</t>
  </si>
  <si>
    <t>48121</t>
  </si>
  <si>
    <t>DeWitt</t>
  </si>
  <si>
    <t>48123</t>
  </si>
  <si>
    <t>Dickens</t>
  </si>
  <si>
    <t>48125</t>
  </si>
  <si>
    <t>Dimmit</t>
  </si>
  <si>
    <t>48127</t>
  </si>
  <si>
    <t>Donley</t>
  </si>
  <si>
    <t>48129</t>
  </si>
  <si>
    <t>48131</t>
  </si>
  <si>
    <t>Eastland</t>
  </si>
  <si>
    <t>48133</t>
  </si>
  <si>
    <t>Ector</t>
  </si>
  <si>
    <t>48135</t>
  </si>
  <si>
    <t>48137</t>
  </si>
  <si>
    <t>48139</t>
  </si>
  <si>
    <t>48141</t>
  </si>
  <si>
    <t>Erath</t>
  </si>
  <si>
    <t>48143</t>
  </si>
  <si>
    <t>Falls</t>
  </si>
  <si>
    <t>48145</t>
  </si>
  <si>
    <t>48147</t>
  </si>
  <si>
    <t>48149</t>
  </si>
  <si>
    <t>Fisher</t>
  </si>
  <si>
    <t>48151</t>
  </si>
  <si>
    <t>48153</t>
  </si>
  <si>
    <t>Foard</t>
  </si>
  <si>
    <t>48155</t>
  </si>
  <si>
    <t>Fort Bend</t>
  </si>
  <si>
    <t>48157</t>
  </si>
  <si>
    <t>48159</t>
  </si>
  <si>
    <t>Freestone</t>
  </si>
  <si>
    <t>48161</t>
  </si>
  <si>
    <t>Frio</t>
  </si>
  <si>
    <t>48163</t>
  </si>
  <si>
    <t>Gaines</t>
  </si>
  <si>
    <t>48165</t>
  </si>
  <si>
    <t>Galveston</t>
  </si>
  <si>
    <t>48167</t>
  </si>
  <si>
    <t>Garza</t>
  </si>
  <si>
    <t>48169</t>
  </si>
  <si>
    <t>Gillespie</t>
  </si>
  <si>
    <t>48171</t>
  </si>
  <si>
    <t>Glasscock</t>
  </si>
  <si>
    <t>48173</t>
  </si>
  <si>
    <t>Goliad</t>
  </si>
  <si>
    <t>48175</t>
  </si>
  <si>
    <t>Gonzales</t>
  </si>
  <si>
    <t>48177</t>
  </si>
  <si>
    <t>48179</t>
  </si>
  <si>
    <t>48181</t>
  </si>
  <si>
    <t>Gregg</t>
  </si>
  <si>
    <t>48183</t>
  </si>
  <si>
    <t>Grimes</t>
  </si>
  <si>
    <t>48185</t>
  </si>
  <si>
    <t>48187</t>
  </si>
  <si>
    <t>48189</t>
  </si>
  <si>
    <t>48191</t>
  </si>
  <si>
    <t>48193</t>
  </si>
  <si>
    <t>Hansford</t>
  </si>
  <si>
    <t>48195</t>
  </si>
  <si>
    <t>48197</t>
  </si>
  <si>
    <t>48199</t>
  </si>
  <si>
    <t>48201</t>
  </si>
  <si>
    <t>48203</t>
  </si>
  <si>
    <t>Hartley</t>
  </si>
  <si>
    <t>48205</t>
  </si>
  <si>
    <t>48207</t>
  </si>
  <si>
    <t>Hays</t>
  </si>
  <si>
    <t>48209</t>
  </si>
  <si>
    <t>Hemphill</t>
  </si>
  <si>
    <t>48211</t>
  </si>
  <si>
    <t>48213</t>
  </si>
  <si>
    <t>48215</t>
  </si>
  <si>
    <t>48217</t>
  </si>
  <si>
    <t>Hockley</t>
  </si>
  <si>
    <t>48219</t>
  </si>
  <si>
    <t>Hood</t>
  </si>
  <si>
    <t>48221</t>
  </si>
  <si>
    <t>48223</t>
  </si>
  <si>
    <t>48225</t>
  </si>
  <si>
    <t>48227</t>
  </si>
  <si>
    <t>Hudspeth</t>
  </si>
  <si>
    <t>48229</t>
  </si>
  <si>
    <t>Hunt</t>
  </si>
  <si>
    <t>48231</t>
  </si>
  <si>
    <t>48233</t>
  </si>
  <si>
    <t>Irion</t>
  </si>
  <si>
    <t>48235</t>
  </si>
  <si>
    <t>Jack</t>
  </si>
  <si>
    <t>48237</t>
  </si>
  <si>
    <t>48239</t>
  </si>
  <si>
    <t>48241</t>
  </si>
  <si>
    <t>48243</t>
  </si>
  <si>
    <t>48245</t>
  </si>
  <si>
    <t>Jim Hogg</t>
  </si>
  <si>
    <t>48247</t>
  </si>
  <si>
    <t>Jim Wells</t>
  </si>
  <si>
    <t>48249</t>
  </si>
  <si>
    <t>48251</t>
  </si>
  <si>
    <t>48253</t>
  </si>
  <si>
    <t>Karnes</t>
  </si>
  <si>
    <t>48255</t>
  </si>
  <si>
    <t>Kaufman</t>
  </si>
  <si>
    <t>48257</t>
  </si>
  <si>
    <t>48259</t>
  </si>
  <si>
    <t>Kenedy</t>
  </si>
  <si>
    <t>48261</t>
  </si>
  <si>
    <t>48263</t>
  </si>
  <si>
    <t>Kerr</t>
  </si>
  <si>
    <t>48265</t>
  </si>
  <si>
    <t>Kimble</t>
  </si>
  <si>
    <t>48267</t>
  </si>
  <si>
    <t>King</t>
  </si>
  <si>
    <t>48269</t>
  </si>
  <si>
    <t>Kinney</t>
  </si>
  <si>
    <t>48271</t>
  </si>
  <si>
    <t>Kleberg</t>
  </si>
  <si>
    <t>48273</t>
  </si>
  <si>
    <t>48275</t>
  </si>
  <si>
    <t>48277</t>
  </si>
  <si>
    <t>Lamb</t>
  </si>
  <si>
    <t>48279</t>
  </si>
  <si>
    <t>Lampasas</t>
  </si>
  <si>
    <t>48281</t>
  </si>
  <si>
    <t>48283</t>
  </si>
  <si>
    <t>Lavaca</t>
  </si>
  <si>
    <t>48285</t>
  </si>
  <si>
    <t>48287</t>
  </si>
  <si>
    <t>48289</t>
  </si>
  <si>
    <t>48291</t>
  </si>
  <si>
    <t>48293</t>
  </si>
  <si>
    <t>Lipscomb</t>
  </si>
  <si>
    <t>48295</t>
  </si>
  <si>
    <t>Live Oak</t>
  </si>
  <si>
    <t>48297</t>
  </si>
  <si>
    <t>Llano</t>
  </si>
  <si>
    <t>48299</t>
  </si>
  <si>
    <t>Loving</t>
  </si>
  <si>
    <t>48301</t>
  </si>
  <si>
    <t>Lubbock</t>
  </si>
  <si>
    <t>48303</t>
  </si>
  <si>
    <t>Lynn</t>
  </si>
  <si>
    <t>48305</t>
  </si>
  <si>
    <t>McCulloch</t>
  </si>
  <si>
    <t>48307</t>
  </si>
  <si>
    <t>McLennan</t>
  </si>
  <si>
    <t>48309</t>
  </si>
  <si>
    <t>McMullen</t>
  </si>
  <si>
    <t>48311</t>
  </si>
  <si>
    <t>48313</t>
  </si>
  <si>
    <t>48315</t>
  </si>
  <si>
    <t>48317</t>
  </si>
  <si>
    <t>48319</t>
  </si>
  <si>
    <t>Matagorda</t>
  </si>
  <si>
    <t>48321</t>
  </si>
  <si>
    <t>Maverick</t>
  </si>
  <si>
    <t>48323</t>
  </si>
  <si>
    <t>48325</t>
  </si>
  <si>
    <t>48327</t>
  </si>
  <si>
    <t>48329</t>
  </si>
  <si>
    <t>Milam</t>
  </si>
  <si>
    <t>48331</t>
  </si>
  <si>
    <t>48333</t>
  </si>
  <si>
    <t>48335</t>
  </si>
  <si>
    <t>Montague</t>
  </si>
  <si>
    <t>48337</t>
  </si>
  <si>
    <t>48339</t>
  </si>
  <si>
    <t>48341</t>
  </si>
  <si>
    <t>48343</t>
  </si>
  <si>
    <t>Motley</t>
  </si>
  <si>
    <t>48345</t>
  </si>
  <si>
    <t>Nacogdoches</t>
  </si>
  <si>
    <t>48347</t>
  </si>
  <si>
    <t>Navarro</t>
  </si>
  <si>
    <t>48349</t>
  </si>
  <si>
    <t>48351</t>
  </si>
  <si>
    <t>Nolan</t>
  </si>
  <si>
    <t>48353</t>
  </si>
  <si>
    <t>Nueces</t>
  </si>
  <si>
    <t>48355</t>
  </si>
  <si>
    <t>Ochiltree</t>
  </si>
  <si>
    <t>48357</t>
  </si>
  <si>
    <t>48359</t>
  </si>
  <si>
    <t>48361</t>
  </si>
  <si>
    <t>Palo Pinto</t>
  </si>
  <si>
    <t>48363</t>
  </si>
  <si>
    <t>48365</t>
  </si>
  <si>
    <t>Parker</t>
  </si>
  <si>
    <t>48367</t>
  </si>
  <si>
    <t>Parmer</t>
  </si>
  <si>
    <t>48369</t>
  </si>
  <si>
    <t>Pecos</t>
  </si>
  <si>
    <t>48371</t>
  </si>
  <si>
    <t>48373</t>
  </si>
  <si>
    <t>48375</t>
  </si>
  <si>
    <t>Presidio</t>
  </si>
  <si>
    <t>48377</t>
  </si>
  <si>
    <t>Rains</t>
  </si>
  <si>
    <t>48379</t>
  </si>
  <si>
    <t>Randall</t>
  </si>
  <si>
    <t>48381</t>
  </si>
  <si>
    <t>Reagan</t>
  </si>
  <si>
    <t>48383</t>
  </si>
  <si>
    <t>Real</t>
  </si>
  <si>
    <t>48385</t>
  </si>
  <si>
    <t>48387</t>
  </si>
  <si>
    <t>Reeves</t>
  </si>
  <si>
    <t>48389</t>
  </si>
  <si>
    <t>Refugio</t>
  </si>
  <si>
    <t>48391</t>
  </si>
  <si>
    <t>48393</t>
  </si>
  <si>
    <t>48395</t>
  </si>
  <si>
    <t>Rockwall</t>
  </si>
  <si>
    <t>48397</t>
  </si>
  <si>
    <t>Runnels</t>
  </si>
  <si>
    <t>48399</t>
  </si>
  <si>
    <t>Rusk</t>
  </si>
  <si>
    <t>48401</t>
  </si>
  <si>
    <t>48403</t>
  </si>
  <si>
    <t>San Augustine</t>
  </si>
  <si>
    <t>48405</t>
  </si>
  <si>
    <t>San Jacinto</t>
  </si>
  <si>
    <t>48407</t>
  </si>
  <si>
    <t>San Patricio</t>
  </si>
  <si>
    <t>48409</t>
  </si>
  <si>
    <t>San Saba</t>
  </si>
  <si>
    <t>48411</t>
  </si>
  <si>
    <t>Schleicher</t>
  </si>
  <si>
    <t>48413</t>
  </si>
  <si>
    <t>Scurry</t>
  </si>
  <si>
    <t>48415</t>
  </si>
  <si>
    <t>Shackelford</t>
  </si>
  <si>
    <t>48417</t>
  </si>
  <si>
    <t>48419</t>
  </si>
  <si>
    <t>48421</t>
  </si>
  <si>
    <t>48423</t>
  </si>
  <si>
    <t>Somervell</t>
  </si>
  <si>
    <t>48425</t>
  </si>
  <si>
    <t>Starr</t>
  </si>
  <si>
    <t>48427</t>
  </si>
  <si>
    <t>48429</t>
  </si>
  <si>
    <t>Sterling</t>
  </si>
  <si>
    <t>48431</t>
  </si>
  <si>
    <t>Stonewall</t>
  </si>
  <si>
    <t>48433</t>
  </si>
  <si>
    <t>Sutton</t>
  </si>
  <si>
    <t>48435</t>
  </si>
  <si>
    <t>Swisher</t>
  </si>
  <si>
    <t>48437</t>
  </si>
  <si>
    <t>Tarrant</t>
  </si>
  <si>
    <t>48439</t>
  </si>
  <si>
    <t>48441</t>
  </si>
  <si>
    <t>48443</t>
  </si>
  <si>
    <t>Terry</t>
  </si>
  <si>
    <t>48445</t>
  </si>
  <si>
    <t>Throckmorton</t>
  </si>
  <si>
    <t>48447</t>
  </si>
  <si>
    <t>Titus</t>
  </si>
  <si>
    <t>48449</t>
  </si>
  <si>
    <t>Tom Green</t>
  </si>
  <si>
    <t>48451</t>
  </si>
  <si>
    <t>Travis</t>
  </si>
  <si>
    <t>48453</t>
  </si>
  <si>
    <t>48455</t>
  </si>
  <si>
    <t>Tyler</t>
  </si>
  <si>
    <t>48457</t>
  </si>
  <si>
    <t>Upshur</t>
  </si>
  <si>
    <t>48459</t>
  </si>
  <si>
    <t>Upton</t>
  </si>
  <si>
    <t>48461</t>
  </si>
  <si>
    <t>Uvalde</t>
  </si>
  <si>
    <t>48463</t>
  </si>
  <si>
    <t>Val Verde</t>
  </si>
  <si>
    <t>48465</t>
  </si>
  <si>
    <t>Van Zandt</t>
  </si>
  <si>
    <t>48467</t>
  </si>
  <si>
    <t>Victoria</t>
  </si>
  <si>
    <t>48469</t>
  </si>
  <si>
    <t>48471</t>
  </si>
  <si>
    <t>Waller</t>
  </si>
  <si>
    <t>48473</t>
  </si>
  <si>
    <t>48475</t>
  </si>
  <si>
    <t>48477</t>
  </si>
  <si>
    <t>Webb</t>
  </si>
  <si>
    <t>48479</t>
  </si>
  <si>
    <t>Wharton</t>
  </si>
  <si>
    <t>48481</t>
  </si>
  <si>
    <t>48483</t>
  </si>
  <si>
    <t>48485</t>
  </si>
  <si>
    <t>Wilbarger</t>
  </si>
  <si>
    <t>48487</t>
  </si>
  <si>
    <t>Willacy</t>
  </si>
  <si>
    <t>48489</t>
  </si>
  <si>
    <t>48491</t>
  </si>
  <si>
    <t>48493</t>
  </si>
  <si>
    <t>Winkler</t>
  </si>
  <si>
    <t>48495</t>
  </si>
  <si>
    <t>Wise</t>
  </si>
  <si>
    <t>48497</t>
  </si>
  <si>
    <t>48499</t>
  </si>
  <si>
    <t>Yoakum</t>
  </si>
  <si>
    <t>48501</t>
  </si>
  <si>
    <t>Young</t>
  </si>
  <si>
    <t>48503</t>
  </si>
  <si>
    <t>Zapata</t>
  </si>
  <si>
    <t>48505</t>
  </si>
  <si>
    <t>Zavala</t>
  </si>
  <si>
    <t>48507</t>
  </si>
  <si>
    <t>UTAH</t>
  </si>
  <si>
    <t xml:space="preserve"> UT</t>
  </si>
  <si>
    <t>49001</t>
  </si>
  <si>
    <t>Box Elder</t>
  </si>
  <si>
    <t>49003</t>
  </si>
  <si>
    <t>Cache</t>
  </si>
  <si>
    <t>49005</t>
  </si>
  <si>
    <t>49007</t>
  </si>
  <si>
    <t>Daggett</t>
  </si>
  <si>
    <t>49009</t>
  </si>
  <si>
    <t>49011</t>
  </si>
  <si>
    <t>Duchesne</t>
  </si>
  <si>
    <t>49013</t>
  </si>
  <si>
    <t>Emery</t>
  </si>
  <si>
    <t>49015</t>
  </si>
  <si>
    <t>49017</t>
  </si>
  <si>
    <t>49019</t>
  </si>
  <si>
    <t>49021</t>
  </si>
  <si>
    <t>Juab</t>
  </si>
  <si>
    <t>49023</t>
  </si>
  <si>
    <t>49025</t>
  </si>
  <si>
    <t>Millard</t>
  </si>
  <si>
    <t>49027</t>
  </si>
  <si>
    <t>49029</t>
  </si>
  <si>
    <t>Piute</t>
  </si>
  <si>
    <t>49031</t>
  </si>
  <si>
    <t>Rich</t>
  </si>
  <si>
    <t>49033</t>
  </si>
  <si>
    <t>Salt Lake</t>
  </si>
  <si>
    <t>49035</t>
  </si>
  <si>
    <t>49037</t>
  </si>
  <si>
    <t>Sanpete</t>
  </si>
  <si>
    <t>49039</t>
  </si>
  <si>
    <t>49041</t>
  </si>
  <si>
    <t>49043</t>
  </si>
  <si>
    <t>Tooele</t>
  </si>
  <si>
    <t>49045</t>
  </si>
  <si>
    <t>Uintah</t>
  </si>
  <si>
    <t>49047</t>
  </si>
  <si>
    <t>Utah</t>
  </si>
  <si>
    <t>49049</t>
  </si>
  <si>
    <t>Wasatch</t>
  </si>
  <si>
    <t>49051</t>
  </si>
  <si>
    <t>49053</t>
  </si>
  <si>
    <t>49055</t>
  </si>
  <si>
    <t>Weber</t>
  </si>
  <si>
    <t>49057</t>
  </si>
  <si>
    <t>VERMONT</t>
  </si>
  <si>
    <t>Addison</t>
  </si>
  <si>
    <t xml:space="preserve"> VT</t>
  </si>
  <si>
    <t>50001</t>
  </si>
  <si>
    <t>Bennington</t>
  </si>
  <si>
    <t>50003</t>
  </si>
  <si>
    <t>Caledonia</t>
  </si>
  <si>
    <t>50005</t>
  </si>
  <si>
    <t>Chittenden</t>
  </si>
  <si>
    <t>50007</t>
  </si>
  <si>
    <t>50009</t>
  </si>
  <si>
    <t>50011</t>
  </si>
  <si>
    <t>Grand Isle</t>
  </si>
  <si>
    <t>50013</t>
  </si>
  <si>
    <t>Lamoille</t>
  </si>
  <si>
    <t>50015</t>
  </si>
  <si>
    <t>50017</t>
  </si>
  <si>
    <t>50019</t>
  </si>
  <si>
    <t>Rutland</t>
  </si>
  <si>
    <t>50021</t>
  </si>
  <si>
    <t>50023</t>
  </si>
  <si>
    <t>50025</t>
  </si>
  <si>
    <t>Windsor</t>
  </si>
  <si>
    <t>50027</t>
  </si>
  <si>
    <t>VIRGINIA</t>
  </si>
  <si>
    <t>Accomack</t>
  </si>
  <si>
    <t xml:space="preserve"> VA</t>
  </si>
  <si>
    <t>51001</t>
  </si>
  <si>
    <t>Albemarle</t>
  </si>
  <si>
    <t>51003</t>
  </si>
  <si>
    <t>51005</t>
  </si>
  <si>
    <t>Amelia</t>
  </si>
  <si>
    <t>51007</t>
  </si>
  <si>
    <t>Amherst</t>
  </si>
  <si>
    <t>51009</t>
  </si>
  <si>
    <t>Appomattox</t>
  </si>
  <si>
    <t>51011</t>
  </si>
  <si>
    <t>Arlington</t>
  </si>
  <si>
    <t>51013</t>
  </si>
  <si>
    <t>Augusta</t>
  </si>
  <si>
    <t>51015</t>
  </si>
  <si>
    <t>51017</t>
  </si>
  <si>
    <t>51019</t>
  </si>
  <si>
    <t>Bland</t>
  </si>
  <si>
    <t>51021</t>
  </si>
  <si>
    <t>Botetourt</t>
  </si>
  <si>
    <t>51023</t>
  </si>
  <si>
    <t>51025</t>
  </si>
  <si>
    <t>51027</t>
  </si>
  <si>
    <t>Buckingham</t>
  </si>
  <si>
    <t>51029</t>
  </si>
  <si>
    <t>51031</t>
  </si>
  <si>
    <t>51033</t>
  </si>
  <si>
    <t>51035</t>
  </si>
  <si>
    <t>Charles City</t>
  </si>
  <si>
    <t>51036</t>
  </si>
  <si>
    <t>51037</t>
  </si>
  <si>
    <t>51041</t>
  </si>
  <si>
    <t>51043</t>
  </si>
  <si>
    <t>51045</t>
  </si>
  <si>
    <t>Culpeper</t>
  </si>
  <si>
    <t>51047</t>
  </si>
  <si>
    <t>51049</t>
  </si>
  <si>
    <t>Dickenson</t>
  </si>
  <si>
    <t>51051</t>
  </si>
  <si>
    <t>Dinwiddie</t>
  </si>
  <si>
    <t>51053</t>
  </si>
  <si>
    <t>51057</t>
  </si>
  <si>
    <t>Fairfax</t>
  </si>
  <si>
    <t>51059</t>
  </si>
  <si>
    <t>Fauquier</t>
  </si>
  <si>
    <t>51061</t>
  </si>
  <si>
    <t>51063</t>
  </si>
  <si>
    <t>Fluvanna</t>
  </si>
  <si>
    <t>51065</t>
  </si>
  <si>
    <t>51067</t>
  </si>
  <si>
    <t>51069</t>
  </si>
  <si>
    <t>51071</t>
  </si>
  <si>
    <t>51073</t>
  </si>
  <si>
    <t>Goochland</t>
  </si>
  <si>
    <t>51075</t>
  </si>
  <si>
    <t>51077</t>
  </si>
  <si>
    <t>51079</t>
  </si>
  <si>
    <t>Greensville</t>
  </si>
  <si>
    <t>51081</t>
  </si>
  <si>
    <t>51083</t>
  </si>
  <si>
    <t>Hanover</t>
  </si>
  <si>
    <t>51085</t>
  </si>
  <si>
    <t>Henrico</t>
  </si>
  <si>
    <t>51087</t>
  </si>
  <si>
    <t>51089</t>
  </si>
  <si>
    <t>51091</t>
  </si>
  <si>
    <t>Isle of Wight</t>
  </si>
  <si>
    <t>51093</t>
  </si>
  <si>
    <t>James City</t>
  </si>
  <si>
    <t>51095</t>
  </si>
  <si>
    <t>King and Queen</t>
  </si>
  <si>
    <t>51097</t>
  </si>
  <si>
    <t>King George</t>
  </si>
  <si>
    <t>51099</t>
  </si>
  <si>
    <t>King William</t>
  </si>
  <si>
    <t>51101</t>
  </si>
  <si>
    <t>51103</t>
  </si>
  <si>
    <t>51105</t>
  </si>
  <si>
    <t>Loudoun</t>
  </si>
  <si>
    <t>51107</t>
  </si>
  <si>
    <t>51109</t>
  </si>
  <si>
    <t>Lunenburg</t>
  </si>
  <si>
    <t>51111</t>
  </si>
  <si>
    <t>51113</t>
  </si>
  <si>
    <t>Mathews</t>
  </si>
  <si>
    <t>51115</t>
  </si>
  <si>
    <t>51117</t>
  </si>
  <si>
    <t>51119</t>
  </si>
  <si>
    <t>51121</t>
  </si>
  <si>
    <t>51125</t>
  </si>
  <si>
    <t>New Kent</t>
  </si>
  <si>
    <t>51127</t>
  </si>
  <si>
    <t>51131</t>
  </si>
  <si>
    <t>51133</t>
  </si>
  <si>
    <t>Nottoway</t>
  </si>
  <si>
    <t>51135</t>
  </si>
  <si>
    <t>51137</t>
  </si>
  <si>
    <t>51139</t>
  </si>
  <si>
    <t>Patrick</t>
  </si>
  <si>
    <t>51141</t>
  </si>
  <si>
    <t>Pittsylvania</t>
  </si>
  <si>
    <t>51143</t>
  </si>
  <si>
    <t>Powhatan</t>
  </si>
  <si>
    <t>51145</t>
  </si>
  <si>
    <t>Prince Edward</t>
  </si>
  <si>
    <t>51147</t>
  </si>
  <si>
    <t>Prince George</t>
  </si>
  <si>
    <t>51149</t>
  </si>
  <si>
    <t>Prince William</t>
  </si>
  <si>
    <t>51153</t>
  </si>
  <si>
    <t>51155</t>
  </si>
  <si>
    <t>Rappahannock</t>
  </si>
  <si>
    <t>51157</t>
  </si>
  <si>
    <t>51159</t>
  </si>
  <si>
    <t>Roanoke</t>
  </si>
  <si>
    <t>51161</t>
  </si>
  <si>
    <t>Rockbridge</t>
  </si>
  <si>
    <t>51163</t>
  </si>
  <si>
    <t>51165</t>
  </si>
  <si>
    <t>51167</t>
  </si>
  <si>
    <t>51169</t>
  </si>
  <si>
    <t>Shenandoah</t>
  </si>
  <si>
    <t>51171</t>
  </si>
  <si>
    <t>Smyth</t>
  </si>
  <si>
    <t>51173</t>
  </si>
  <si>
    <t>Southampton</t>
  </si>
  <si>
    <t>51175</t>
  </si>
  <si>
    <t>Spotsylvania</t>
  </si>
  <si>
    <t>51177</t>
  </si>
  <si>
    <t>51179</t>
  </si>
  <si>
    <t>51181</t>
  </si>
  <si>
    <t>51183</t>
  </si>
  <si>
    <t>51185</t>
  </si>
  <si>
    <t>51187</t>
  </si>
  <si>
    <t>51191</t>
  </si>
  <si>
    <t>51193</t>
  </si>
  <si>
    <t>51195</t>
  </si>
  <si>
    <t>Wythe</t>
  </si>
  <si>
    <t>51197</t>
  </si>
  <si>
    <t>51199</t>
  </si>
  <si>
    <t>Alexandria</t>
  </si>
  <si>
    <t>51510</t>
  </si>
  <si>
    <t>51515</t>
  </si>
  <si>
    <t>51520</t>
  </si>
  <si>
    <t>51530</t>
  </si>
  <si>
    <t>Charlottesville</t>
  </si>
  <si>
    <t>51540</t>
  </si>
  <si>
    <t>Chesapeake</t>
  </si>
  <si>
    <t>51550</t>
  </si>
  <si>
    <t>Clifton Forge</t>
  </si>
  <si>
    <t>51560</t>
  </si>
  <si>
    <t>Colonial Heights</t>
  </si>
  <si>
    <t>51570</t>
  </si>
  <si>
    <t>51580</t>
  </si>
  <si>
    <t>Danville</t>
  </si>
  <si>
    <t>51590</t>
  </si>
  <si>
    <t>Emporia</t>
  </si>
  <si>
    <t>51595</t>
  </si>
  <si>
    <t>51600</t>
  </si>
  <si>
    <t>Falls Church</t>
  </si>
  <si>
    <t>51610</t>
  </si>
  <si>
    <t>51620</t>
  </si>
  <si>
    <t>Fredericksburg</t>
  </si>
  <si>
    <t>51630</t>
  </si>
  <si>
    <t>Galax</t>
  </si>
  <si>
    <t>51640</t>
  </si>
  <si>
    <t>51650</t>
  </si>
  <si>
    <t>Harrisonburg</t>
  </si>
  <si>
    <t>51660</t>
  </si>
  <si>
    <t>Hopewell</t>
  </si>
  <si>
    <t>51670</t>
  </si>
  <si>
    <t>51678</t>
  </si>
  <si>
    <t>Lynchburg</t>
  </si>
  <si>
    <t>51680</t>
  </si>
  <si>
    <t>Manassas</t>
  </si>
  <si>
    <t>51683</t>
  </si>
  <si>
    <t>Manassas Park</t>
  </si>
  <si>
    <t>51685</t>
  </si>
  <si>
    <t>Martinsville</t>
  </si>
  <si>
    <t>51690</t>
  </si>
  <si>
    <t>Newport News</t>
  </si>
  <si>
    <t>51700</t>
  </si>
  <si>
    <t>51710</t>
  </si>
  <si>
    <t>51720</t>
  </si>
  <si>
    <t>51730</t>
  </si>
  <si>
    <t>Poquoson</t>
  </si>
  <si>
    <t>51735</t>
  </si>
  <si>
    <t>Portsmouth</t>
  </si>
  <si>
    <t>51740</t>
  </si>
  <si>
    <t>Radford</t>
  </si>
  <si>
    <t>51750</t>
  </si>
  <si>
    <t>51760</t>
  </si>
  <si>
    <t>51770</t>
  </si>
  <si>
    <t>51775</t>
  </si>
  <si>
    <t>South Boston</t>
  </si>
  <si>
    <t>51780</t>
  </si>
  <si>
    <t>Staunton</t>
  </si>
  <si>
    <t>51790</t>
  </si>
  <si>
    <t>51800</t>
  </si>
  <si>
    <t>Virginia Beach</t>
  </si>
  <si>
    <t>51810</t>
  </si>
  <si>
    <t>Waynesboro</t>
  </si>
  <si>
    <t>51820</t>
  </si>
  <si>
    <t>51830</t>
  </si>
  <si>
    <t>Winchester</t>
  </si>
  <si>
    <t>51840</t>
  </si>
  <si>
    <t>WASHINGTON</t>
  </si>
  <si>
    <t xml:space="preserve"> WA</t>
  </si>
  <si>
    <t>53001</t>
  </si>
  <si>
    <t>Asotin</t>
  </si>
  <si>
    <t>53003</t>
  </si>
  <si>
    <t>53005</t>
  </si>
  <si>
    <t>Chelan</t>
  </si>
  <si>
    <t>53007</t>
  </si>
  <si>
    <t>Clallam</t>
  </si>
  <si>
    <t>53009</t>
  </si>
  <si>
    <t>53011</t>
  </si>
  <si>
    <t>53013</t>
  </si>
  <si>
    <t>Cowlitz</t>
  </si>
  <si>
    <t>53015</t>
  </si>
  <si>
    <t>53017</t>
  </si>
  <si>
    <t>Ferry</t>
  </si>
  <si>
    <t>53019</t>
  </si>
  <si>
    <t>53021</t>
  </si>
  <si>
    <t>53023</t>
  </si>
  <si>
    <t>53025</t>
  </si>
  <si>
    <t>Grays Harbor</t>
  </si>
  <si>
    <t>53027</t>
  </si>
  <si>
    <t>Island</t>
  </si>
  <si>
    <t>53029</t>
  </si>
  <si>
    <t>53031</t>
  </si>
  <si>
    <t>53033</t>
  </si>
  <si>
    <t>Kitsap</t>
  </si>
  <si>
    <t>53035</t>
  </si>
  <si>
    <t>Kittitas</t>
  </si>
  <si>
    <t>53037</t>
  </si>
  <si>
    <t>Klickitat</t>
  </si>
  <si>
    <t>53039</t>
  </si>
  <si>
    <t>53041</t>
  </si>
  <si>
    <t>53043</t>
  </si>
  <si>
    <t>53045</t>
  </si>
  <si>
    <t>Okanogan</t>
  </si>
  <si>
    <t>53047</t>
  </si>
  <si>
    <t>Pacific</t>
  </si>
  <si>
    <t>53049</t>
  </si>
  <si>
    <t>Pend Oreille</t>
  </si>
  <si>
    <t>53051</t>
  </si>
  <si>
    <t>53053</t>
  </si>
  <si>
    <t>53055</t>
  </si>
  <si>
    <t>Skagit</t>
  </si>
  <si>
    <t>53057</t>
  </si>
  <si>
    <t>Skamania</t>
  </si>
  <si>
    <t>53059</t>
  </si>
  <si>
    <t>Snohomish</t>
  </si>
  <si>
    <t>53061</t>
  </si>
  <si>
    <t>Spokane</t>
  </si>
  <si>
    <t>53063</t>
  </si>
  <si>
    <t>53065</t>
  </si>
  <si>
    <t>53067</t>
  </si>
  <si>
    <t>Wahkiakum</t>
  </si>
  <si>
    <t>53069</t>
  </si>
  <si>
    <t>Walla Walla</t>
  </si>
  <si>
    <t>53071</t>
  </si>
  <si>
    <t>Whatcom</t>
  </si>
  <si>
    <t>53073</t>
  </si>
  <si>
    <t>Whitman</t>
  </si>
  <si>
    <t>53075</t>
  </si>
  <si>
    <t>Yakima</t>
  </si>
  <si>
    <t>53077</t>
  </si>
  <si>
    <t>WEST VIRGINIA</t>
  </si>
  <si>
    <t xml:space="preserve"> WV</t>
  </si>
  <si>
    <t>54001</t>
  </si>
  <si>
    <t>54003</t>
  </si>
  <si>
    <t>54005</t>
  </si>
  <si>
    <t>Braxton</t>
  </si>
  <si>
    <t>54007</t>
  </si>
  <si>
    <t>Brooke</t>
  </si>
  <si>
    <t>54009</t>
  </si>
  <si>
    <t>Cabell</t>
  </si>
  <si>
    <t>54011</t>
  </si>
  <si>
    <t>54013</t>
  </si>
  <si>
    <t>54015</t>
  </si>
  <si>
    <t>Doddridge</t>
  </si>
  <si>
    <t>54017</t>
  </si>
  <si>
    <t>54019</t>
  </si>
  <si>
    <t>54021</t>
  </si>
  <si>
    <t>54023</t>
  </si>
  <si>
    <t>Greenbrier</t>
  </si>
  <si>
    <t>54025</t>
  </si>
  <si>
    <t>54027</t>
  </si>
  <si>
    <t>54029</t>
  </si>
  <si>
    <t>Hardy</t>
  </si>
  <si>
    <t>54031</t>
  </si>
  <si>
    <t>54033</t>
  </si>
  <si>
    <t>54035</t>
  </si>
  <si>
    <t>54037</t>
  </si>
  <si>
    <t>Kanawha</t>
  </si>
  <si>
    <t>54039</t>
  </si>
  <si>
    <t>54041</t>
  </si>
  <si>
    <t>54043</t>
  </si>
  <si>
    <t>54045</t>
  </si>
  <si>
    <t>54047</t>
  </si>
  <si>
    <t>54049</t>
  </si>
  <si>
    <t>54051</t>
  </si>
  <si>
    <t>54053</t>
  </si>
  <si>
    <t>54055</t>
  </si>
  <si>
    <t>54057</t>
  </si>
  <si>
    <t>Mingo</t>
  </si>
  <si>
    <t>54059</t>
  </si>
  <si>
    <t>Monongalia</t>
  </si>
  <si>
    <t>54061</t>
  </si>
  <si>
    <t>54063</t>
  </si>
  <si>
    <t>54065</t>
  </si>
  <si>
    <t>54067</t>
  </si>
  <si>
    <t>54069</t>
  </si>
  <si>
    <t>54071</t>
  </si>
  <si>
    <t>Pleasants</t>
  </si>
  <si>
    <t>54073</t>
  </si>
  <si>
    <t>54075</t>
  </si>
  <si>
    <t>Preston</t>
  </si>
  <si>
    <t>54077</t>
  </si>
  <si>
    <t>54079</t>
  </si>
  <si>
    <t>Raleigh</t>
  </si>
  <si>
    <t>54081</t>
  </si>
  <si>
    <t>54083</t>
  </si>
  <si>
    <t>Ritchie</t>
  </si>
  <si>
    <t>54085</t>
  </si>
  <si>
    <t>54087</t>
  </si>
  <si>
    <t>Summers</t>
  </si>
  <si>
    <t>54089</t>
  </si>
  <si>
    <t>54091</t>
  </si>
  <si>
    <t>Tucker</t>
  </si>
  <si>
    <t>54093</t>
  </si>
  <si>
    <t>54095</t>
  </si>
  <si>
    <t>54097</t>
  </si>
  <si>
    <t>54099</t>
  </si>
  <si>
    <t>54101</t>
  </si>
  <si>
    <t>Wetzel</t>
  </si>
  <si>
    <t>54103</t>
  </si>
  <si>
    <t>Wirt</t>
  </si>
  <si>
    <t>54105</t>
  </si>
  <si>
    <t>54107</t>
  </si>
  <si>
    <t>54109</t>
  </si>
  <si>
    <t>WISCONSIN</t>
  </si>
  <si>
    <t xml:space="preserve"> WI</t>
  </si>
  <si>
    <t>55001</t>
  </si>
  <si>
    <t>55003</t>
  </si>
  <si>
    <t>Barron</t>
  </si>
  <si>
    <t>55005</t>
  </si>
  <si>
    <t>Bayfield</t>
  </si>
  <si>
    <t>55007</t>
  </si>
  <si>
    <t>55009</t>
  </si>
  <si>
    <t>55011</t>
  </si>
  <si>
    <t>Burnett</t>
  </si>
  <si>
    <t>55013</t>
  </si>
  <si>
    <t>Calumet</t>
  </si>
  <si>
    <t>55015</t>
  </si>
  <si>
    <t>55017</t>
  </si>
  <si>
    <t>55019</t>
  </si>
  <si>
    <t>55021</t>
  </si>
  <si>
    <t>55023</t>
  </si>
  <si>
    <t>Dane</t>
  </si>
  <si>
    <t>55025</t>
  </si>
  <si>
    <t>55027</t>
  </si>
  <si>
    <t>Door</t>
  </si>
  <si>
    <t>55029</t>
  </si>
  <si>
    <t>55031</t>
  </si>
  <si>
    <t>55033</t>
  </si>
  <si>
    <t>Eau Claire</t>
  </si>
  <si>
    <t>55035</t>
  </si>
  <si>
    <t>55037</t>
  </si>
  <si>
    <t>Fond du Lac</t>
  </si>
  <si>
    <t>55039</t>
  </si>
  <si>
    <t>55041</t>
  </si>
  <si>
    <t>55043</t>
  </si>
  <si>
    <t>55045</t>
  </si>
  <si>
    <t>Green Lake</t>
  </si>
  <si>
    <t>55047</t>
  </si>
  <si>
    <t>55049</t>
  </si>
  <si>
    <t>55051</t>
  </si>
  <si>
    <t>55053</t>
  </si>
  <si>
    <t>55055</t>
  </si>
  <si>
    <t>55057</t>
  </si>
  <si>
    <t>Kenosha</t>
  </si>
  <si>
    <t>55059</t>
  </si>
  <si>
    <t>Kewaunee</t>
  </si>
  <si>
    <t>55061</t>
  </si>
  <si>
    <t>La Crosse</t>
  </si>
  <si>
    <t>55063</t>
  </si>
  <si>
    <t>55065</t>
  </si>
  <si>
    <t>Langlade</t>
  </si>
  <si>
    <t>55067</t>
  </si>
  <si>
    <t>55069</t>
  </si>
  <si>
    <t>Manitowoc</t>
  </si>
  <si>
    <t>55071</t>
  </si>
  <si>
    <t>Marathon</t>
  </si>
  <si>
    <t>55073</t>
  </si>
  <si>
    <t>Marinette</t>
  </si>
  <si>
    <t>55075</t>
  </si>
  <si>
    <t>55077</t>
  </si>
  <si>
    <t>55078</t>
  </si>
  <si>
    <t>Milwaukee</t>
  </si>
  <si>
    <t>55079</t>
  </si>
  <si>
    <t>55081</t>
  </si>
  <si>
    <t>Oconto</t>
  </si>
  <si>
    <t>55083</t>
  </si>
  <si>
    <t>55085</t>
  </si>
  <si>
    <t>Outagamie</t>
  </si>
  <si>
    <t>55087</t>
  </si>
  <si>
    <t>Ozaukee</t>
  </si>
  <si>
    <t>55089</t>
  </si>
  <si>
    <t>Pepin</t>
  </si>
  <si>
    <t>55091</t>
  </si>
  <si>
    <t>55093</t>
  </si>
  <si>
    <t>55095</t>
  </si>
  <si>
    <t>55097</t>
  </si>
  <si>
    <t>Price</t>
  </si>
  <si>
    <t>55099</t>
  </si>
  <si>
    <t>Racine</t>
  </si>
  <si>
    <t>55101</t>
  </si>
  <si>
    <t>55103</t>
  </si>
  <si>
    <t>55105</t>
  </si>
  <si>
    <t>55107</t>
  </si>
  <si>
    <t>St. Croix</t>
  </si>
  <si>
    <t>55109</t>
  </si>
  <si>
    <t>Sauk</t>
  </si>
  <si>
    <t>55111</t>
  </si>
  <si>
    <t>Sawyer</t>
  </si>
  <si>
    <t>55113</t>
  </si>
  <si>
    <t>Shawano</t>
  </si>
  <si>
    <t>55115</t>
  </si>
  <si>
    <t>Sheboygan</t>
  </si>
  <si>
    <t>55117</t>
  </si>
  <si>
    <t>55119</t>
  </si>
  <si>
    <t>Trempealeau</t>
  </si>
  <si>
    <t>55121</t>
  </si>
  <si>
    <t>55123</t>
  </si>
  <si>
    <t>Vilas</t>
  </si>
  <si>
    <t>55125</t>
  </si>
  <si>
    <t>55127</t>
  </si>
  <si>
    <t>Washburn</t>
  </si>
  <si>
    <t>55129</t>
  </si>
  <si>
    <t>55131</t>
  </si>
  <si>
    <t>Waukesha</t>
  </si>
  <si>
    <t>55133</t>
  </si>
  <si>
    <t>Waupaca</t>
  </si>
  <si>
    <t>55135</t>
  </si>
  <si>
    <t>Waushara</t>
  </si>
  <si>
    <t>55137</t>
  </si>
  <si>
    <t>55139</t>
  </si>
  <si>
    <t>55141</t>
  </si>
  <si>
    <t>WYOMING</t>
  </si>
  <si>
    <t xml:space="preserve"> WY</t>
  </si>
  <si>
    <t>56001</t>
  </si>
  <si>
    <t>56003</t>
  </si>
  <si>
    <t>56005</t>
  </si>
  <si>
    <t>56007</t>
  </si>
  <si>
    <t>Converse</t>
  </si>
  <si>
    <t>56009</t>
  </si>
  <si>
    <t>56011</t>
  </si>
  <si>
    <t>56013</t>
  </si>
  <si>
    <t>Goshen</t>
  </si>
  <si>
    <t>56015</t>
  </si>
  <si>
    <t>Hot Springs</t>
  </si>
  <si>
    <t>56017</t>
  </si>
  <si>
    <t>56019</t>
  </si>
  <si>
    <t>Laramie</t>
  </si>
  <si>
    <t>56021</t>
  </si>
  <si>
    <t>56023</t>
  </si>
  <si>
    <t>Natrona</t>
  </si>
  <si>
    <t>56025</t>
  </si>
  <si>
    <t>Niobrara</t>
  </si>
  <si>
    <t>56027</t>
  </si>
  <si>
    <t>56029</t>
  </si>
  <si>
    <t>56031</t>
  </si>
  <si>
    <t>56033</t>
  </si>
  <si>
    <t>Sublette</t>
  </si>
  <si>
    <t>56035</t>
  </si>
  <si>
    <t>Sweetwater</t>
  </si>
  <si>
    <t>56037</t>
  </si>
  <si>
    <t>56039</t>
  </si>
  <si>
    <t>Uinta</t>
  </si>
  <si>
    <t>56041</t>
  </si>
  <si>
    <t>Washakie</t>
  </si>
  <si>
    <t>56043</t>
  </si>
  <si>
    <t>Weston</t>
  </si>
  <si>
    <t>56045</t>
  </si>
  <si>
    <t>Autauga</t>
  </si>
  <si>
    <t>County</t>
  </si>
  <si>
    <t>State</t>
  </si>
  <si>
    <t>Code</t>
  </si>
  <si>
    <t>Dates are used in Cadillac version for species selection scraping activity and biomass quantity estimation.</t>
  </si>
  <si>
    <t>Tools that use dates: IL Cover Crop Analyzer https://covercrop.ncsa.illinois.edu/</t>
  </si>
  <si>
    <t>Tools that include date in results they provide: Midwest Cover Crop Species selector (https://mccc.msu.edu/covercroptool/), Northeast Cover Crop Species selector (https://mccc.msu.edu/covercroptool/).</t>
  </si>
  <si>
    <t>Location can be used in the Cadillac version for species selection scraping activity.</t>
  </si>
  <si>
    <t>Location can also be used to alert users to NRCS Termination Zones that might impact their RMA insured crop coverage.</t>
  </si>
  <si>
    <t>Implement</t>
  </si>
  <si>
    <t/>
  </si>
  <si>
    <t>Cost override</t>
  </si>
  <si>
    <t>Cost override is used when the user has a different custom rate or thinks the costs of doing the activity him/herself is different than the estimate provided.</t>
  </si>
  <si>
    <t>If self, use-related cost ($/ac)</t>
  </si>
  <si>
    <t>If custom operator, cost ($/acre)</t>
  </si>
  <si>
    <t>In programming, I prefer radio buttons to dropdowns when the choice is limited to 2 or 3 options.</t>
  </si>
  <si>
    <t>Product</t>
  </si>
  <si>
    <t>Burndown Herbicides</t>
  </si>
  <si>
    <t>2,4-D</t>
  </si>
  <si>
    <t>atrazine</t>
  </si>
  <si>
    <t>dicamba</t>
  </si>
  <si>
    <t>glyphosate</t>
  </si>
  <si>
    <t>liberty</t>
  </si>
  <si>
    <t>Rate</t>
  </si>
  <si>
    <t>Cost/unit</t>
  </si>
  <si>
    <t>Application rate</t>
  </si>
  <si>
    <t>Cost per unit of product</t>
  </si>
  <si>
    <t>lb</t>
  </si>
  <si>
    <t>If self, what equipment will be used?</t>
  </si>
  <si>
    <t>Ecosystem payments</t>
  </si>
  <si>
    <t>Leasing Implications</t>
  </si>
  <si>
    <t>Grazing Module</t>
  </si>
  <si>
    <t>Cost Share?</t>
  </si>
  <si>
    <t>NRCS</t>
  </si>
  <si>
    <t>State List</t>
  </si>
  <si>
    <t>Home</t>
  </si>
  <si>
    <t>Fields</t>
  </si>
  <si>
    <t>Modules</t>
  </si>
  <si>
    <t>Cover Crop Selection</t>
  </si>
  <si>
    <t>Cover Crop Establishment</t>
  </si>
  <si>
    <t>Planting</t>
  </si>
  <si>
    <t>Tillage</t>
  </si>
  <si>
    <t>Fertility</t>
  </si>
  <si>
    <t>Pests</t>
  </si>
  <si>
    <t>Soil erosion control</t>
  </si>
  <si>
    <t>Additional considerations</t>
  </si>
  <si>
    <t>Yield</t>
  </si>
  <si>
    <t>Economic Decision Aid for Cover Crops</t>
  </si>
  <si>
    <t>Economic Impact</t>
  </si>
  <si>
    <t>Summary of Practices</t>
  </si>
  <si>
    <t>Revenue Impact</t>
  </si>
  <si>
    <t>Resources</t>
  </si>
  <si>
    <t>TEXT that explains the purpose of the decision aid and to start with the fields module followed by completing each of the input modules.  Then click on budget table to see the impact of integrating cover crops into their operation.  They will be able to navigate to any of the modules from the LHS menu or the buttons in lower right hand corner will move the user through the individual modules</t>
  </si>
  <si>
    <t>Disclaimer as may be needed by the project institutions: This worksheet is for educational purposes only. The user assumes all risks associated with its use."</t>
  </si>
  <si>
    <t>Economic Decision Aid for Cover Crops: Species Selection</t>
  </si>
  <si>
    <t>State:</t>
  </si>
  <si>
    <t>https://mccc.msu.edu/selector-tool/</t>
  </si>
  <si>
    <t>midwest</t>
  </si>
  <si>
    <t>northeast</t>
  </si>
  <si>
    <t>Cost of Cover crop seed ($/acre)</t>
  </si>
  <si>
    <t>Seeding Rate Link</t>
  </si>
  <si>
    <t>Species selection and planting rate are important decisions for successful cover cropping experience. You can access several selection tools by clicking on the links below. The information in the green cells are guidelines for the species you selected. You can use them or change them to make this analysis specific to your farm.</t>
  </si>
  <si>
    <t>Ideal: A new line would appear after each cover crop is entered (e.g. only one row occurs for the first cover crop. Once it is entered a second row appears. If that row is filled in, a third row appears. Etc.)</t>
  </si>
  <si>
    <t>User Input</t>
  </si>
  <si>
    <t>Common rates and prices</t>
  </si>
  <si>
    <t>Next</t>
  </si>
  <si>
    <t>Previous</t>
  </si>
  <si>
    <t>Total cost of seedbed preparation and planting ($/acre)</t>
  </si>
  <si>
    <t>Economic Decision Aid for Cover Crops: Planting Decisions</t>
  </si>
  <si>
    <t>Decisions surrounding cover crop decisions require understanding how they will be impacted by the prior cash crop. Only activities that are incurred because a cover crop is planted are charged to the cover crop. If you were going to do the activity without planting a cover crop, its cost is not considered a cost of growing the cover crop.</t>
  </si>
  <si>
    <t>Total</t>
  </si>
  <si>
    <t>Field</t>
  </si>
  <si>
    <t>Increased Revenue</t>
  </si>
  <si>
    <t>Carbon benefit</t>
  </si>
  <si>
    <t>cost-share payment</t>
  </si>
  <si>
    <t>Category</t>
  </si>
  <si>
    <t>Decreased Revenue</t>
  </si>
  <si>
    <t>Increased Cost</t>
  </si>
  <si>
    <t>Chemical</t>
  </si>
  <si>
    <t>Rye</t>
  </si>
  <si>
    <t>Clover</t>
  </si>
  <si>
    <t>Decreased Cost</t>
  </si>
  <si>
    <t>Detail</t>
  </si>
  <si>
    <t>Description</t>
  </si>
  <si>
    <t>Detail cost</t>
  </si>
  <si>
    <t>Detail quantity</t>
  </si>
  <si>
    <t>Cost Unit</t>
  </si>
  <si>
    <t>Quantity unit</t>
  </si>
  <si>
    <t>lb/ac</t>
  </si>
  <si>
    <t>$/lb</t>
  </si>
  <si>
    <t>Category ID</t>
  </si>
  <si>
    <t>passes/acre</t>
  </si>
  <si>
    <t>$/ac</t>
  </si>
  <si>
    <t>Corn</t>
  </si>
  <si>
    <t>bu/ac</t>
  </si>
  <si>
    <t>$/bu</t>
  </si>
  <si>
    <t>Bayer program</t>
  </si>
  <si>
    <t>units/ac</t>
  </si>
  <si>
    <t>$/unit</t>
  </si>
  <si>
    <t>USDA</t>
  </si>
  <si>
    <t>S/unit</t>
  </si>
  <si>
    <t>S/bu</t>
  </si>
  <si>
    <t>Custom sprayer</t>
  </si>
  <si>
    <t>hr/ac</t>
  </si>
  <si>
    <t>$/hr</t>
  </si>
  <si>
    <t xml:space="preserve"> </t>
  </si>
  <si>
    <t>Net Benefit</t>
  </si>
  <si>
    <t>Field 1</t>
  </si>
  <si>
    <t>Field 2</t>
  </si>
  <si>
    <t>Labor</t>
  </si>
  <si>
    <t>Fuel</t>
  </si>
  <si>
    <t>Use costs</t>
  </si>
  <si>
    <t>No-till drill: custom</t>
  </si>
  <si>
    <t>Grand Total</t>
  </si>
  <si>
    <t>Total Value</t>
  </si>
  <si>
    <t>Detail 2</t>
  </si>
  <si>
    <t>Type ID</t>
  </si>
  <si>
    <t>Cash</t>
  </si>
  <si>
    <t>Non-cash</t>
  </si>
  <si>
    <t>Skid steer</t>
  </si>
  <si>
    <t>Sum of Total Value</t>
  </si>
  <si>
    <t>Erosion Control</t>
  </si>
  <si>
    <t>Notes</t>
  </si>
  <si>
    <t>Use cost includes depreciation and repair that are are likely to increase with additional use but also considered fixed and minor use will not affect the cost</t>
  </si>
  <si>
    <t>Fuel is a cash cost requiring financial ability to pay</t>
  </si>
  <si>
    <t>Labor is considered a cash cost but some farmers may consider it a sunk cost not really to be considered.</t>
  </si>
  <si>
    <t>Interest Rate, % of average investment</t>
  </si>
  <si>
    <t>Insurance Rate</t>
  </si>
  <si>
    <t>Fuel price, $/gallon</t>
  </si>
  <si>
    <t>Lubrication cost, % of fuel</t>
  </si>
  <si>
    <t>Storage Cost/Sq. Foot of Space</t>
  </si>
  <si>
    <t>Inflation Rate, % per year</t>
  </si>
  <si>
    <t>Parameters that apply to the entire database rather than being specific to a machine:</t>
  </si>
  <si>
    <t>Skilled Labor Rate $/hr.</t>
  </si>
  <si>
    <t>Unskilled Labor Rate $/hr.</t>
  </si>
  <si>
    <t>2020 U.S. net farm income forecast ($ billions)</t>
  </si>
  <si>
    <t>GDP implicit price deflator, 2020 4th quarter</t>
  </si>
  <si>
    <t>GDP implicit price deflator, 1996</t>
  </si>
  <si>
    <t>Real Net Farm Income projected at trade-in, in $ billion 1996 dollars</t>
  </si>
  <si>
    <t>Chisel Plow</t>
  </si>
  <si>
    <t>Ft</t>
  </si>
  <si>
    <t>Tandem disk harrow</t>
  </si>
  <si>
    <t>Ft Fold</t>
  </si>
  <si>
    <t>Moldboard Plow</t>
  </si>
  <si>
    <t>Bottom</t>
  </si>
  <si>
    <t>Field cultivators</t>
  </si>
  <si>
    <t>Tandem Disk</t>
  </si>
  <si>
    <t>Offset Disk</t>
  </si>
  <si>
    <t>Heavy Duty disk harrow</t>
  </si>
  <si>
    <t>V-Ripper</t>
  </si>
  <si>
    <t>" O.C.</t>
  </si>
  <si>
    <t>Row Crop Planter</t>
  </si>
  <si>
    <t>Row</t>
  </si>
  <si>
    <t>Row crop planter</t>
  </si>
  <si>
    <t>Grain drill</t>
  </si>
  <si>
    <t>Air Seeder Drill w/Cart</t>
  </si>
  <si>
    <t xml:space="preserve">No-Till Drill </t>
  </si>
  <si>
    <t>Row Cultivator</t>
  </si>
  <si>
    <t>Row crop cultivator</t>
  </si>
  <si>
    <t>Boom Sprayer, Self-Propelled</t>
  </si>
  <si>
    <t>Boom Sprayer, Pull-Type</t>
  </si>
  <si>
    <t>Boom type sprayer</t>
  </si>
  <si>
    <t>Stalk Shredder</t>
  </si>
  <si>
    <t>Beet topper/stalk chopper</t>
  </si>
  <si>
    <t>Harvest</t>
  </si>
  <si>
    <t>Rotary Mower/Conditioner</t>
  </si>
  <si>
    <t>Mower-conditioner (rotary)</t>
  </si>
  <si>
    <t>Hay Rake</t>
  </si>
  <si>
    <t>Side delivery rake</t>
  </si>
  <si>
    <t>Grain Swather, Self-Propelled</t>
  </si>
  <si>
    <t>Windrower (SP)</t>
  </si>
  <si>
    <t>Hay Baler PTO Twine</t>
  </si>
  <si>
    <t>Rectangular baler</t>
  </si>
  <si>
    <t>Round Baler</t>
  </si>
  <si>
    <t>4x5</t>
  </si>
  <si>
    <t>Large round baler</t>
  </si>
  <si>
    <t>5x6</t>
  </si>
  <si>
    <t>Round Baler w/Bale Wrap</t>
  </si>
  <si>
    <t>Large Rectangular Baler</t>
  </si>
  <si>
    <t>3x3</t>
  </si>
  <si>
    <t>Large rectangular baler</t>
  </si>
  <si>
    <t>4x3</t>
  </si>
  <si>
    <t>Forage Harvester, Pull-Type w/Corn Head</t>
  </si>
  <si>
    <t>Forage Harvester, Pull-Type w/Pickup Head</t>
  </si>
  <si>
    <t>Forage Harvester, Self-Prop Corn Head</t>
  </si>
  <si>
    <t>625 HP SP Forage Harvester Base Unit</t>
  </si>
  <si>
    <t>Forage harvester (SP)</t>
  </si>
  <si>
    <t>Forage Harvester, Self-Prop Pickup Head</t>
  </si>
  <si>
    <t>400 HP SP Forage Harvester Base Unit</t>
  </si>
  <si>
    <t>Forage Harvester, Self-Prop Pickup Head (2X windrows)</t>
  </si>
  <si>
    <t>Combine Flex Platform</t>
  </si>
  <si>
    <t>275 HP Combine</t>
  </si>
  <si>
    <t>375 HP Combine</t>
  </si>
  <si>
    <t>Combine Corn Hd</t>
  </si>
  <si>
    <t>Combine Chopping Corn Hd</t>
  </si>
  <si>
    <t>440 HP Combine</t>
  </si>
  <si>
    <t>Combine Belt Pickup Hd</t>
  </si>
  <si>
    <t>Grain Cart</t>
  </si>
  <si>
    <t>Wagon</t>
  </si>
  <si>
    <t>Unit1</t>
  </si>
  <si>
    <t>Size1</t>
  </si>
  <si>
    <t>Size2</t>
  </si>
  <si>
    <t>Unit2</t>
  </si>
  <si>
    <t>HP</t>
  </si>
  <si>
    <t>Two wheel drive tractors, under 80 HP</t>
  </si>
  <si>
    <t>Mech. front wheel drive tractors</t>
  </si>
  <si>
    <t>Four wheel drive tractors &amp; crawlers</t>
  </si>
  <si>
    <t>HP Tracked Tractor</t>
  </si>
  <si>
    <t>HP Combine</t>
  </si>
  <si>
    <t>HP SP Forage Harvester Base Unit</t>
  </si>
  <si>
    <t>tillage</t>
  </si>
  <si>
    <t>CropMaint</t>
  </si>
  <si>
    <t>ImpType</t>
  </si>
  <si>
    <t>ImplName</t>
  </si>
  <si>
    <t>Implement Used</t>
  </si>
  <si>
    <t>this dropdown should be conditional upon activity</t>
  </si>
  <si>
    <t>Power Used</t>
  </si>
  <si>
    <t>RF1</t>
  </si>
  <si>
    <t>RF2</t>
  </si>
  <si>
    <t>RV1</t>
  </si>
  <si>
    <t>RV2</t>
  </si>
  <si>
    <t>RV3</t>
  </si>
  <si>
    <t>RV4</t>
  </si>
  <si>
    <t>Two wheel drive tractors</t>
  </si>
  <si>
    <t>Two wheel drive tractors, 81-120 HP</t>
  </si>
  <si>
    <t>Two wheel drive tractors, 121-145 HP</t>
  </si>
  <si>
    <t>Two wheel drive tractors, 146+ HP TWD</t>
  </si>
  <si>
    <t>Combine (self propelled)</t>
  </si>
  <si>
    <t>Skid-steer loader</t>
  </si>
  <si>
    <t>Moldboard plows</t>
  </si>
  <si>
    <t>Spring tooth harrow</t>
  </si>
  <si>
    <t>Roller packer</t>
  </si>
  <si>
    <t>Mulcher-packer</t>
  </si>
  <si>
    <t>Rotary hoe</t>
  </si>
  <si>
    <t>Rotary tiller</t>
  </si>
  <si>
    <t>Corn picker sheller</t>
  </si>
  <si>
    <t>Combine (pulled)</t>
  </si>
  <si>
    <t>Mower (rotary)</t>
  </si>
  <si>
    <t>Mower-conditioner</t>
  </si>
  <si>
    <t>Forage harvester</t>
  </si>
  <si>
    <t>Sugar beet harvester</t>
  </si>
  <si>
    <t>Potato harvester</t>
  </si>
  <si>
    <t>Cotton picker</t>
  </si>
  <si>
    <t>Fertilizer spreader</t>
  </si>
  <si>
    <t>Air-carrier sprayer</t>
  </si>
  <si>
    <t>Bean puller-windrower</t>
  </si>
  <si>
    <t>Forage blower</t>
  </si>
  <si>
    <t>Forage wagons</t>
  </si>
  <si>
    <t>Manure handling equipment</t>
  </si>
  <si>
    <t>Total mixed ration mixer wagons</t>
  </si>
  <si>
    <t>Life (hr)</t>
  </si>
  <si>
    <t>RV5</t>
  </si>
  <si>
    <t>HP Tractor</t>
  </si>
  <si>
    <t>HP MFWD Tractor</t>
  </si>
  <si>
    <t>HP 4WD Tractor</t>
  </si>
  <si>
    <t>40 HP Tractor</t>
  </si>
  <si>
    <t>225 HP MFWD Tractor</t>
  </si>
  <si>
    <t>130 HP MFWD Tractor</t>
  </si>
  <si>
    <t>200 HP MFWD Tractor</t>
  </si>
  <si>
    <t>310 HP 4WD Tractor</t>
  </si>
  <si>
    <t>425 HP 4WD Tractor</t>
  </si>
  <si>
    <t>160 HP MFWD Tractor</t>
  </si>
  <si>
    <t>105 HP MFWD Tractor</t>
  </si>
  <si>
    <t>260 HP MFWD Tractor</t>
  </si>
  <si>
    <t>360 HP 4WD Tractor</t>
  </si>
  <si>
    <t>60 HP Tractor</t>
  </si>
  <si>
    <t>75 HP Tractor</t>
  </si>
  <si>
    <t>None Tractor</t>
  </si>
  <si>
    <t>Combine (self propelled***)</t>
  </si>
  <si>
    <t>Combine (self propelled**)</t>
  </si>
  <si>
    <t>Combine (self propelled*)</t>
  </si>
  <si>
    <t>ASABE Category</t>
  </si>
  <si>
    <t>Depreciation ($/acre)</t>
  </si>
  <si>
    <t>Acres/hour</t>
  </si>
  <si>
    <t>Tractor (hr/impl)</t>
  </si>
  <si>
    <t>Labor (hr/trac)</t>
  </si>
  <si>
    <t xml:space="preserve"> None Tractor</t>
  </si>
  <si>
    <t>Notes: I reduced this from the table Lazarus provides by eliminating the reference to Wu-Perry coefficients</t>
  </si>
  <si>
    <t>This column would be used to reduce the selection list so that only the appropriate type of equipment is in the list in the appropriate input page</t>
  </si>
  <si>
    <t>Skilled</t>
  </si>
  <si>
    <t>Unskilled</t>
  </si>
  <si>
    <t>LaborType</t>
  </si>
  <si>
    <t>I'm using a default from the database but the user may want to override this. Program so the default appears in the input box but the user can replace it? Perhaps the database should have a min and max that alerts the user if they go outside that range.</t>
  </si>
  <si>
    <t>Self propelled assumed horsepower (for fuel calcs)</t>
  </si>
  <si>
    <t>Field Cultivator</t>
  </si>
  <si>
    <t>Chisel Plow, Front Dsk</t>
  </si>
  <si>
    <t>Presswheel Drill</t>
  </si>
  <si>
    <t>"Implements" table</t>
  </si>
  <si>
    <t>"Power" table</t>
  </si>
  <si>
    <t>"Coefficients" table</t>
  </si>
  <si>
    <t>Fixed or Variable cost?</t>
  </si>
  <si>
    <t>Cash or non-cash cost?</t>
  </si>
  <si>
    <t>NC</t>
  </si>
  <si>
    <t>Fix</t>
  </si>
  <si>
    <t>Var</t>
  </si>
  <si>
    <t>Expense Types</t>
  </si>
  <si>
    <t>Depreciation</t>
  </si>
  <si>
    <t>Insurance</t>
  </si>
  <si>
    <t>Interest</t>
  </si>
  <si>
    <t>Storage shed</t>
  </si>
  <si>
    <t>USDA Crop Production Region</t>
  </si>
  <si>
    <t>Cover Crop Region</t>
  </si>
  <si>
    <t>https://www.nass.usda.gov/Charts_and_Maps/Farm_Production_Expenditures/reg_map_c.php</t>
  </si>
  <si>
    <t>South</t>
  </si>
  <si>
    <t>non-cash</t>
  </si>
  <si>
    <t>Type</t>
  </si>
  <si>
    <t>Cover Crop Councils</t>
  </si>
  <si>
    <t>Southern</t>
  </si>
  <si>
    <t>Midwest</t>
  </si>
  <si>
    <t>Northeast</t>
  </si>
  <si>
    <t>https://southerncovercrops.org/about-us/</t>
  </si>
  <si>
    <t>Western</t>
  </si>
  <si>
    <t>West</t>
  </si>
  <si>
    <t>Plains</t>
  </si>
  <si>
    <t>southern</t>
  </si>
  <si>
    <t>midwest/southern</t>
  </si>
  <si>
    <t>Default Power Unit</t>
  </si>
  <si>
    <t>Default ASABE Category</t>
  </si>
  <si>
    <t>Shed (ft^2)</t>
  </si>
  <si>
    <t>Fuel Use (gal/PTO hp/hr)</t>
  </si>
  <si>
    <t>List Discount</t>
  </si>
  <si>
    <t>Purchase Price (2020)</t>
  </si>
  <si>
    <t>Expected Life (years)</t>
  </si>
  <si>
    <t>Expected Use (Hr/yr)</t>
  </si>
  <si>
    <t>List Price</t>
  </si>
  <si>
    <t>Trade-in (%)</t>
  </si>
  <si>
    <t>Trade-in ($)</t>
  </si>
  <si>
    <t>Annual Depreciation</t>
  </si>
  <si>
    <t>Annual Repairs ($)</t>
  </si>
  <si>
    <t>Accumulated Repairs ($)</t>
  </si>
  <si>
    <t>Expected Use (hr/yr)</t>
  </si>
  <si>
    <t>Power Description and HP</t>
  </si>
  <si>
    <t>Defaulty ASABE Category</t>
  </si>
  <si>
    <t>Field Speed (m/h)</t>
  </si>
  <si>
    <t>Field Efficiency</t>
  </si>
  <si>
    <t>Acres Conversion factor (=43560 ft2/ac * mi/5280ft)</t>
  </si>
  <si>
    <t>Acres/year</t>
  </si>
  <si>
    <t>Costs to include</t>
  </si>
  <si>
    <t>Repairs</t>
  </si>
  <si>
    <t>Taxes</t>
  </si>
  <si>
    <t>Annual Use (acres)</t>
  </si>
  <si>
    <t>Annual use (hours)</t>
  </si>
  <si>
    <t>Actual Cost ($/acre)</t>
  </si>
  <si>
    <t>Cost Description</t>
  </si>
  <si>
    <t>Interest ($/acre)</t>
  </si>
  <si>
    <t>Insurance ($/acre)</t>
  </si>
  <si>
    <t>Repair ($/acre)</t>
  </si>
  <si>
    <t>Taxes ($/acre)</t>
  </si>
  <si>
    <t>Property taxes</t>
  </si>
  <si>
    <t>Depreciation ($/hour)</t>
  </si>
  <si>
    <t>Interest ($/hour)</t>
  </si>
  <si>
    <t>Repair ($/hour)</t>
  </si>
  <si>
    <t>Taxes ($/hour)</t>
  </si>
  <si>
    <t>Insurance ($/hour)</t>
  </si>
  <si>
    <t>Note: combine calculations don't look right. But this should not affect cover crops so leave for later investigation.</t>
  </si>
  <si>
    <t>Labor (hr/acre)</t>
  </si>
  <si>
    <t>Fuel (gal/hour)</t>
  </si>
  <si>
    <t>Shed ($/acre)</t>
  </si>
  <si>
    <t>Shed ($/hour)</t>
  </si>
  <si>
    <t>Note: This is not currently being used. But I want to keep it as a prototype and for the equations.</t>
  </si>
  <si>
    <t>Tillage Activity</t>
  </si>
  <si>
    <t>Power Cost ($/acre)</t>
  </si>
  <si>
    <t>Implement Cost ($/acre)</t>
  </si>
  <si>
    <t>Relevant cost ($/acre)</t>
  </si>
  <si>
    <t>Total Cost ($/acre)</t>
  </si>
  <si>
    <t>Custom Cost Defaults</t>
  </si>
  <si>
    <t>$/acre</t>
  </si>
  <si>
    <t>What type of seedbed preparation will be done?</t>
  </si>
  <si>
    <t>Used in Equip Calcs</t>
  </si>
  <si>
    <t>Used in Species</t>
  </si>
  <si>
    <t>Herbicide application</t>
  </si>
  <si>
    <t>Mechanical termination</t>
  </si>
  <si>
    <t>Used in Planting and Logic model</t>
  </si>
  <si>
    <t>Dry Fertilizer application</t>
  </si>
  <si>
    <t>Liquid fertilizer application</t>
  </si>
  <si>
    <t>Anhydrous ammonia injection</t>
  </si>
  <si>
    <t>Idea: When the user first encounters a machinery question (probably on Planting tab), the "Costs to include" box would pop up asking the user to check which equipment costs are important to them. This only needs to come up once. We will assume that the option chosen will apply to all machinery questions.</t>
  </si>
  <si>
    <t>Range D22:E22 is conditionally formatted</t>
  </si>
  <si>
    <t>Range D13:E17 is conditionally formatted</t>
  </si>
  <si>
    <t>lb/acre</t>
  </si>
  <si>
    <t>Unit (rate)</t>
  </si>
  <si>
    <t>Unit (cost)</t>
  </si>
  <si>
    <t>Recommended</t>
  </si>
  <si>
    <t>Note: equipment for roller not operational yet</t>
  </si>
  <si>
    <t>Boom Sprayer, Pull-Type; 90 Ft</t>
  </si>
  <si>
    <t>Cover Crop Planting Activity</t>
  </si>
  <si>
    <t>Note: table on Equip Calc tab similar to Tillage and Planting tables needs to be added</t>
  </si>
  <si>
    <t>Note: all the input and decisions made in the various tabs would be organized here so that this table can be parsed to create various output formats. The table below is filled with input that is NOT connected to any tab on this spreadsheet.</t>
  </si>
  <si>
    <t>Note: tables are staggered in a vertical manner so that rows and columns can be added without messing up other tables. There are a lot of tables on this tab. By increasing the viewed area, you can locate the last table to the right and down.</t>
  </si>
  <si>
    <t>Note: Each of the sections below would be put into a page like Species and Planting have been done. On this page I have begun to outline the logic only without trying to make the appearance work. Many of the calculations require more work on the Data Tables and Equip Calc page.</t>
  </si>
  <si>
    <t>Chisel Plow; 15 Ft</t>
  </si>
  <si>
    <t>`</t>
  </si>
  <si>
    <t>interest</t>
  </si>
  <si>
    <t>insurance</t>
  </si>
  <si>
    <t>skilled</t>
  </si>
  <si>
    <t>unskilled</t>
  </si>
  <si>
    <t>fuel</t>
  </si>
  <si>
    <t>lubrication</t>
  </si>
  <si>
    <t>storage</t>
  </si>
  <si>
    <t>inflation</t>
  </si>
  <si>
    <t>forecast</t>
  </si>
  <si>
    <t>deflator</t>
  </si>
  <si>
    <t>deflator1996</t>
  </si>
  <si>
    <t>projected</t>
  </si>
  <si>
    <t>conversion</t>
  </si>
  <si>
    <t>horsepower</t>
  </si>
  <si>
    <t>property</t>
  </si>
  <si>
    <t>parameter</t>
  </si>
  <si>
    <t>description</t>
  </si>
  <si>
    <t>value</t>
  </si>
  <si>
    <t>Row Crop Planter; 6 Row; 15 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</si>
</sst>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4" formatCode="_(&quot;$&quot;* #,##0.00_);_(&quot;$&quot;* \(#,##0.00\);_(&quot;$&quot;* &quot;-&quot;??_);_(@_)"/>
    <numFmt numFmtId="43" formatCode="_(* #,##0.00_);_(* \(#,##0.00\);_(* &quot;-&quot;??_);_(@_)"/>
    <numFmt numFmtId="165" formatCode="0.0"/>
    <numFmt numFmtId="167" formatCode="&quot;$&quot;#,##0.00;[Red]&quot;$&quot;#,##0.00"/>
    <numFmt numFmtId="169" formatCode="General_)"/>
    <numFmt numFmtId="171" formatCode="_(* #,##0.000_);_(* \(#,##0.000\);_(* &quot;-&quot;??_);_(@_)"/>
  </numFmts>
  <fonts count="27" x14ac:knownFonts="1">
    <font>
      <sz val="11"/>
      <color theme="1"/>
      <name val="Calibri"/>
      <family val="2"/>
      <scheme val="minor"/>
    </font>
    <font>
      <b/>
      <sz val="11"/>
      <color theme="1"/>
      <name val="Calibri"/>
      <family val="2"/>
      <scheme val="minor"/>
    </font>
    <font>
      <i/>
      <sz val="11"/>
      <color theme="1"/>
      <name val="Calibri"/>
      <family val="2"/>
      <scheme val="minor"/>
    </font>
    <font>
      <sz val="11"/>
      <name val="Calibri"/>
      <family val="2"/>
      <scheme val="minor"/>
    </font>
    <font>
      <sz val="11"/>
      <color theme="1"/>
      <name val="Calibri"/>
      <family val="2"/>
      <scheme val="minor"/>
    </font>
    <font>
      <u/>
      <sz val="11"/>
      <color theme="10"/>
      <name val="Calibri"/>
      <family val="2"/>
      <scheme val="minor"/>
    </font>
    <font>
      <sz val="11"/>
      <color theme="0"/>
      <name val="Calibri"/>
      <family val="2"/>
      <scheme val="minor"/>
    </font>
    <font>
      <sz val="10"/>
      <name val="Arial"/>
      <family val="2"/>
    </font>
    <font>
      <b/>
      <sz val="16"/>
      <color theme="0"/>
      <name val="Arial"/>
      <family val="2"/>
    </font>
    <font>
      <sz val="10"/>
      <name val="Arial"/>
      <family val="2"/>
    </font>
    <font>
      <sz val="5"/>
      <name val="Arial"/>
      <family val="2"/>
    </font>
    <font>
      <b/>
      <sz val="10"/>
      <color theme="0"/>
      <name val="Arial"/>
      <family val="2"/>
    </font>
    <font>
      <sz val="8"/>
      <name val="Calibri"/>
      <family val="2"/>
      <scheme val="minor"/>
    </font>
    <font>
      <b/>
      <sz val="11"/>
      <name val="Arial"/>
      <family val="2"/>
    </font>
    <font>
      <sz val="11"/>
      <name val="Arial"/>
      <family val="2"/>
    </font>
    <font>
      <sz val="11"/>
      <color indexed="8"/>
      <name val="Arial"/>
      <family val="2"/>
    </font>
    <font>
      <sz val="11"/>
      <color indexed="12"/>
      <name val="Arial"/>
      <family val="2"/>
    </font>
    <font>
      <b/>
      <sz val="8"/>
      <color indexed="81"/>
      <name val="Tahoma"/>
      <family val="2"/>
    </font>
    <font>
      <sz val="8"/>
      <color indexed="81"/>
      <name val="Tahoma"/>
      <family val="2"/>
    </font>
    <font>
      <sz val="9"/>
      <color indexed="81"/>
      <name val="Tahoma"/>
      <family val="2"/>
    </font>
    <font>
      <b/>
      <sz val="9"/>
      <color indexed="81"/>
      <name val="Tahoma"/>
      <family val="2"/>
    </font>
    <font>
      <sz val="11"/>
      <color indexed="39"/>
      <name val="Arial"/>
      <family val="2"/>
    </font>
    <font>
      <sz val="11"/>
      <color indexed="30"/>
      <name val="Arial"/>
      <family val="2"/>
    </font>
    <font>
      <sz val="11"/>
      <color indexed="56"/>
      <name val="Arial"/>
      <family val="2"/>
    </font>
    <font>
      <sz val="11"/>
      <color theme="1"/>
      <name val="Arial"/>
      <family val="2"/>
    </font>
    <font>
      <b/>
      <sz val="11"/>
      <color theme="0"/>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0"/>
        <bgColor indexed="64"/>
      </patternFill>
    </fill>
    <fill>
      <patternFill patternType="solid">
        <fgColor theme="6"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79998168889431442"/>
        <bgColor indexed="64"/>
      </patternFill>
    </fill>
  </fills>
  <borders count="3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64"/>
      </right>
      <top style="thin">
        <color indexed="64"/>
      </top>
      <bottom/>
      <diagonal/>
    </border>
    <border>
      <left style="thin">
        <color indexed="64"/>
      </left>
      <right style="medium">
        <color indexed="64"/>
      </right>
      <top style="medium">
        <color indexed="64"/>
      </top>
      <bottom/>
      <diagonal/>
    </border>
    <border>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style="thin">
        <color theme="4" tint="0.39997558519241921"/>
      </top>
      <bottom style="thin">
        <color theme="4" tint="0.39994506668294322"/>
      </bottom>
      <diagonal/>
    </border>
    <border>
      <left/>
      <right/>
      <top style="thin">
        <color theme="4" tint="0.39997558519241921"/>
      </top>
      <bottom style="thin">
        <color theme="4" tint="0.39994506668294322"/>
      </bottom>
      <diagonal/>
    </border>
    <border>
      <left style="thin">
        <color theme="4" tint="0.39997558519241921"/>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s>
  <cellStyleXfs count="7">
    <xf numFmtId="0" fontId="0" fillId="0" borderId="0"/>
    <xf numFmtId="43" fontId="4" fillId="0" borderId="0" applyFont="0" applyFill="0" applyBorder="0" applyAlignment="0" applyProtection="0"/>
    <xf numFmtId="0" fontId="5" fillId="0" borderId="0" applyNumberFormat="0" applyFill="0" applyBorder="0" applyAlignment="0" applyProtection="0"/>
    <xf numFmtId="0" fontId="7" fillId="0" borderId="0"/>
    <xf numFmtId="0" fontId="9" fillId="0" borderId="0"/>
    <xf numFmtId="44" fontId="4" fillId="0" borderId="0" applyFont="0" applyFill="0" applyBorder="0" applyAlignment="0" applyProtection="0"/>
    <xf numFmtId="9" fontId="4" fillId="0" borderId="0" applyFont="0" applyFill="0" applyBorder="0" applyAlignment="0" applyProtection="0"/>
  </cellStyleXfs>
  <cellXfs count="226">
    <xf numFmtId="0" fontId="0" fillId="0" borderId="0" xfId="0"/>
    <xf numFmtId="0" fontId="0" fillId="2" borderId="0" xfId="0" applyFill="1"/>
    <xf numFmtId="0" fontId="0" fillId="0" borderId="0" xfId="0" applyAlignment="1">
      <alignment wrapText="1"/>
    </xf>
    <xf numFmtId="0" fontId="0" fillId="0" borderId="0" xfId="0" applyAlignment="1">
      <alignment horizontal="left" indent="1"/>
    </xf>
    <xf numFmtId="0" fontId="0" fillId="0" borderId="0" xfId="0" applyAlignment="1">
      <alignment horizontal="left" indent="2"/>
    </xf>
    <xf numFmtId="0" fontId="1" fillId="0" borderId="0" xfId="0" applyFont="1"/>
    <xf numFmtId="0" fontId="0" fillId="3" borderId="0" xfId="0" applyFill="1"/>
    <xf numFmtId="14" fontId="0" fillId="2" borderId="0" xfId="0" applyNumberFormat="1" applyFill="1"/>
    <xf numFmtId="8" fontId="0" fillId="0" borderId="0" xfId="0" applyNumberFormat="1"/>
    <xf numFmtId="0" fontId="0" fillId="0" borderId="0" xfId="0" applyAlignment="1">
      <alignment horizontal="left"/>
    </xf>
    <xf numFmtId="0" fontId="0" fillId="0" borderId="0" xfId="0" applyFont="1"/>
    <xf numFmtId="0" fontId="0" fillId="0" borderId="0" xfId="0" applyFont="1" applyAlignment="1">
      <alignment horizontal="left" indent="1"/>
    </xf>
    <xf numFmtId="0" fontId="0" fillId="0" borderId="0" xfId="0" applyFont="1" applyAlignment="1">
      <alignment horizontal="left" indent="2"/>
    </xf>
    <xf numFmtId="8" fontId="0" fillId="3" borderId="0" xfId="0" applyNumberFormat="1" applyFill="1"/>
    <xf numFmtId="0" fontId="2" fillId="0" borderId="0" xfId="0" applyFont="1" applyAlignment="1">
      <alignment horizontal="left"/>
    </xf>
    <xf numFmtId="0" fontId="2" fillId="0" borderId="0" xfId="0" applyFont="1"/>
    <xf numFmtId="8" fontId="0" fillId="2" borderId="0" xfId="0" applyNumberFormat="1" applyFill="1"/>
    <xf numFmtId="0" fontId="0" fillId="4" borderId="0" xfId="0" applyFill="1"/>
    <xf numFmtId="8" fontId="0" fillId="2" borderId="1" xfId="0" applyNumberFormat="1" applyFill="1" applyBorder="1"/>
    <xf numFmtId="0" fontId="0" fillId="0" borderId="0" xfId="0" applyFill="1"/>
    <xf numFmtId="8" fontId="0" fillId="0" borderId="0" xfId="0" applyNumberFormat="1" applyFill="1"/>
    <xf numFmtId="8" fontId="0" fillId="5" borderId="0" xfId="0" applyNumberFormat="1" applyFill="1"/>
    <xf numFmtId="0" fontId="0" fillId="0" borderId="0" xfId="0" applyFont="1" applyFill="1" applyAlignment="1">
      <alignment horizontal="left"/>
    </xf>
    <xf numFmtId="0" fontId="0" fillId="6" borderId="0" xfId="0" applyFill="1"/>
    <xf numFmtId="8" fontId="0" fillId="6" borderId="0" xfId="0" applyNumberFormat="1" applyFill="1"/>
    <xf numFmtId="3" fontId="0" fillId="5" borderId="0" xfId="0" applyNumberFormat="1" applyFill="1"/>
    <xf numFmtId="0" fontId="1" fillId="0" borderId="0" xfId="0" applyFont="1" applyAlignment="1">
      <alignment horizontal="left" indent="1"/>
    </xf>
    <xf numFmtId="49" fontId="0" fillId="0" borderId="0" xfId="0" applyNumberFormat="1"/>
    <xf numFmtId="0" fontId="1" fillId="0" borderId="0" xfId="0" applyFont="1" applyAlignment="1">
      <alignment horizontal="left"/>
    </xf>
    <xf numFmtId="0" fontId="7" fillId="8" borderId="0" xfId="3" applyFill="1"/>
    <xf numFmtId="0" fontId="10" fillId="8" borderId="0" xfId="3" applyFont="1" applyFill="1"/>
    <xf numFmtId="0" fontId="9" fillId="8" borderId="0" xfId="3" applyFont="1" applyFill="1"/>
    <xf numFmtId="0" fontId="0" fillId="0" borderId="6" xfId="0" applyBorder="1" applyAlignment="1">
      <alignment horizontal="left" indent="1"/>
    </xf>
    <xf numFmtId="0" fontId="0" fillId="0" borderId="5" xfId="0" applyBorder="1" applyAlignment="1">
      <alignment horizontal="left" indent="1"/>
    </xf>
    <xf numFmtId="0" fontId="0" fillId="0" borderId="5" xfId="0" applyBorder="1"/>
    <xf numFmtId="0" fontId="0" fillId="0" borderId="1" xfId="0" applyBorder="1" applyAlignment="1">
      <alignment horizontal="left" indent="1"/>
    </xf>
    <xf numFmtId="0" fontId="0" fillId="0" borderId="5" xfId="0" applyBorder="1" applyAlignment="1">
      <alignment horizontal="left"/>
    </xf>
    <xf numFmtId="0" fontId="0" fillId="0" borderId="0" xfId="0" applyBorder="1" applyAlignment="1">
      <alignment horizontal="left" indent="1"/>
    </xf>
    <xf numFmtId="0" fontId="0" fillId="0" borderId="0" xfId="0" applyBorder="1" applyAlignment="1">
      <alignment horizontal="center"/>
    </xf>
    <xf numFmtId="0" fontId="5" fillId="0" borderId="5" xfId="2" applyFill="1" applyBorder="1" applyAlignment="1">
      <alignment horizontal="left" indent="1"/>
    </xf>
    <xf numFmtId="0" fontId="0" fillId="0" borderId="0" xfId="0" applyBorder="1" applyAlignment="1">
      <alignment horizontal="left"/>
    </xf>
    <xf numFmtId="0" fontId="0" fillId="0" borderId="8" xfId="0" applyBorder="1" applyAlignment="1">
      <alignment horizontal="left" indent="1"/>
    </xf>
    <xf numFmtId="0" fontId="0" fillId="0" borderId="9" xfId="0" applyBorder="1" applyAlignment="1">
      <alignment horizontal="left" indent="1"/>
    </xf>
    <xf numFmtId="0" fontId="5" fillId="0" borderId="10" xfId="2" applyBorder="1"/>
    <xf numFmtId="0" fontId="0" fillId="0" borderId="11" xfId="0" applyBorder="1" applyAlignment="1">
      <alignment horizontal="left" indent="1"/>
    </xf>
    <xf numFmtId="0" fontId="0" fillId="0" borderId="12" xfId="0" applyBorder="1"/>
    <xf numFmtId="0" fontId="5" fillId="0" borderId="12" xfId="2" applyFill="1" applyBorder="1" applyAlignment="1">
      <alignment horizontal="left" indent="1"/>
    </xf>
    <xf numFmtId="0" fontId="0" fillId="0" borderId="12" xfId="0" applyBorder="1" applyAlignment="1">
      <alignment horizontal="left" indent="1"/>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indent="1"/>
    </xf>
    <xf numFmtId="0" fontId="0" fillId="0" borderId="16" xfId="0" applyBorder="1" applyAlignment="1">
      <alignment horizontal="left" indent="1"/>
    </xf>
    <xf numFmtId="0" fontId="0" fillId="0" borderId="6" xfId="0" applyBorder="1" applyAlignment="1">
      <alignment horizontal="right" indent="1"/>
    </xf>
    <xf numFmtId="0" fontId="5" fillId="0" borderId="0" xfId="2" applyBorder="1"/>
    <xf numFmtId="0" fontId="0" fillId="0" borderId="0" xfId="0" applyBorder="1"/>
    <xf numFmtId="0" fontId="3" fillId="0" borderId="5" xfId="2" applyFont="1" applyBorder="1" applyAlignment="1">
      <alignment horizontal="right"/>
    </xf>
    <xf numFmtId="0" fontId="0" fillId="0" borderId="7" xfId="0" applyBorder="1"/>
    <xf numFmtId="0" fontId="0" fillId="0" borderId="11" xfId="0" applyBorder="1"/>
    <xf numFmtId="0" fontId="0" fillId="0" borderId="0" xfId="0" applyBorder="1" applyAlignment="1">
      <alignment wrapText="1"/>
    </xf>
    <xf numFmtId="0" fontId="0" fillId="2" borderId="0" xfId="0" applyFill="1" applyBorder="1"/>
    <xf numFmtId="0" fontId="1" fillId="0" borderId="0" xfId="0" applyFont="1" applyBorder="1"/>
    <xf numFmtId="8" fontId="1" fillId="5" borderId="0" xfId="0" applyNumberFormat="1" applyFont="1" applyFill="1" applyBorder="1"/>
    <xf numFmtId="0" fontId="0" fillId="0" borderId="11" xfId="0" applyFill="1" applyBorder="1" applyAlignment="1">
      <alignment wrapText="1"/>
    </xf>
    <xf numFmtId="0" fontId="0" fillId="0" borderId="11" xfId="0" applyFill="1" applyBorder="1"/>
    <xf numFmtId="0" fontId="0" fillId="2" borderId="0" xfId="0" applyFill="1" applyBorder="1" applyAlignment="1">
      <alignment horizontal="center"/>
    </xf>
    <xf numFmtId="8" fontId="0" fillId="2" borderId="0" xfId="0" applyNumberFormat="1" applyFill="1" applyBorder="1" applyAlignment="1">
      <alignment horizontal="center"/>
    </xf>
    <xf numFmtId="0" fontId="0" fillId="0" borderId="0" xfId="0" applyBorder="1" applyAlignment="1">
      <alignment horizontal="center" wrapText="1"/>
    </xf>
    <xf numFmtId="0" fontId="0" fillId="3" borderId="0" xfId="0" applyFill="1" applyBorder="1" applyAlignment="1">
      <alignment horizontal="center"/>
    </xf>
    <xf numFmtId="8" fontId="0" fillId="3" borderId="0" xfId="0" applyNumberFormat="1" applyFill="1" applyBorder="1" applyAlignment="1">
      <alignment horizontal="center"/>
    </xf>
    <xf numFmtId="0" fontId="0" fillId="0" borderId="10" xfId="0" applyBorder="1"/>
    <xf numFmtId="0" fontId="0" fillId="0" borderId="0" xfId="0" applyFont="1" applyBorder="1"/>
    <xf numFmtId="0" fontId="6" fillId="0" borderId="0" xfId="0" applyFont="1" applyFill="1" applyBorder="1" applyAlignment="1">
      <alignment horizontal="left" indent="1"/>
    </xf>
    <xf numFmtId="0" fontId="6" fillId="0" borderId="0" xfId="0" applyFont="1" applyFill="1" applyBorder="1"/>
    <xf numFmtId="0" fontId="3" fillId="0" borderId="0" xfId="0" applyFont="1" applyFill="1" applyBorder="1"/>
    <xf numFmtId="0" fontId="0" fillId="0" borderId="0" xfId="0" applyFill="1" applyBorder="1"/>
    <xf numFmtId="8" fontId="0" fillId="0" borderId="0" xfId="0" applyNumberFormat="1" applyFill="1" applyBorder="1"/>
    <xf numFmtId="0" fontId="1" fillId="0" borderId="0" xfId="0" applyFont="1" applyBorder="1" applyAlignment="1">
      <alignment horizontal="left"/>
    </xf>
    <xf numFmtId="8" fontId="0" fillId="0" borderId="0" xfId="0" applyNumberFormat="1" applyFont="1" applyFill="1" applyBorder="1"/>
    <xf numFmtId="0" fontId="0" fillId="0" borderId="0" xfId="0" applyBorder="1" applyAlignment="1">
      <alignment horizontal="left" indent="2"/>
    </xf>
    <xf numFmtId="0" fontId="0" fillId="0" borderId="17" xfId="0" applyBorder="1"/>
    <xf numFmtId="0" fontId="0" fillId="0" borderId="6" xfId="0" applyBorder="1"/>
    <xf numFmtId="0" fontId="0" fillId="0" borderId="9" xfId="0" applyBorder="1"/>
    <xf numFmtId="0" fontId="0" fillId="0" borderId="15" xfId="0" applyBorder="1"/>
    <xf numFmtId="0" fontId="0" fillId="0" borderId="1" xfId="0" applyBorder="1"/>
    <xf numFmtId="0" fontId="0" fillId="0" borderId="16" xfId="0" applyBorder="1"/>
    <xf numFmtId="0" fontId="0" fillId="0" borderId="0" xfId="0" applyFill="1" applyBorder="1" applyAlignment="1">
      <alignment wrapText="1"/>
    </xf>
    <xf numFmtId="0" fontId="1" fillId="9" borderId="18" xfId="0" applyFont="1" applyFill="1" applyBorder="1" applyAlignment="1">
      <alignment wrapText="1"/>
    </xf>
    <xf numFmtId="0" fontId="5" fillId="9" borderId="18" xfId="2" applyFill="1" applyBorder="1"/>
    <xf numFmtId="0" fontId="5" fillId="2" borderId="18" xfId="2" applyFill="1" applyBorder="1" applyAlignment="1">
      <alignment horizontal="left" indent="1"/>
    </xf>
    <xf numFmtId="0" fontId="5" fillId="9" borderId="18" xfId="2" applyFill="1" applyBorder="1" applyAlignment="1">
      <alignment wrapText="1"/>
    </xf>
    <xf numFmtId="0" fontId="0" fillId="0" borderId="0" xfId="0" pivotButton="1"/>
    <xf numFmtId="167" fontId="0" fillId="0" borderId="0" xfId="0" applyNumberFormat="1"/>
    <xf numFmtId="0" fontId="14" fillId="0" borderId="0" xfId="0" quotePrefix="1" applyFont="1" applyAlignment="1">
      <alignment horizontal="left"/>
    </xf>
    <xf numFmtId="0" fontId="14" fillId="0" borderId="0" xfId="0" applyFont="1"/>
    <xf numFmtId="0" fontId="14" fillId="0" borderId="0" xfId="0" applyFont="1" applyAlignment="1">
      <alignment horizontal="left"/>
    </xf>
    <xf numFmtId="169" fontId="14" fillId="0" borderId="0" xfId="0" applyNumberFormat="1" applyFont="1" applyAlignment="1">
      <alignment horizontal="left"/>
    </xf>
    <xf numFmtId="0" fontId="13" fillId="0" borderId="0" xfId="0" applyFont="1"/>
    <xf numFmtId="0" fontId="23" fillId="0" borderId="0" xfId="0" applyFont="1" applyAlignment="1" applyProtection="1">
      <alignment wrapText="1"/>
      <protection locked="0"/>
    </xf>
    <xf numFmtId="0" fontId="14" fillId="0" borderId="0" xfId="0" applyFont="1" applyAlignment="1">
      <alignment wrapText="1"/>
    </xf>
    <xf numFmtId="1" fontId="0" fillId="0" borderId="0" xfId="0" applyNumberFormat="1"/>
    <xf numFmtId="0" fontId="24" fillId="0" borderId="0" xfId="0" applyFont="1"/>
    <xf numFmtId="0" fontId="24" fillId="0" borderId="0" xfId="0" applyFont="1" applyAlignment="1" applyProtection="1">
      <alignment horizontal="right"/>
      <protection locked="0"/>
    </xf>
    <xf numFmtId="0" fontId="24" fillId="0" borderId="0" xfId="0" applyFont="1" applyProtection="1">
      <protection locked="0"/>
    </xf>
    <xf numFmtId="0" fontId="0" fillId="0" borderId="0" xfId="0" applyAlignment="1">
      <alignment horizontal="right"/>
    </xf>
    <xf numFmtId="0" fontId="0" fillId="0" borderId="0" xfId="0" applyAlignment="1">
      <alignment horizontal="right" wrapText="1"/>
    </xf>
    <xf numFmtId="0" fontId="14" fillId="0" borderId="0" xfId="0" applyFont="1" applyAlignment="1">
      <alignment horizontal="right"/>
    </xf>
    <xf numFmtId="171" fontId="0" fillId="0" borderId="0" xfId="1" applyNumberFormat="1" applyFont="1"/>
    <xf numFmtId="0" fontId="14" fillId="0" borderId="0" xfId="0" applyFont="1" applyBorder="1"/>
    <xf numFmtId="0" fontId="0" fillId="0" borderId="0" xfId="0" quotePrefix="1"/>
    <xf numFmtId="8" fontId="0" fillId="0" borderId="0" xfId="0" applyNumberFormat="1" applyBorder="1"/>
    <xf numFmtId="0" fontId="0" fillId="0" borderId="21" xfId="0" applyBorder="1"/>
    <xf numFmtId="0" fontId="0" fillId="3" borderId="21" xfId="0" applyFill="1" applyBorder="1"/>
    <xf numFmtId="0" fontId="5" fillId="0" borderId="0" xfId="2"/>
    <xf numFmtId="169" fontId="16" fillId="0" borderId="19" xfId="0" applyNumberFormat="1" applyFont="1" applyFill="1" applyBorder="1" applyProtection="1">
      <protection locked="0"/>
    </xf>
    <xf numFmtId="169" fontId="15" fillId="0" borderId="19" xfId="0" applyNumberFormat="1" applyFont="1" applyFill="1" applyBorder="1" applyAlignment="1">
      <alignment horizontal="right"/>
    </xf>
    <xf numFmtId="6" fontId="16" fillId="0" borderId="19" xfId="0" applyNumberFormat="1" applyFont="1" applyFill="1" applyBorder="1" applyProtection="1">
      <protection locked="0"/>
    </xf>
    <xf numFmtId="9" fontId="16" fillId="0" borderId="19" xfId="6" applyFont="1" applyFill="1" applyBorder="1" applyProtection="1">
      <protection locked="0"/>
    </xf>
    <xf numFmtId="6" fontId="16" fillId="0" borderId="19" xfId="6" applyNumberFormat="1" applyFont="1" applyFill="1" applyBorder="1" applyProtection="1">
      <protection locked="0"/>
    </xf>
    <xf numFmtId="0" fontId="16" fillId="0" borderId="19" xfId="0" applyFont="1" applyFill="1" applyBorder="1" applyProtection="1">
      <protection locked="0"/>
    </xf>
    <xf numFmtId="6" fontId="16" fillId="0" borderId="19" xfId="1" applyNumberFormat="1" applyFont="1" applyFill="1" applyBorder="1" applyProtection="1">
      <protection locked="0"/>
    </xf>
    <xf numFmtId="169" fontId="15" fillId="0" borderId="0" xfId="0" applyNumberFormat="1" applyFont="1" applyFill="1" applyAlignment="1">
      <alignment horizontal="left"/>
    </xf>
    <xf numFmtId="0" fontId="14" fillId="0" borderId="19" xfId="0" applyFont="1" applyFill="1" applyBorder="1" applyProtection="1">
      <protection locked="0"/>
    </xf>
    <xf numFmtId="0" fontId="0" fillId="0" borderId="0" xfId="0" applyFill="1" applyAlignment="1">
      <alignment wrapText="1"/>
    </xf>
    <xf numFmtId="9" fontId="16" fillId="0" borderId="19" xfId="0" applyNumberFormat="1" applyFont="1" applyFill="1" applyBorder="1" applyProtection="1">
      <protection locked="0"/>
    </xf>
    <xf numFmtId="0" fontId="1" fillId="0" borderId="0" xfId="0" applyFon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4" xfId="3" applyFont="1" applyFill="1" applyBorder="1" applyAlignment="1">
      <alignment horizontal="center"/>
    </xf>
    <xf numFmtId="0" fontId="0" fillId="0" borderId="22" xfId="0" applyFont="1" applyBorder="1"/>
    <xf numFmtId="8" fontId="16" fillId="0" borderId="0" xfId="0" applyNumberFormat="1" applyFont="1" applyFill="1" applyBorder="1" applyProtection="1">
      <protection locked="0"/>
    </xf>
    <xf numFmtId="8" fontId="16" fillId="0" borderId="19" xfId="0" applyNumberFormat="1" applyFont="1" applyFill="1" applyBorder="1" applyProtection="1">
      <protection locked="0"/>
    </xf>
    <xf numFmtId="0" fontId="0" fillId="11" borderId="24" xfId="0" applyFont="1" applyFill="1" applyBorder="1"/>
    <xf numFmtId="6" fontId="0" fillId="11" borderId="25" xfId="0" applyNumberFormat="1" applyFont="1" applyFill="1" applyBorder="1"/>
    <xf numFmtId="0" fontId="0" fillId="0" borderId="24" xfId="0" applyFont="1" applyBorder="1"/>
    <xf numFmtId="6" fontId="0" fillId="0" borderId="25" xfId="0" applyNumberFormat="1" applyFont="1" applyBorder="1"/>
    <xf numFmtId="8" fontId="0" fillId="11" borderId="25" xfId="0" applyNumberFormat="1" applyFont="1" applyFill="1" applyBorder="1"/>
    <xf numFmtId="8" fontId="0" fillId="11" borderId="26" xfId="0" applyNumberFormat="1" applyFont="1" applyFill="1" applyBorder="1"/>
    <xf numFmtId="8" fontId="0" fillId="0" borderId="25" xfId="0" applyNumberFormat="1" applyFont="1" applyBorder="1"/>
    <xf numFmtId="8" fontId="0" fillId="0" borderId="23" xfId="0" applyNumberFormat="1" applyFont="1" applyBorder="1"/>
    <xf numFmtId="8" fontId="0" fillId="0" borderId="25" xfId="0" applyNumberFormat="1" applyFont="1" applyFill="1" applyBorder="1"/>
    <xf numFmtId="8" fontId="0" fillId="0" borderId="26" xfId="0" applyNumberFormat="1" applyFont="1" applyFill="1" applyBorder="1"/>
    <xf numFmtId="2" fontId="16" fillId="0" borderId="19" xfId="0" applyNumberFormat="1" applyFont="1" applyFill="1" applyBorder="1" applyProtection="1">
      <protection locked="0"/>
    </xf>
    <xf numFmtId="8" fontId="0" fillId="0" borderId="28" xfId="0" applyNumberFormat="1" applyFont="1" applyFill="1" applyBorder="1"/>
    <xf numFmtId="8" fontId="0" fillId="0" borderId="27" xfId="0" applyNumberFormat="1" applyFont="1" applyFill="1" applyBorder="1"/>
    <xf numFmtId="9" fontId="0" fillId="0" borderId="0" xfId="0" applyNumberFormat="1" applyFill="1" applyBorder="1"/>
    <xf numFmtId="0" fontId="0" fillId="12" borderId="0" xfId="0" applyFill="1" applyBorder="1"/>
    <xf numFmtId="165" fontId="0" fillId="0" borderId="0" xfId="0" applyNumberFormat="1" applyBorder="1"/>
    <xf numFmtId="0" fontId="0" fillId="11" borderId="29" xfId="0" applyFont="1" applyFill="1" applyBorder="1"/>
    <xf numFmtId="8" fontId="0" fillId="11" borderId="30" xfId="0" applyNumberFormat="1" applyFont="1" applyFill="1" applyBorder="1"/>
    <xf numFmtId="8" fontId="0" fillId="11" borderId="31" xfId="0" applyNumberFormat="1" applyFont="1" applyFill="1" applyBorder="1"/>
    <xf numFmtId="0" fontId="3" fillId="12" borderId="0" xfId="0" applyFont="1" applyFill="1" applyBorder="1"/>
    <xf numFmtId="0" fontId="3" fillId="0" borderId="0" xfId="0" applyFont="1"/>
    <xf numFmtId="0" fontId="0" fillId="11" borderId="22" xfId="0" applyFont="1" applyFill="1" applyBorder="1"/>
    <xf numFmtId="0" fontId="3" fillId="0" borderId="0" xfId="0" applyFont="1" applyBorder="1"/>
    <xf numFmtId="0" fontId="3" fillId="0" borderId="0" xfId="0" applyFont="1" applyFill="1" applyBorder="1" applyAlignment="1">
      <alignment horizontal="left" indent="1"/>
    </xf>
    <xf numFmtId="0" fontId="0" fillId="0" borderId="0" xfId="0" applyFont="1" applyFill="1" applyBorder="1"/>
    <xf numFmtId="0" fontId="25" fillId="10" borderId="24" xfId="0" applyFont="1" applyFill="1" applyBorder="1" applyAlignment="1">
      <alignment wrapText="1"/>
    </xf>
    <xf numFmtId="0" fontId="25" fillId="10" borderId="25" xfId="0" applyFont="1" applyFill="1" applyBorder="1" applyAlignment="1">
      <alignment wrapText="1"/>
    </xf>
    <xf numFmtId="0" fontId="25" fillId="10" borderId="26" xfId="0" applyFont="1" applyFill="1" applyBorder="1" applyAlignment="1">
      <alignment wrapText="1"/>
    </xf>
    <xf numFmtId="0" fontId="6" fillId="0" borderId="0" xfId="0" applyFont="1" applyFill="1" applyBorder="1" applyAlignment="1">
      <alignment horizontal="left" indent="2"/>
    </xf>
    <xf numFmtId="8" fontId="6" fillId="0" borderId="0" xfId="0" applyNumberFormat="1" applyFont="1" applyFill="1" applyBorder="1"/>
    <xf numFmtId="0" fontId="26" fillId="0" borderId="0" xfId="0" applyFont="1" applyFill="1" applyBorder="1" applyAlignment="1">
      <alignment horizontal="left"/>
    </xf>
    <xf numFmtId="8" fontId="0" fillId="12" borderId="0" xfId="0" applyNumberFormat="1" applyFill="1" applyBorder="1"/>
    <xf numFmtId="8" fontId="0" fillId="3" borderId="0" xfId="0" applyNumberFormat="1" applyFont="1" applyFill="1" applyBorder="1"/>
    <xf numFmtId="8" fontId="26" fillId="5" borderId="0" xfId="0" applyNumberFormat="1" applyFon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2" xfId="3" quotePrefix="1" applyFont="1" applyFill="1" applyBorder="1" applyAlignment="1">
      <alignment horizontal="center"/>
    </xf>
    <xf numFmtId="0" fontId="8" fillId="7" borderId="4" xfId="3" quotePrefix="1" applyFont="1" applyFill="1" applyBorder="1" applyAlignment="1">
      <alignment horizontal="center"/>
    </xf>
    <xf numFmtId="0" fontId="11" fillId="7" borderId="3" xfId="3" quotePrefix="1" applyFont="1" applyFill="1" applyBorder="1" applyAlignment="1">
      <alignment horizontal="center"/>
    </xf>
    <xf numFmtId="0" fontId="11" fillId="7" borderId="2" xfId="3" quotePrefix="1" applyFont="1" applyFill="1" applyBorder="1" applyAlignment="1">
      <alignment horizontal="center"/>
    </xf>
    <xf numFmtId="0" fontId="11" fillId="7" borderId="4" xfId="3" quotePrefix="1" applyFont="1" applyFill="1" applyBorder="1" applyAlignment="1">
      <alignment horizontal="center"/>
    </xf>
    <xf numFmtId="0" fontId="1" fillId="0" borderId="0" xfId="0" applyFont="1" applyBorder="1" applyAlignment="1">
      <alignment horizontal="left" vertical="center" wrapText="1"/>
    </xf>
    <xf numFmtId="0" fontId="0" fillId="9" borderId="0" xfId="0" applyFill="1" applyBorder="1" applyAlignment="1">
      <alignment horizontal="center" wrapText="1"/>
    </xf>
    <xf numFmtId="0" fontId="8" fillId="7" borderId="4" xfId="3" applyFont="1" applyFill="1" applyBorder="1" applyAlignment="1">
      <alignment horizontal="center"/>
    </xf>
    <xf numFmtId="0" fontId="5" fillId="9" borderId="19" xfId="2" applyFill="1" applyBorder="1" applyAlignment="1">
      <alignment horizontal="center" wrapText="1"/>
    </xf>
    <xf numFmtId="0" fontId="5" fillId="9" borderId="20" xfId="2" applyFill="1" applyBorder="1" applyAlignment="1">
      <alignment horizontal="center" wrapText="1"/>
    </xf>
    <xf numFmtId="0" fontId="0" fillId="9" borderId="19" xfId="0" applyFill="1" applyBorder="1" applyAlignment="1">
      <alignment horizontal="center" wrapText="1"/>
    </xf>
    <xf numFmtId="0" fontId="0" fillId="9" borderId="20" xfId="0" applyFill="1" applyBorder="1" applyAlignment="1">
      <alignment horizontal="center" wrapText="1"/>
    </xf>
    <xf numFmtId="0" fontId="0" fillId="0" borderId="17" xfId="0" applyBorder="1" applyAlignment="1">
      <alignment horizontal="left" wrapText="1"/>
    </xf>
    <xf numFmtId="0" fontId="0" fillId="0" borderId="6" xfId="0" applyBorder="1" applyAlignment="1">
      <alignment horizontal="left" wrapText="1"/>
    </xf>
    <xf numFmtId="0" fontId="0" fillId="0" borderId="9" xfId="0" applyBorder="1" applyAlignment="1">
      <alignment horizontal="left" wrapText="1"/>
    </xf>
    <xf numFmtId="0" fontId="0" fillId="0" borderId="7" xfId="0" applyBorder="1" applyAlignment="1">
      <alignment horizontal="left" wrapText="1"/>
    </xf>
    <xf numFmtId="0" fontId="0" fillId="0" borderId="0" xfId="0" applyBorder="1" applyAlignment="1">
      <alignment horizontal="left" wrapText="1"/>
    </xf>
    <xf numFmtId="0" fontId="0" fillId="0" borderId="11" xfId="0" applyBorder="1" applyAlignment="1">
      <alignment horizontal="left" wrapText="1"/>
    </xf>
    <xf numFmtId="0" fontId="0" fillId="0" borderId="15" xfId="0" applyBorder="1" applyAlignment="1">
      <alignment horizontal="left" wrapText="1"/>
    </xf>
    <xf numFmtId="0" fontId="0" fillId="0" borderId="1" xfId="0" applyBorder="1" applyAlignment="1">
      <alignment horizontal="left" wrapText="1"/>
    </xf>
    <xf numFmtId="0" fontId="0" fillId="0" borderId="16" xfId="0" applyBorder="1" applyAlignment="1">
      <alignment horizontal="left" wrapText="1"/>
    </xf>
    <xf numFmtId="0" fontId="14" fillId="0" borderId="0" xfId="5" applyNumberFormat="1" applyFont="1" applyFill="1" applyBorder="1" applyProtection="1">
      <protection locked="0"/>
    </xf>
    <xf numFmtId="0" fontId="14" fillId="0" borderId="0" xfId="0" applyNumberFormat="1" applyFont="1" applyFill="1" applyBorder="1" applyProtection="1">
      <protection locked="0"/>
    </xf>
    <xf numFmtId="0" fontId="14" fillId="0" borderId="0" xfId="6" applyNumberFormat="1" applyFont="1" applyFill="1" applyBorder="1" applyProtection="1">
      <protection locked="0"/>
    </xf>
    <xf numFmtId="0" fontId="14" fillId="0" borderId="0" xfId="1" applyNumberFormat="1" applyFont="1" applyFill="1" applyBorder="1" applyProtection="1">
      <protection locked="0"/>
    </xf>
    <xf numFmtId="0" fontId="14" fillId="0" borderId="0" xfId="5" applyNumberFormat="1" applyFont="1" applyFill="1" applyBorder="1" applyProtection="1"/>
    <xf numFmtId="0" fontId="3" fillId="0" borderId="0" xfId="0" applyNumberFormat="1" applyFont="1" applyFill="1"/>
    <xf numFmtId="0" fontId="14" fillId="0" borderId="0" xfId="0" applyNumberFormat="1" applyFont="1" applyAlignment="1">
      <alignment horizontal="center" wrapText="1"/>
    </xf>
    <xf numFmtId="0" fontId="14" fillId="0" borderId="0" xfId="0" applyNumberFormat="1" applyFont="1" applyAlignment="1">
      <alignment wrapText="1"/>
    </xf>
    <xf numFmtId="0" fontId="14" fillId="0" borderId="0" xfId="0" applyNumberFormat="1" applyFont="1" applyAlignment="1">
      <alignment horizontal="left" wrapText="1"/>
    </xf>
    <xf numFmtId="0" fontId="15" fillId="0" borderId="0" xfId="0" applyNumberFormat="1" applyFont="1" applyAlignment="1">
      <alignment wrapText="1"/>
    </xf>
    <xf numFmtId="0" fontId="14" fillId="0" borderId="0" xfId="0" applyNumberFormat="1" applyFont="1" applyAlignment="1" applyProtection="1">
      <alignment horizontal="center" wrapText="1"/>
      <protection locked="0"/>
    </xf>
    <xf numFmtId="0" fontId="14" fillId="0" borderId="0" xfId="0" applyNumberFormat="1" applyFont="1" applyFill="1" applyAlignment="1" applyProtection="1">
      <alignment horizontal="center" wrapText="1"/>
      <protection locked="0"/>
    </xf>
    <xf numFmtId="0" fontId="0" fillId="0" borderId="0" xfId="0" applyNumberFormat="1" applyFill="1"/>
    <xf numFmtId="0" fontId="16" fillId="0" borderId="18" xfId="0" quotePrefix="1" applyNumberFormat="1" applyFont="1" applyFill="1" applyBorder="1" applyAlignment="1" applyProtection="1">
      <alignment horizontal="left" wrapText="1"/>
      <protection locked="0"/>
    </xf>
    <xf numFmtId="0" fontId="16" fillId="0" borderId="18" xfId="0" applyNumberFormat="1" applyFont="1" applyFill="1" applyBorder="1" applyProtection="1">
      <protection locked="0"/>
    </xf>
    <xf numFmtId="0" fontId="21" fillId="0" borderId="18" xfId="0" quotePrefix="1" applyNumberFormat="1" applyFont="1" applyFill="1" applyBorder="1" applyAlignment="1" applyProtection="1">
      <alignment horizontal="left"/>
      <protection locked="0"/>
    </xf>
    <xf numFmtId="0" fontId="21" fillId="0" borderId="18" xfId="0" applyNumberFormat="1" applyFont="1" applyFill="1" applyBorder="1" applyProtection="1">
      <protection locked="0"/>
    </xf>
    <xf numFmtId="0" fontId="16" fillId="0" borderId="18" xfId="0" applyNumberFormat="1" applyFont="1" applyFill="1" applyBorder="1" applyAlignment="1" applyProtection="1">
      <alignment wrapText="1"/>
      <protection locked="0"/>
    </xf>
    <xf numFmtId="0" fontId="23" fillId="0" borderId="18" xfId="1" applyNumberFormat="1" applyFont="1" applyFill="1" applyBorder="1" applyProtection="1">
      <protection locked="0"/>
    </xf>
    <xf numFmtId="0" fontId="16" fillId="0" borderId="18" xfId="6" applyNumberFormat="1" applyFont="1" applyFill="1" applyBorder="1" applyProtection="1">
      <protection locked="0"/>
    </xf>
    <xf numFmtId="0" fontId="22" fillId="0" borderId="18" xfId="0" applyNumberFormat="1" applyFont="1" applyFill="1" applyBorder="1" applyProtection="1">
      <protection locked="0"/>
    </xf>
    <xf numFmtId="0" fontId="16" fillId="0" borderId="0" xfId="0" applyNumberFormat="1" applyFont="1" applyFill="1" applyProtection="1">
      <protection locked="0"/>
    </xf>
    <xf numFmtId="0" fontId="16" fillId="0" borderId="20" xfId="0" applyNumberFormat="1" applyFont="1" applyFill="1" applyBorder="1" applyProtection="1">
      <protection locked="0"/>
    </xf>
    <xf numFmtId="0" fontId="16" fillId="0" borderId="0" xfId="6" applyNumberFormat="1" applyFont="1" applyFill="1" applyBorder="1" applyProtection="1">
      <protection locked="0"/>
    </xf>
    <xf numFmtId="0" fontId="16" fillId="0" borderId="0" xfId="0" applyNumberFormat="1" applyFont="1" applyFill="1" applyBorder="1" applyProtection="1">
      <protection locked="0"/>
    </xf>
    <xf numFmtId="0" fontId="16" fillId="0" borderId="18" xfId="0" applyNumberFormat="1" applyFont="1" applyFill="1" applyBorder="1" applyAlignment="1" applyProtection="1">
      <alignment horizontal="left" wrapText="1"/>
      <protection locked="0"/>
    </xf>
    <xf numFmtId="0" fontId="21" fillId="0" borderId="18" xfId="0" applyNumberFormat="1" applyFont="1" applyFill="1" applyBorder="1" applyAlignment="1" applyProtection="1">
      <alignment horizontal="left"/>
      <protection locked="0"/>
    </xf>
    <xf numFmtId="0" fontId="16" fillId="0" borderId="18" xfId="0" applyNumberFormat="1" applyFont="1" applyFill="1" applyBorder="1" applyAlignment="1" applyProtection="1">
      <alignment horizontal="left"/>
      <protection locked="0"/>
    </xf>
    <xf numFmtId="0" fontId="22" fillId="0" borderId="18" xfId="1" applyNumberFormat="1" applyFont="1" applyFill="1" applyBorder="1" applyProtection="1">
      <protection locked="0"/>
    </xf>
    <xf numFmtId="0" fontId="16" fillId="0" borderId="19" xfId="6" applyNumberFormat="1" applyFont="1" applyFill="1" applyBorder="1" applyProtection="1">
      <protection locked="0"/>
    </xf>
    <xf numFmtId="0" fontId="23" fillId="0" borderId="0" xfId="0" applyNumberFormat="1" applyFont="1" applyAlignment="1" applyProtection="1">
      <alignment wrapText="1"/>
      <protection locked="0"/>
    </xf>
    <xf numFmtId="0" fontId="23" fillId="0" borderId="0" xfId="0" applyNumberFormat="1" applyFont="1" applyFill="1" applyAlignment="1" applyProtection="1">
      <alignment wrapText="1"/>
      <protection locked="0"/>
    </xf>
    <xf numFmtId="0" fontId="15" fillId="0" borderId="18" xfId="0" applyNumberFormat="1" applyFont="1" applyFill="1" applyBorder="1" applyAlignment="1">
      <alignment horizontal="right"/>
    </xf>
    <xf numFmtId="0" fontId="15" fillId="0" borderId="0" xfId="0" applyNumberFormat="1" applyFont="1" applyFill="1" applyAlignment="1">
      <alignment horizontal="left"/>
    </xf>
    <xf numFmtId="0" fontId="16" fillId="0" borderId="18" xfId="1" applyNumberFormat="1" applyFont="1" applyFill="1" applyBorder="1" applyProtection="1">
      <protection locked="0"/>
    </xf>
    <xf numFmtId="0" fontId="14" fillId="0" borderId="18" xfId="0" applyNumberFormat="1" applyFont="1" applyFill="1" applyBorder="1" applyProtection="1">
      <protection locked="0"/>
    </xf>
    <xf numFmtId="0" fontId="16" fillId="0" borderId="18" xfId="0" quotePrefix="1" applyNumberFormat="1" applyFont="1" applyFill="1" applyBorder="1" applyAlignment="1" applyProtection="1">
      <alignment horizontal="left"/>
      <protection locked="0"/>
    </xf>
  </cellXfs>
  <cellStyles count="7">
    <cellStyle name="Comma" xfId="1" builtinId="3"/>
    <cellStyle name="Currency" xfId="5" builtinId="4"/>
    <cellStyle name="Hyperlink" xfId="2" builtinId="8"/>
    <cellStyle name="Normal" xfId="0" builtinId="0"/>
    <cellStyle name="Normal 2" xfId="3" xr:uid="{2D16002C-51CB-4ABF-8398-F821AEAC7405}"/>
    <cellStyle name="Normal 2 2" xfId="4" xr:uid="{C13A11B4-0037-4DD8-BAD2-891FF0A08401}"/>
    <cellStyle name="Percent" xfId="6" builtinId="5"/>
  </cellStyles>
  <dxfs count="92">
    <dxf>
      <numFmt numFmtId="0" formatCode="General"/>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0" formatCode="General"/>
      <alignment horizontal="center" vertical="bottom" textRotation="0" wrapText="1"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indexed="65"/>
        </patternFill>
      </fill>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indexed="65"/>
        </patternFill>
      </fill>
      <protection locked="0" hidden="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protection locked="0" hidden="0"/>
    </dxf>
    <dxf>
      <font>
        <b val="0"/>
        <i val="0"/>
        <strike val="0"/>
        <condense val="0"/>
        <extend val="0"/>
        <outline val="0"/>
        <shadow val="0"/>
        <u val="none"/>
        <vertAlign val="baseline"/>
        <sz val="11"/>
        <color indexed="30"/>
        <name val="Arial"/>
        <family val="2"/>
        <scheme val="none"/>
      </font>
      <numFmt numFmtId="0" formatCode="General"/>
      <fill>
        <patternFill patternType="none">
          <fgColor indexed="64"/>
          <bgColor auto="1"/>
        </patternFill>
      </fill>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56"/>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indexed="65"/>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numFmt numFmtId="0" formatCode="General"/>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numFmt numFmtId="0" formatCode="General"/>
      <fill>
        <patternFill patternType="none">
          <fgColor indexed="64"/>
          <bgColor auto="1"/>
        </patternFill>
      </fill>
    </dxf>
    <dxf>
      <font>
        <strike val="0"/>
        <outline val="0"/>
        <shadow val="0"/>
        <u val="none"/>
        <vertAlign val="baseline"/>
        <sz val="11"/>
        <color auto="1"/>
      </font>
      <numFmt numFmtId="0" formatCode="General"/>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2" formatCode="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outline="0">
        <left style="thin">
          <color indexed="64"/>
        </left>
        <right style="thin">
          <color indexed="64"/>
        </right>
      </border>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protection locked="0" hidden="0"/>
    </dxf>
    <dxf>
      <font>
        <b val="0"/>
        <i val="0"/>
        <strike val="0"/>
        <condense val="0"/>
        <extend val="0"/>
        <outline val="0"/>
        <shadow val="0"/>
        <u val="none"/>
        <vertAlign val="baseline"/>
        <sz val="11"/>
        <color indexed="56"/>
        <name val="Arial"/>
        <family val="2"/>
        <scheme val="none"/>
      </font>
      <alignment horizontal="general" vertical="bottom" textRotation="0" wrapText="1" indent="0" justifyLastLine="0" shrinkToFit="0" readingOrder="0"/>
      <protection locked="0" hidden="0"/>
    </dxf>
    <dxf>
      <font>
        <color theme="0"/>
      </font>
      <fill>
        <patternFill patternType="none">
          <bgColor auto="1"/>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color theme="1"/>
      </font>
    </dxf>
    <dxf>
      <font>
        <b val="0"/>
        <i val="0"/>
        <strike val="0"/>
        <color theme="1"/>
      </font>
      <fill>
        <patternFill patternType="solid">
          <bgColor theme="9" tint="0.79998168889431442"/>
        </patternFill>
      </fill>
    </dxf>
    <dxf>
      <font>
        <b val="0"/>
        <i val="0"/>
        <strike val="0"/>
        <color theme="1"/>
      </font>
      <fill>
        <patternFill patternType="none">
          <bgColor auto="1"/>
        </patternFill>
      </fill>
    </dxf>
    <dxf>
      <font>
        <b val="0"/>
        <i val="0"/>
        <strike val="0"/>
        <color theme="1"/>
      </font>
      <fill>
        <patternFill patternType="none">
          <bgColor auto="1"/>
        </patternFill>
      </fill>
    </dxf>
    <dxf>
      <font>
        <color theme="1"/>
      </font>
      <fill>
        <patternFill patternType="none">
          <bgColor auto="1"/>
        </patternFill>
      </fill>
    </dxf>
    <dxf>
      <fill>
        <patternFill patternType="solid">
          <bgColor theme="4"/>
        </patternFill>
      </fill>
    </dxf>
    <dxf>
      <font>
        <color theme="1"/>
      </font>
      <fill>
        <patternFill>
          <bgColor theme="9" tint="0.79998168889431442"/>
        </patternFill>
      </fill>
    </dxf>
    <dxf>
      <font>
        <color theme="1"/>
      </font>
      <fill>
        <patternFill>
          <bgColor theme="8" tint="0.79998168889431442"/>
        </patternFill>
      </fill>
    </dxf>
    <dxf>
      <numFmt numFmtId="12" formatCode="&quot;$&quot;#,##0.00_);[Red]\(&quot;$&quot;#,##0.00\)"/>
    </dxf>
    <dxf>
      <font>
        <b val="0"/>
        <i val="0"/>
        <strike val="0"/>
        <condense val="0"/>
        <extend val="0"/>
        <outline val="0"/>
        <shadow val="0"/>
        <u val="none"/>
        <vertAlign val="baseline"/>
        <sz val="11"/>
        <color auto="1"/>
        <name val="Arial"/>
        <family val="2"/>
        <scheme val="none"/>
      </font>
    </dxf>
    <dxf>
      <numFmt numFmtId="12" formatCode="&quot;$&quot;#,##0.00_);[Red]\(&quot;$&quot;#,##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CheckBox" checked="Checked" fmlaLink="D3" lockText="1" noThreeD="1"/>
</file>

<file path=xl/ctrlProps/ctrlProp2.xml><?xml version="1.0" encoding="utf-8"?>
<formControlPr xmlns="http://schemas.microsoft.com/office/spreadsheetml/2009/9/main" objectType="CheckBox" checked="Checked" fmlaLink="D4" lockText="1" noThreeD="1"/>
</file>

<file path=xl/ctrlProps/ctrlProp3.xml><?xml version="1.0" encoding="utf-8"?>
<formControlPr xmlns="http://schemas.microsoft.com/office/spreadsheetml/2009/9/main" objectType="CheckBox" checked="Checked" fmlaLink="D5" lockText="1" noThreeD="1"/>
</file>

<file path=xl/ctrlProps/ctrlProp4.xml><?xml version="1.0" encoding="utf-8"?>
<formControlPr xmlns="http://schemas.microsoft.com/office/spreadsheetml/2009/9/main" objectType="CheckBox" checked="Checked" fmlaLink="D6" lockText="1" noThreeD="1"/>
</file>

<file path=xl/ctrlProps/ctrlProp5.xml><?xml version="1.0" encoding="utf-8"?>
<formControlPr xmlns="http://schemas.microsoft.com/office/spreadsheetml/2009/9/main" objectType="CheckBox" checked="Checked" fmlaLink="D7" lockText="1" noThreeD="1"/>
</file>

<file path=xl/ctrlProps/ctrlProp6.xml><?xml version="1.0" encoding="utf-8"?>
<formControlPr xmlns="http://schemas.microsoft.com/office/spreadsheetml/2009/9/main" objectType="CheckBox" checked="Checked" fmlaLink="D8" lockText="1" noThreeD="1"/>
</file>

<file path=xl/ctrlProps/ctrlProp7.xml><?xml version="1.0" encoding="utf-8"?>
<formControlPr xmlns="http://schemas.microsoft.com/office/spreadsheetml/2009/9/main" objectType="CheckBox" checked="Checked" fmlaLink="D9" lockText="1" noThreeD="1"/>
</file>

<file path=xl/ctrlProps/ctrlProp8.xml><?xml version="1.0" encoding="utf-8"?>
<formControlPr xmlns="http://schemas.microsoft.com/office/spreadsheetml/2009/9/main" objectType="CheckBox" checked="Checked" fmlaLink="D10"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1</xdr:row>
          <xdr:rowOff>180975</xdr:rowOff>
        </xdr:from>
        <xdr:to>
          <xdr:col>2</xdr:col>
          <xdr:colOff>962025</xdr:colOff>
          <xdr:row>3</xdr:row>
          <xdr:rowOff>9525</xdr:rowOff>
        </xdr:to>
        <xdr:sp macro="" textlink="">
          <xdr:nvSpPr>
            <xdr:cNvPr id="24711" name="Check Box 135" hidden="1">
              <a:extLst>
                <a:ext uri="{63B3BB69-23CF-44E3-9099-C40C66FF867C}">
                  <a14:compatExt spid="_x0000_s24711"/>
                </a:ext>
                <a:ext uri="{FF2B5EF4-FFF2-40B4-BE49-F238E27FC236}">
                  <a16:creationId xmlns:a16="http://schemas.microsoft.com/office/drawing/2014/main" id="{00000000-0008-0000-0600-000087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2</xdr:row>
          <xdr:rowOff>190500</xdr:rowOff>
        </xdr:from>
        <xdr:to>
          <xdr:col>2</xdr:col>
          <xdr:colOff>962025</xdr:colOff>
          <xdr:row>4</xdr:row>
          <xdr:rowOff>19050</xdr:rowOff>
        </xdr:to>
        <xdr:sp macro="" textlink="">
          <xdr:nvSpPr>
            <xdr:cNvPr id="24712" name="Check Box 136" hidden="1">
              <a:extLst>
                <a:ext uri="{63B3BB69-23CF-44E3-9099-C40C66FF867C}">
                  <a14:compatExt spid="_x0000_s24712"/>
                </a:ext>
                <a:ext uri="{FF2B5EF4-FFF2-40B4-BE49-F238E27FC236}">
                  <a16:creationId xmlns:a16="http://schemas.microsoft.com/office/drawing/2014/main" id="{00000000-0008-0000-0600-000088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171450</xdr:rowOff>
        </xdr:from>
        <xdr:to>
          <xdr:col>2</xdr:col>
          <xdr:colOff>971550</xdr:colOff>
          <xdr:row>5</xdr:row>
          <xdr:rowOff>0</xdr:rowOff>
        </xdr:to>
        <xdr:sp macro="" textlink="">
          <xdr:nvSpPr>
            <xdr:cNvPr id="24713" name="Check Box 137" hidden="1">
              <a:extLst>
                <a:ext uri="{63B3BB69-23CF-44E3-9099-C40C66FF867C}">
                  <a14:compatExt spid="_x0000_s24713"/>
                </a:ext>
                <a:ext uri="{FF2B5EF4-FFF2-40B4-BE49-F238E27FC236}">
                  <a16:creationId xmlns:a16="http://schemas.microsoft.com/office/drawing/2014/main" id="{00000000-0008-0000-0600-000089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4</xdr:row>
          <xdr:rowOff>171450</xdr:rowOff>
        </xdr:from>
        <xdr:to>
          <xdr:col>2</xdr:col>
          <xdr:colOff>971550</xdr:colOff>
          <xdr:row>6</xdr:row>
          <xdr:rowOff>0</xdr:rowOff>
        </xdr:to>
        <xdr:sp macro="" textlink="">
          <xdr:nvSpPr>
            <xdr:cNvPr id="24714" name="Check Box 138" hidden="1">
              <a:extLst>
                <a:ext uri="{63B3BB69-23CF-44E3-9099-C40C66FF867C}">
                  <a14:compatExt spid="_x0000_s24714"/>
                </a:ext>
                <a:ext uri="{FF2B5EF4-FFF2-40B4-BE49-F238E27FC236}">
                  <a16:creationId xmlns:a16="http://schemas.microsoft.com/office/drawing/2014/main" id="{00000000-0008-0000-0600-00008A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5</xdr:row>
          <xdr:rowOff>180975</xdr:rowOff>
        </xdr:from>
        <xdr:to>
          <xdr:col>2</xdr:col>
          <xdr:colOff>990600</xdr:colOff>
          <xdr:row>7</xdr:row>
          <xdr:rowOff>9525</xdr:rowOff>
        </xdr:to>
        <xdr:sp macro="" textlink="">
          <xdr:nvSpPr>
            <xdr:cNvPr id="24715" name="Check Box 139" hidden="1">
              <a:extLst>
                <a:ext uri="{63B3BB69-23CF-44E3-9099-C40C66FF867C}">
                  <a14:compatExt spid="_x0000_s24715"/>
                </a:ext>
                <a:ext uri="{FF2B5EF4-FFF2-40B4-BE49-F238E27FC236}">
                  <a16:creationId xmlns:a16="http://schemas.microsoft.com/office/drawing/2014/main" id="{00000000-0008-0000-0600-00008B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6</xdr:row>
          <xdr:rowOff>171450</xdr:rowOff>
        </xdr:from>
        <xdr:to>
          <xdr:col>2</xdr:col>
          <xdr:colOff>942975</xdr:colOff>
          <xdr:row>8</xdr:row>
          <xdr:rowOff>0</xdr:rowOff>
        </xdr:to>
        <xdr:sp macro="" textlink="">
          <xdr:nvSpPr>
            <xdr:cNvPr id="24716" name="Check Box 140" hidden="1">
              <a:extLst>
                <a:ext uri="{63B3BB69-23CF-44E3-9099-C40C66FF867C}">
                  <a14:compatExt spid="_x0000_s24716"/>
                </a:ext>
                <a:ext uri="{FF2B5EF4-FFF2-40B4-BE49-F238E27FC236}">
                  <a16:creationId xmlns:a16="http://schemas.microsoft.com/office/drawing/2014/main" id="{00000000-0008-0000-0600-00008C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7</xdr:row>
          <xdr:rowOff>180975</xdr:rowOff>
        </xdr:from>
        <xdr:to>
          <xdr:col>2</xdr:col>
          <xdr:colOff>971550</xdr:colOff>
          <xdr:row>9</xdr:row>
          <xdr:rowOff>9525</xdr:rowOff>
        </xdr:to>
        <xdr:sp macro="" textlink="">
          <xdr:nvSpPr>
            <xdr:cNvPr id="24717" name="Check Box 141" hidden="1">
              <a:extLst>
                <a:ext uri="{63B3BB69-23CF-44E3-9099-C40C66FF867C}">
                  <a14:compatExt spid="_x0000_s24717"/>
                </a:ext>
                <a:ext uri="{FF2B5EF4-FFF2-40B4-BE49-F238E27FC236}">
                  <a16:creationId xmlns:a16="http://schemas.microsoft.com/office/drawing/2014/main" id="{00000000-0008-0000-0600-00008D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9</xdr:row>
          <xdr:rowOff>0</xdr:rowOff>
        </xdr:from>
        <xdr:to>
          <xdr:col>2</xdr:col>
          <xdr:colOff>981075</xdr:colOff>
          <xdr:row>10</xdr:row>
          <xdr:rowOff>19050</xdr:rowOff>
        </xdr:to>
        <xdr:sp macro="" textlink="">
          <xdr:nvSpPr>
            <xdr:cNvPr id="24718" name="Check Box 142" hidden="1">
              <a:extLst>
                <a:ext uri="{63B3BB69-23CF-44E3-9099-C40C66FF867C}">
                  <a14:compatExt spid="_x0000_s24718"/>
                </a:ext>
                <a:ext uri="{FF2B5EF4-FFF2-40B4-BE49-F238E27FC236}">
                  <a16:creationId xmlns:a16="http://schemas.microsoft.com/office/drawing/2014/main" id="{00000000-0008-0000-0600-00008E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171448</xdr:colOff>
      <xdr:row>1</xdr:row>
      <xdr:rowOff>66675</xdr:rowOff>
    </xdr:from>
    <xdr:to>
      <xdr:col>3</xdr:col>
      <xdr:colOff>161925</xdr:colOff>
      <xdr:row>3</xdr:row>
      <xdr:rowOff>123825</xdr:rowOff>
    </xdr:to>
    <mc:AlternateContent xmlns:mc="http://schemas.openxmlformats.org/markup-compatibility/2006" xmlns:a14="http://schemas.microsoft.com/office/drawing/2010/main">
      <mc:Choice Requires="a14">
        <xdr:graphicFrame macro="">
          <xdr:nvGraphicFramePr>
            <xdr:cNvPr id="2" name="Field">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Field"/>
            </a:graphicData>
          </a:graphic>
        </xdr:graphicFrame>
      </mc:Choice>
      <mc:Fallback xmlns="">
        <xdr:sp macro="" textlink="">
          <xdr:nvSpPr>
            <xdr:cNvPr id="0" name=""/>
            <xdr:cNvSpPr>
              <a:spLocks noTextEdit="1"/>
            </xdr:cNvSpPr>
          </xdr:nvSpPr>
          <xdr:spPr>
            <a:xfrm>
              <a:off x="171448" y="257175"/>
              <a:ext cx="2552702"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ssey, Ray" id="{F8686E5D-0041-4D9A-A908-A7FB4FE01614}" userId="S::masseyr@umsystem.edu::8e6f59b9-b617-470e-8783-73c8ad45114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sey, Raymond E." refreshedDate="44326.715869097221" createdVersion="6" refreshedVersion="6" minRefreshableVersion="3" recordCount="26" xr:uid="{957F7027-99A7-4D73-A5DC-0DCEE3CAD18C}">
  <cacheSource type="worksheet">
    <worksheetSource ref="B3:O29" sheet="Output data"/>
  </cacheSource>
  <cacheFields count="14">
    <cacheField name="Field" numFmtId="0">
      <sharedItems count="2">
        <s v="Field 1"/>
        <s v="Field 2"/>
      </sharedItems>
    </cacheField>
    <cacheField name="Category" numFmtId="0">
      <sharedItems count="4">
        <s v="Increased Revenue"/>
        <s v="Decreased Revenue"/>
        <s v="Increased Cost"/>
        <s v="Decreased Cost"/>
      </sharedItems>
    </cacheField>
    <cacheField name="Category ID" numFmtId="0">
      <sharedItems containsSemiMixedTypes="0" containsString="0" containsNumber="1" containsInteger="1" minValue="1" maxValue="4"/>
    </cacheField>
    <cacheField name="Description" numFmtId="0">
      <sharedItems count="7">
        <s v="Yield benefit"/>
        <s v="Carbon benefit"/>
        <s v="cost-share payment"/>
        <s v="Yield hit"/>
        <s v="Planting"/>
        <s v="Termination"/>
        <s v="Erosion Control"/>
      </sharedItems>
    </cacheField>
    <cacheField name="Detail" numFmtId="0">
      <sharedItems count="10">
        <s v="Corn"/>
        <s v="Bayer program"/>
        <s v="USDA"/>
        <s v="Rye"/>
        <s v="Clover"/>
        <s v="No-till drill"/>
        <s v="Chemical"/>
        <s v="Custom sprayer"/>
        <s v="Skid steer"/>
        <s v="No-till drill: custom"/>
      </sharedItems>
    </cacheField>
    <cacheField name="Detail 2" numFmtId="0">
      <sharedItems containsBlank="1" count="4">
        <m/>
        <s v="Labor"/>
        <s v="Fuel"/>
        <s v="Use costs"/>
      </sharedItems>
    </cacheField>
    <cacheField name="Type ID" numFmtId="0">
      <sharedItems count="2">
        <s v="Cash"/>
        <s v="Non-cash"/>
      </sharedItems>
    </cacheField>
    <cacheField name="Detail quantity" numFmtId="0">
      <sharedItems containsSemiMixedTypes="0" containsString="0" containsNumber="1" minValue="0" maxValue="18"/>
    </cacheField>
    <cacheField name="Quantity unit" numFmtId="0">
      <sharedItems/>
    </cacheField>
    <cacheField name="Detail cost" numFmtId="8">
      <sharedItems containsSemiMixedTypes="0" containsString="0" containsNumber="1" minValue="0.75" maxValue="35"/>
    </cacheField>
    <cacheField name="Cost Unit" numFmtId="0">
      <sharedItems containsBlank="1"/>
    </cacheField>
    <cacheField name="Total Value" numFmtId="8">
      <sharedItems containsSemiMixedTypes="0" containsString="0" containsNumber="1" minValue="-26" maxValue="35"/>
    </cacheField>
    <cacheField name=" " numFmtId="0">
      <sharedItems count="1">
        <s v="Net Benefit"/>
      </sharedItems>
    </cacheField>
    <cacheField name="Notes" numFmtId="0">
      <sharedItems containsBlank="1"/>
    </cacheField>
  </cacheFields>
  <extLst>
    <ext xmlns:x14="http://schemas.microsoft.com/office/spreadsheetml/2009/9/main" uri="{725AE2AE-9491-48be-B2B4-4EB974FC3084}">
      <x14:pivotCacheDefinition pivotCacheId="953081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1"/>
    <x v="0"/>
    <x v="0"/>
    <x v="0"/>
    <x v="0"/>
    <n v="2"/>
    <s v="bu/ac"/>
    <n v="4"/>
    <s v="$/bu"/>
    <n v="8"/>
    <x v="0"/>
    <m/>
  </r>
  <r>
    <x v="0"/>
    <x v="0"/>
    <n v="1"/>
    <x v="1"/>
    <x v="1"/>
    <x v="0"/>
    <x v="0"/>
    <n v="1"/>
    <s v="units/ac"/>
    <n v="6"/>
    <s v="$/unit"/>
    <n v="6"/>
    <x v="0"/>
    <m/>
  </r>
  <r>
    <x v="0"/>
    <x v="0"/>
    <n v="1"/>
    <x v="2"/>
    <x v="2"/>
    <x v="0"/>
    <x v="0"/>
    <n v="1"/>
    <s v="units/ac"/>
    <n v="35"/>
    <s v="S/unit"/>
    <n v="35"/>
    <x v="0"/>
    <m/>
  </r>
  <r>
    <x v="0"/>
    <x v="1"/>
    <n v="2"/>
    <x v="3"/>
    <x v="0"/>
    <x v="0"/>
    <x v="0"/>
    <n v="0"/>
    <s v="bu/ac"/>
    <n v="4"/>
    <s v="S/bu"/>
    <n v="0"/>
    <x v="0"/>
    <m/>
  </r>
  <r>
    <x v="0"/>
    <x v="2"/>
    <n v="3"/>
    <x v="4"/>
    <x v="3"/>
    <x v="0"/>
    <x v="0"/>
    <n v="12"/>
    <s v="lb/ac"/>
    <n v="0.75"/>
    <s v="$/lb"/>
    <n v="-9"/>
    <x v="0"/>
    <m/>
  </r>
  <r>
    <x v="0"/>
    <x v="2"/>
    <n v="3"/>
    <x v="4"/>
    <x v="4"/>
    <x v="0"/>
    <x v="0"/>
    <n v="2"/>
    <s v="lb/ac"/>
    <n v="1"/>
    <s v="$/lb"/>
    <n v="-2"/>
    <x v="0"/>
    <m/>
  </r>
  <r>
    <x v="0"/>
    <x v="2"/>
    <n v="3"/>
    <x v="4"/>
    <x v="5"/>
    <x v="1"/>
    <x v="0"/>
    <n v="1"/>
    <s v="passes/acre"/>
    <n v="2.4700000000000002"/>
    <m/>
    <n v="-2.4700000000000002"/>
    <x v="0"/>
    <s v="Labor is considered a cash cost but some farmers may consider it a sunk cost not really to be considered."/>
  </r>
  <r>
    <x v="0"/>
    <x v="2"/>
    <n v="3"/>
    <x v="4"/>
    <x v="5"/>
    <x v="2"/>
    <x v="0"/>
    <n v="1"/>
    <s v="passes/acre"/>
    <n v="4.88"/>
    <m/>
    <n v="-4.88"/>
    <x v="0"/>
    <s v="Fuel is a cash cost requiring financial ability to pay"/>
  </r>
  <r>
    <x v="0"/>
    <x v="2"/>
    <n v="3"/>
    <x v="4"/>
    <x v="5"/>
    <x v="3"/>
    <x v="1"/>
    <n v="1"/>
    <s v="passes/acre"/>
    <n v="14.71"/>
    <m/>
    <n v="-14.71"/>
    <x v="0"/>
    <s v="Use cost includes depreciation and repair that are are likely to increase with additional use but also considered fixed and minor use will not affect the cost"/>
  </r>
  <r>
    <x v="0"/>
    <x v="2"/>
    <n v="3"/>
    <x v="5"/>
    <x v="6"/>
    <x v="0"/>
    <x v="0"/>
    <n v="1"/>
    <s v="units/ac"/>
    <n v="5"/>
    <s v="$/unit"/>
    <n v="-5"/>
    <x v="0"/>
    <m/>
  </r>
  <r>
    <x v="0"/>
    <x v="2"/>
    <n v="3"/>
    <x v="5"/>
    <x v="7"/>
    <x v="0"/>
    <x v="0"/>
    <n v="0"/>
    <s v="units/ac"/>
    <n v="15"/>
    <s v="$/unit"/>
    <n v="0"/>
    <x v="0"/>
    <m/>
  </r>
  <r>
    <x v="0"/>
    <x v="3"/>
    <n v="4"/>
    <x v="6"/>
    <x v="8"/>
    <x v="1"/>
    <x v="0"/>
    <n v="0.1"/>
    <s v="hr/ac"/>
    <n v="12"/>
    <s v="$/hr"/>
    <n v="1.2000000000000002"/>
    <x v="0"/>
    <m/>
  </r>
  <r>
    <x v="0"/>
    <x v="3"/>
    <n v="4"/>
    <x v="6"/>
    <x v="8"/>
    <x v="2"/>
    <x v="0"/>
    <n v="0.1"/>
    <s v="hr/ac"/>
    <n v="13"/>
    <s v="$/hr"/>
    <n v="1.3"/>
    <x v="0"/>
    <m/>
  </r>
  <r>
    <x v="0"/>
    <x v="3"/>
    <n v="4"/>
    <x v="6"/>
    <x v="8"/>
    <x v="3"/>
    <x v="1"/>
    <n v="0.1"/>
    <s v="hr/ac"/>
    <n v="25"/>
    <s v="$/hr"/>
    <n v="2.5"/>
    <x v="0"/>
    <m/>
  </r>
  <r>
    <x v="1"/>
    <x v="0"/>
    <n v="1"/>
    <x v="0"/>
    <x v="0"/>
    <x v="0"/>
    <x v="0"/>
    <n v="3"/>
    <s v="bu/ac"/>
    <n v="4"/>
    <s v="$/bu"/>
    <n v="12"/>
    <x v="0"/>
    <m/>
  </r>
  <r>
    <x v="1"/>
    <x v="0"/>
    <n v="1"/>
    <x v="1"/>
    <x v="1"/>
    <x v="0"/>
    <x v="0"/>
    <n v="0"/>
    <s v="units/ac"/>
    <n v="6"/>
    <s v="$/unit"/>
    <n v="0"/>
    <x v="0"/>
    <m/>
  </r>
  <r>
    <x v="1"/>
    <x v="0"/>
    <n v="1"/>
    <x v="2"/>
    <x v="2"/>
    <x v="0"/>
    <x v="0"/>
    <n v="1"/>
    <s v="units/ac"/>
    <n v="26"/>
    <s v="S/unit"/>
    <n v="26"/>
    <x v="0"/>
    <m/>
  </r>
  <r>
    <x v="1"/>
    <x v="1"/>
    <n v="2"/>
    <x v="3"/>
    <x v="0"/>
    <x v="0"/>
    <x v="0"/>
    <n v="0"/>
    <s v="bu/ac"/>
    <n v="4"/>
    <s v="S/bu"/>
    <n v="0"/>
    <x v="0"/>
    <m/>
  </r>
  <r>
    <x v="1"/>
    <x v="2"/>
    <n v="3"/>
    <x v="4"/>
    <x v="3"/>
    <x v="0"/>
    <x v="0"/>
    <n v="18"/>
    <s v="lb/ac"/>
    <n v="0.75"/>
    <s v="$/lb"/>
    <n v="-13.5"/>
    <x v="0"/>
    <m/>
  </r>
  <r>
    <x v="1"/>
    <x v="2"/>
    <n v="3"/>
    <x v="4"/>
    <x v="4"/>
    <x v="0"/>
    <x v="0"/>
    <n v="0"/>
    <s v="lb/ac"/>
    <n v="1"/>
    <s v="$/lb"/>
    <n v="0"/>
    <x v="0"/>
    <m/>
  </r>
  <r>
    <x v="1"/>
    <x v="2"/>
    <n v="3"/>
    <x v="4"/>
    <x v="9"/>
    <x v="0"/>
    <x v="0"/>
    <n v="1"/>
    <s v="passes/acre"/>
    <n v="26"/>
    <s v="$/ac"/>
    <n v="-26"/>
    <x v="0"/>
    <m/>
  </r>
  <r>
    <x v="1"/>
    <x v="2"/>
    <n v="3"/>
    <x v="5"/>
    <x v="6"/>
    <x v="0"/>
    <x v="0"/>
    <n v="0.5"/>
    <s v="units/ac"/>
    <n v="5"/>
    <s v="$/unit"/>
    <n v="-2.5"/>
    <x v="0"/>
    <m/>
  </r>
  <r>
    <x v="1"/>
    <x v="2"/>
    <n v="3"/>
    <x v="5"/>
    <x v="7"/>
    <x v="0"/>
    <x v="0"/>
    <n v="0"/>
    <s v="units/ac"/>
    <n v="15"/>
    <s v="$/unit"/>
    <n v="0"/>
    <x v="0"/>
    <m/>
  </r>
  <r>
    <x v="1"/>
    <x v="3"/>
    <n v="4"/>
    <x v="6"/>
    <x v="8"/>
    <x v="1"/>
    <x v="0"/>
    <n v="0.1"/>
    <s v="hr/ac"/>
    <n v="12"/>
    <s v="$/hr"/>
    <n v="1.2000000000000002"/>
    <x v="0"/>
    <m/>
  </r>
  <r>
    <x v="1"/>
    <x v="3"/>
    <n v="4"/>
    <x v="6"/>
    <x v="8"/>
    <x v="2"/>
    <x v="0"/>
    <n v="0.1"/>
    <s v="hr/ac"/>
    <n v="13"/>
    <s v="$/hr"/>
    <n v="1.3"/>
    <x v="0"/>
    <m/>
  </r>
  <r>
    <x v="1"/>
    <x v="3"/>
    <n v="4"/>
    <x v="6"/>
    <x v="8"/>
    <x v="3"/>
    <x v="1"/>
    <n v="0.1"/>
    <s v="hr/ac"/>
    <n v="25"/>
    <s v="$/hr"/>
    <n v="2.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10179F-8E21-4062-8B0E-0DAE4FA956B4}" name="PivotTable3" cacheId="0" applyNumberFormats="0" applyBorderFormats="0" applyFontFormats="0" applyPatternFormats="0" applyAlignmentFormats="0" applyWidthHeightFormats="1" dataCaption="Values" updatedVersion="7" minRefreshableVersion="3" useAutoFormatting="1" rowGrandTotals="0" itemPrintTitles="1" createdVersion="6" indent="0" showHeaders="0" outline="1" outlineData="1" multipleFieldFilters="0">
  <location ref="A5:D12" firstHeaderRow="1" firstDataRow="2" firstDataCol="1"/>
  <pivotFields count="14">
    <pivotField showAll="0">
      <items count="3">
        <item h="1" x="0"/>
        <item x="1"/>
        <item t="default"/>
      </items>
    </pivotField>
    <pivotField axis="axisRow" showAll="0">
      <items count="5">
        <item x="3"/>
        <item sd="0" x="1"/>
        <item sd="0" x="2"/>
        <item sd="0" x="0"/>
        <item t="default"/>
      </items>
    </pivotField>
    <pivotField showAll="0"/>
    <pivotField axis="axisRow" showAll="0">
      <items count="8">
        <item x="1"/>
        <item x="2"/>
        <item x="4"/>
        <item x="5"/>
        <item x="0"/>
        <item x="3"/>
        <item sd="0" x="6"/>
        <item t="default"/>
      </items>
    </pivotField>
    <pivotField axis="axisRow" showAll="0">
      <items count="11">
        <item sd="0" x="6"/>
        <item sd="0" x="4"/>
        <item sd="0" x="3"/>
        <item sd="0" x="0"/>
        <item sd="0" x="1"/>
        <item sd="0" x="2"/>
        <item x="5"/>
        <item sd="0" x="7"/>
        <item x="9"/>
        <item sd="0" x="8"/>
        <item t="default"/>
      </items>
    </pivotField>
    <pivotField axis="axisRow" showAll="0">
      <items count="5">
        <item x="2"/>
        <item x="1"/>
        <item x="3"/>
        <item x="0"/>
        <item t="default"/>
      </items>
    </pivotField>
    <pivotField axis="axisCol" showAll="0">
      <items count="3">
        <item x="0"/>
        <item x="1"/>
        <item t="default"/>
      </items>
    </pivotField>
    <pivotField showAll="0"/>
    <pivotField showAll="0"/>
    <pivotField showAll="0"/>
    <pivotField showAll="0"/>
    <pivotField dataField="1" showAll="0"/>
    <pivotField axis="axisRow" showAll="0">
      <items count="2">
        <item x="0"/>
        <item t="default"/>
      </items>
    </pivotField>
    <pivotField showAll="0"/>
  </pivotFields>
  <rowFields count="5">
    <field x="12"/>
    <field x="1"/>
    <field x="3"/>
    <field x="4"/>
    <field x="5"/>
  </rowFields>
  <rowItems count="6">
    <i>
      <x/>
    </i>
    <i r="1">
      <x/>
    </i>
    <i r="2">
      <x v="6"/>
    </i>
    <i r="1">
      <x v="1"/>
    </i>
    <i r="1">
      <x v="2"/>
    </i>
    <i r="1">
      <x v="3"/>
    </i>
  </rowItems>
  <colFields count="1">
    <field x="6"/>
  </colFields>
  <colItems count="3">
    <i>
      <x/>
    </i>
    <i>
      <x v="1"/>
    </i>
    <i t="grand">
      <x/>
    </i>
  </colItems>
  <dataFields count="1">
    <dataField name="Sum of Total Value" fld="11"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eld" xr10:uid="{459C28D6-585F-4471-8683-A5B40016B95A}" sourceName="Field">
  <pivotTables>
    <pivotTable tabId="16" name="PivotTable3"/>
  </pivotTables>
  <data>
    <tabular pivotCacheId="953081184">
      <items count="2">
        <i x="0"/>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eld" xr10:uid="{6220840F-27C5-43E3-8489-5F210C058DF5}" cache="Slicer_Field" caption="Field" columnCount="2"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16E2E41-ABA7-4A10-B28F-8578127EF9D0}" name="StateRegions" displayName="StateRegions" ref="J4:L55" totalsRowShown="0">
  <autoFilter ref="J4:L55" xr:uid="{54A53089-8EB6-4BF8-8892-B9A2BA10AB23}"/>
  <tableColumns count="3">
    <tableColumn id="1" xr3:uid="{9BF2F7CD-2637-4EF9-8987-71FB54D80331}" name="State List"/>
    <tableColumn id="2" xr3:uid="{43D3866A-E545-4C51-90BC-7EE9A4FB7D6C}" name="Cover Crop Region"/>
    <tableColumn id="3" xr3:uid="{281DE34D-2261-4799-BDFA-463B9FC1C4C5}" name="USDA Crop Production 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E15B685-5EA8-4244-9AD1-33DC0F1402B6}" name="Table18" displayName="Table18" ref="A4:C3150" totalsRowShown="0">
  <autoFilter ref="A4:C3150" xr:uid="{9E15B685-5EA8-4244-9AD1-33DC0F1402B6}">
    <filterColumn colId="0" hiddenButton="1"/>
    <filterColumn colId="1" hiddenButton="1"/>
    <filterColumn colId="2" hiddenButton="1"/>
  </autoFilter>
  <tableColumns count="3">
    <tableColumn id="1" xr3:uid="{4EF72E3E-A692-44A9-8E9E-65038FE83DDF}" name="County"/>
    <tableColumn id="2" xr3:uid="{2A4C0F1C-BA63-4EB1-BDC6-6E8865E1A954}" name="State"/>
    <tableColumn id="3" xr3:uid="{1BD81E33-9110-4069-B2F5-66839386DF15}" name="Co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E2BCB4-1B5D-437D-9AE1-BAF7D26FE6D5}" name="SeedTable" displayName="SeedTable" ref="B4:G12" totalsRowShown="0" headerRowDxfId="91">
  <autoFilter ref="B4:G12" xr:uid="{D1F6B6C1-F9D1-4EB7-834A-4387397A3E5D}">
    <filterColumn colId="0" hiddenButton="1"/>
    <filterColumn colId="1" hiddenButton="1"/>
    <filterColumn colId="2" hiddenButton="1"/>
    <filterColumn colId="3" hiddenButton="1"/>
    <filterColumn colId="4" hiddenButton="1"/>
    <filterColumn colId="5" hiddenButton="1"/>
  </autoFilter>
  <tableColumns count="6">
    <tableColumn id="1" xr3:uid="{054D1A46-4057-41CF-8936-4892D25A9CDA}" name="Seed List"/>
    <tableColumn id="2" xr3:uid="{1279AA07-852F-4E2A-85B3-3C34818809C1}" name="Typical Seeding Rate (lb/ac)"/>
    <tableColumn id="3" xr3:uid="{D41034AE-AE6B-4E59-B980-33556236FB00}" name="Estimated Price ($/lb)"/>
    <tableColumn id="4" xr3:uid="{9293EA91-2951-4F54-A3E7-A86179F83E90}" name="Legume?"/>
    <tableColumn id="5" xr3:uid="{3FF445B4-B9EA-46BC-B041-D6E015E08AA4}" name="N credit"/>
    <tableColumn id="6" xr3:uid="{52F94C0A-537D-43EC-AE09-933FDF8F63C2}" name="Erosion bene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B1AEB69-4693-43E2-8A9E-60649146193B}" name="Table73043" displayName="Table73043" ref="N27:O33" totalsRowShown="0">
  <autoFilter ref="N27:O33" xr:uid="{68B76618-0251-4D8C-8ED2-78D06B8196C4}">
    <filterColumn colId="0" hiddenButton="1"/>
    <filterColumn colId="1" hiddenButton="1"/>
  </autoFilter>
  <tableColumns count="2">
    <tableColumn id="1" xr3:uid="{305C3674-CE6D-45C0-9B93-D21284C8E587}" name="Fertilizer Products"/>
    <tableColumn id="2" xr3:uid="{108BA124-A9BC-4611-97E1-D32F404D1C14}" name="$/unit nutri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BC0E2-65BC-F046-A52B-F3F4ADA7362B}" name="Chemical" displayName="Chemical" ref="R37:V42" totalsRowShown="0">
  <autoFilter ref="R37:V42" xr:uid="{8EC06AAA-7C08-5D4D-B2A4-0A8508A5743E}">
    <filterColumn colId="0" hiddenButton="1"/>
    <filterColumn colId="1" hiddenButton="1"/>
    <filterColumn colId="2" hiddenButton="1"/>
    <filterColumn colId="3" hiddenButton="1"/>
    <filterColumn colId="4" hiddenButton="1"/>
  </autoFilter>
  <tableColumns count="5">
    <tableColumn id="1" xr3:uid="{BFAAB000-D070-8D42-91E8-5C4664D26399}" name="Burndown Herbicides"/>
    <tableColumn id="2" xr3:uid="{E205717E-CD48-EC4A-BA54-BDB94451C8EE}" name="Rate"/>
    <tableColumn id="3" xr3:uid="{D3C590A8-2B01-7E43-9023-7D2907D451AD}" name="Unit (rate)"/>
    <tableColumn id="4" xr3:uid="{F58194CF-CF9E-0240-A16D-655426C2E88D}" name="Cost/unit" dataDxfId="90"/>
    <tableColumn id="5" xr3:uid="{4EEC5E6D-B129-4A08-A31D-FC6F83BB9FB2}" name="Unit (cos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242469-0792-824D-9A72-AD5B6F06018C}" name="Exptyp" displayName="Exptyp" ref="X48:Z50" totalsRowShown="0">
  <autoFilter ref="X48:Z50" xr:uid="{C8C03CC1-536D-504C-8FAA-5DE3512DA517}"/>
  <tableColumns count="3">
    <tableColumn id="1" xr3:uid="{5ECBE89C-5B91-4F48-AB4C-1E243B3C6041}" name="Type"/>
    <tableColumn id="2" xr3:uid="{FC1FD417-3396-E540-959F-93E87683540E}" name="Cash"/>
    <tableColumn id="3" xr3:uid="{CAB6B3C7-C788-2B43-BFB1-EB5AECD992DE}" name="non-cas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13D33E9-C914-453A-9BBD-8B9D13A40DAD}" name="MachEconFactors" displayName="MachEconFactors" ref="AC55:AD70" totalsRowShown="0">
  <autoFilter ref="AC55:AD70" xr:uid="{E9DF1EFE-218D-49F1-833C-579183AFB525}">
    <filterColumn colId="0" hiddenButton="1"/>
    <filterColumn colId="1" hiddenButton="1"/>
  </autoFilter>
  <tableColumns count="2">
    <tableColumn id="1" xr3:uid="{0969FB5B-35FD-4686-AB8D-9EFF0A27D1B9}" name="description" dataDxfId="89"/>
    <tableColumn id="3" xr3:uid="{32EFC19D-735B-44BD-B157-A2EEE5BD7669}" name="value" dataDxfId="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D828E7-05C4-4AF4-8026-52616D209B4C}" name="Table4" displayName="Table4" ref="J15:K24" totalsRowShown="0">
  <autoFilter ref="J15:K24" xr:uid="{811C0F24-00F5-426D-97A6-11FFAA370ABD}">
    <filterColumn colId="0" hiddenButton="1"/>
    <filterColumn colId="1" hiddenButton="1"/>
  </autoFilter>
  <tableColumns count="2">
    <tableColumn id="1" xr3:uid="{FE97A61B-06ED-4F9B-888E-CAC91383DFD6}" name="Custom Cost Defaults"/>
    <tableColumn id="2" xr3:uid="{376B05DB-04C8-412B-8C68-1157CEA767DC}" name="$/acre" dataDxfId="8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0CD920F-1C5A-4FBD-9351-915CAD237F58}" name="Power" displayName="Power" ref="BE125:CH145" totalsRowShown="0" headerRowDxfId="75" dataDxfId="74">
  <autoFilter ref="BE125:CH145" xr:uid="{185F7DE2-D323-465F-9D88-1C6238BD28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2" xr3:uid="{5F55BDEB-4BF5-46F7-B8DC-FABDF2B7F851}" name="Description" dataDxfId="73"/>
    <tableColumn id="1" xr3:uid="{24079650-AEFE-40D9-8734-09A6B9C7A721}" name="HP" dataDxfId="72"/>
    <tableColumn id="3" xr3:uid="{80062DC5-758B-4730-A576-448EDB97DC85}" name="Power Description and HP" dataDxfId="71">
      <calculatedColumnFormula>CONCATENATE(BF126&amp;" "&amp;BE126)</calculatedColumnFormula>
    </tableColumn>
    <tableColumn id="4" xr3:uid="{8B27002C-CA20-47B6-BC58-2640BD34655B}" name="Purchase Price (2020)" dataDxfId="70" dataCellStyle="Comma"/>
    <tableColumn id="5" xr3:uid="{442A37C0-5D39-49F0-95C1-D2BD9615FBDB}" name="List Discount" dataDxfId="69" dataCellStyle="Percent"/>
    <tableColumn id="18" xr3:uid="{B5912C30-E1BF-4F8C-80F8-E58A368510DD}" name="List Price" dataDxfId="68" dataCellStyle="Percent">
      <calculatedColumnFormula>Power[[#This Row],[Purchase Price (2020)]]/(1-Power[[#This Row],[List Discount]])</calculatedColumnFormula>
    </tableColumn>
    <tableColumn id="7" xr3:uid="{86B3896D-274D-4F06-8518-F4132E4BC06B}" name="Expected Life (years)" dataDxfId="67"/>
    <tableColumn id="8" xr3:uid="{F70DD39F-7FF6-43EC-A4AC-1A3D848F045F}" name="Expected Use (Hr/yr)" dataDxfId="66"/>
    <tableColumn id="9" xr3:uid="{18188B64-6A86-40CB-8714-FC34B6DC5F3D}" name="Fuel Use (gal/PTO hp/hr)" dataDxfId="65"/>
    <tableColumn id="11" xr3:uid="{18E5A0F6-56BA-45E0-9FB6-080C2CE793C6}" name="Shed (ft^2)" dataDxfId="64"/>
    <tableColumn id="10" xr3:uid="{FD158AEF-1EFB-483E-B263-2988D0C2F364}" name="Default ASABE Category" dataDxfId="63"/>
    <tableColumn id="6" xr3:uid="{62EC8B80-BB01-4AED-AE04-54F18DFEFAE9}" name="RF1" dataDxfId="62">
      <calculatedColumnFormula>_xlfn.XLOOKUP(Power[[#This Row],[Default ASABE Category]],ASABECoefficients[ASABE Category],ASABECoefficients[RF1])</calculatedColumnFormula>
    </tableColumn>
    <tableColumn id="12" xr3:uid="{9879EA92-42CB-4B28-AF34-F21C4A8A7BF4}" name="RF2" dataDxfId="61">
      <calculatedColumnFormula>_xlfn.XLOOKUP(Power[[#This Row],[Default ASABE Category]],ASABECoefficients[ASABE Category],ASABECoefficients[RF2])</calculatedColumnFormula>
    </tableColumn>
    <tableColumn id="13" xr3:uid="{F4C7A6D6-A89D-4E28-8881-37EA7EA6781B}" name="RV1" dataDxfId="60">
      <calculatedColumnFormula>_xlfn.XLOOKUP(Power[[#This Row],[Default ASABE Category]],ASABECoefficients[ASABE Category],ASABECoefficients[RV1])</calculatedColumnFormula>
    </tableColumn>
    <tableColumn id="14" xr3:uid="{57CD0523-CDCA-4E68-AC9F-7C0B266B793E}" name="RV2" dataDxfId="59">
      <calculatedColumnFormula>_xlfn.XLOOKUP(Power[[#This Row],[Default ASABE Category]],ASABECoefficients[ASABE Category],ASABECoefficients[RV2])</calculatedColumnFormula>
    </tableColumn>
    <tableColumn id="15" xr3:uid="{E73F6018-2671-4608-AC01-3F56FC801232}" name="RV3" dataDxfId="58">
      <calculatedColumnFormula>_xlfn.XLOOKUP(Power[[#This Row],[Default ASABE Category]],ASABECoefficients[ASABE Category],ASABECoefficients[RV3])</calculatedColumnFormula>
    </tableColumn>
    <tableColumn id="16" xr3:uid="{B9E99DEB-F1E3-4320-948A-C059566350D4}" name="RV4" dataDxfId="57">
      <calculatedColumnFormula>_xlfn.XLOOKUP(Power[[#This Row],[Default ASABE Category]],ASABECoefficients[ASABE Category],ASABECoefficients[RV4])</calculatedColumnFormula>
    </tableColumn>
    <tableColumn id="17" xr3:uid="{78A649FE-A6F5-4DEE-8179-EBA4EC1A60AD}" name="RV5" dataDxfId="56">
      <calculatedColumnFormula>_xlfn.XLOOKUP(Power[[#This Row],[Default ASABE Category]],ASABECoefficients[ASABE Category],ASABECoefficients[RV5])</calculatedColumnFormula>
    </tableColumn>
    <tableColumn id="19" xr3:uid="{F53EC1C5-CE81-4ACF-8190-B2FC4097AC48}" name="Trade-in (%)" dataDxfId="55">
      <calculatedColumnFormula>(Power[[#This Row],[RV1]]-Power[[#This Row],[RV2]]*Power[[#This Row],[Expected Life (years)]]^0.5-Power[[#This Row],[RV3]]*Power[[#This Row],[Expected Use (Hr/yr)]]^0.5+Power[[#This Row],[RV4]]*'Data tables'!$AD$67)^2+0.25*Power[[#This Row],[RV5]]</calculatedColumnFormula>
    </tableColumn>
    <tableColumn id="20" xr3:uid="{BD852084-87D8-4F19-A013-5963D6205686}" name="Trade-in ($)" dataDxfId="54">
      <calculatedColumnFormula>Power[[#This Row],[Trade-in (%)]]*Power[[#This Row],[List Price]]</calculatedColumnFormula>
    </tableColumn>
    <tableColumn id="21" xr3:uid="{D17A2D61-2B38-4F59-B1C5-E113CECBB978}" name="Annual Depreciation" dataDxfId="53">
      <calculatedColumnFormula>(Power[[#This Row],[Purchase Price (2020)]]-Power[[#This Row],[Trade-in ($)]])/Power[[#This Row],[Expected Life (years)]]</calculatedColumnFormula>
    </tableColumn>
    <tableColumn id="22" xr3:uid="{2FDC67F4-8939-40CA-8B1F-049B74C4B427}" name="Accumulated Repairs ($)" dataDxfId="52">
      <calculatedColumnFormula>Power[[#This Row],[List Price]]*(Power[[#This Row],[RF1]]*(Power[[#This Row],[Expected Life (years)]]*Power[[#This Row],[Expected Use (Hr/yr)]]/1000)^Power[[#This Row],[RF2]])</calculatedColumnFormula>
    </tableColumn>
    <tableColumn id="23" xr3:uid="{769505ED-2EF7-4A26-9947-536F492FF36A}" name="Annual Repairs ($)" dataDxfId="51">
      <calculatedColumnFormula>Power[[#This Row],[Accumulated Repairs ($)]]/Power[[#This Row],[Expected Life (years)]]</calculatedColumnFormula>
    </tableColumn>
    <tableColumn id="24" xr3:uid="{5AFC3081-0C35-4FA9-B2BB-B055D9510B3B}" name="Depreciation ($/hour)" dataDxfId="50">
      <calculatedColumnFormula>Power[[#This Row],[Annual Depreciation]]/Power[[#This Row],[Expected Use (Hr/yr)]]</calculatedColumnFormula>
    </tableColumn>
    <tableColumn id="25" xr3:uid="{E3C6535D-6A61-4EF5-9C20-DEA891790146}" name="Interest ($/hour)" dataDxfId="49">
      <calculatedColumnFormula>(Power[[#This Row],[Purchase Price (2020)]]+Power[[#This Row],[Trade-in ($)]]+Power[[#This Row],[Annual Depreciation]])/2*'Data tables'!$AD$58/Power[[#This Row],[Expected Use (Hr/yr)]]</calculatedColumnFormula>
    </tableColumn>
    <tableColumn id="26" xr3:uid="{18602564-6A27-4642-A7A4-17E870543C9E}" name="Repair ($/hour)" dataDxfId="48">
      <calculatedColumnFormula>Power[[#This Row],[Annual Repairs ($)]]/Power[[#This Row],[Expected Use (Hr/yr)]]</calculatedColumnFormula>
    </tableColumn>
    <tableColumn id="27" xr3:uid="{C358F1C0-95C9-4B1D-92F1-363223998109}" name="Taxes ($/hour)" dataDxfId="47">
      <calculatedColumnFormula>(Power[[#This Row],[Purchase Price (2020)]]+Power[[#This Row],[Trade-in ($)]]+Power[[#This Row],[Annual Depreciation]])/2*'Data tables'!$AD$70/Power[[#This Row],[Expected Use (Hr/yr)]]</calculatedColumnFormula>
    </tableColumn>
    <tableColumn id="28" xr3:uid="{C156A181-80E1-4DED-8A20-79D4BDA30A50}" name="Insurance ($/hour)" dataDxfId="46">
      <calculatedColumnFormula>(Power[[#This Row],[Purchase Price (2020)]]+Power[[#This Row],[Trade-in ($)]]+Power[[#This Row],[Annual Depreciation]])/2*'Data tables'!$AD$59/Power[[#This Row],[Expected Use (Hr/yr)]]</calculatedColumnFormula>
    </tableColumn>
    <tableColumn id="29" xr3:uid="{ED9A9D4A-04FA-48A1-9A79-873374EEBBDA}" name="Fuel (gal/hour)" dataDxfId="45">
      <calculatedColumnFormula>Power[[#This Row],[HP]]*Power[[#This Row],[Fuel Use (gal/PTO hp/hr)]]</calculatedColumnFormula>
    </tableColumn>
    <tableColumn id="30" xr3:uid="{1B34F830-7C22-415C-AA55-BA2129B11BD6}" name="Shed ($/hour)" dataDxfId="44">
      <calculatedColumnFormula>'Data tables'!$AD$62*Power[[#This Row],[Shed (ft^2)]]/Power[[#This Row],[Expected Use (Hr/yr)]]</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92C777D-FD1A-4B1B-A388-9EDAD29C0758}" name="Implements" displayName="Implements" ref="M58:BA118" totalsRowShown="0" headerRowDxfId="1" dataDxfId="0">
  <autoFilter ref="M58:BA118" xr:uid="{5DA06E71-9F53-4463-B489-77EAA0DC927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28" xr3:uid="{BFD07400-005E-45DB-880B-AC42D675DC8F}" name="ImpType" dataDxfId="42"/>
    <tableColumn id="1" xr3:uid="{3F5F6DF9-3CDF-46B9-83DE-D10A94A5A012}" name="ImplName" dataDxfId="41"/>
    <tableColumn id="2" xr3:uid="{76ADB809-61EC-4245-B340-2EAE1D74FED5}" name="Size1" dataDxfId="40"/>
    <tableColumn id="3" xr3:uid="{AB85ED26-EF10-4A04-9558-AF8DE805C12E}" name="Unit1" dataDxfId="39"/>
    <tableColumn id="4" xr3:uid="{2DDA5B0A-964C-456F-938A-788401DB2993}" name="Size2" dataDxfId="38"/>
    <tableColumn id="5" xr3:uid="{297A89C8-95E0-4821-B48D-28B8A347828B}" name="Unit2" dataDxfId="37"/>
    <tableColumn id="30" xr3:uid="{12751729-2261-4813-AFD6-A153C6BE622F}" name="`" dataDxfId="36">
      <calculatedColumnFormula>CONCATENATE(N59&amp;"; "&amp;IF(Implements[[#This Row],[Size2]]&lt;&gt;"",Implements[[#This Row],[Size2]]&amp;" "&amp;Implements[[#This Row],[Unit2]]&amp;"; ","")&amp;IF(Implements[[#This Row],[Size1]]&gt;0,ROUND(Implements[[#This Row],[Size1]],1)&amp;" "&amp;Implements[[#This Row],[Unit1]]," "))</calculatedColumnFormula>
    </tableColumn>
    <tableColumn id="7" xr3:uid="{2D89B59A-6503-41FF-A812-2F3F85DD8263}" name="Default Power Unit" dataDxfId="35"/>
    <tableColumn id="8" xr3:uid="{4F681C91-059D-4A2A-BECA-9100377B7AE7}" name="Purchase Price (2020)" dataDxfId="34" dataCellStyle="Comma"/>
    <tableColumn id="9" xr3:uid="{016B2295-B3BE-45B4-9540-FD150E5E1FF6}" name="List Discount" dataDxfId="33" dataCellStyle="Percent"/>
    <tableColumn id="32" xr3:uid="{7DC8D93E-F10E-48D1-955D-5823E3E7151D}" name="List Price" dataDxfId="32" dataCellStyle="Percent">
      <calculatedColumnFormula>Implements[[#This Row],[Purchase Price (2020)]]/(1-Implements[[#This Row],[List Discount]])</calculatedColumnFormula>
    </tableColumn>
    <tableColumn id="11" xr3:uid="{95A5B33D-F956-4A6B-A725-D34579D5B846}" name="Expected Life (years)" dataDxfId="31"/>
    <tableColumn id="12" xr3:uid="{6D6BFAFA-E4CC-4305-A5EC-716734AC96A1}" name="Expected Use (hr/yr)" dataDxfId="30"/>
    <tableColumn id="14" xr3:uid="{8760F9C1-F816-4860-A411-C70571F7F04A}" name="Defaulty ASABE Category" dataDxfId="29"/>
    <tableColumn id="15" xr3:uid="{03E196FC-DD0E-4467-A1A6-5407D16B22F6}" name="Field Speed (m/h)" dataDxfId="28"/>
    <tableColumn id="16" xr3:uid="{87CD3D02-8DBD-4741-B08B-1A871371EFE8}" name="Field Efficiency" dataDxfId="27" dataCellStyle="Percent"/>
    <tableColumn id="17" xr3:uid="{4239BC7D-EEF2-4ADF-80B3-E1294E64F37D}" name="Tractor (hr/impl)" dataDxfId="26" dataCellStyle="Percent"/>
    <tableColumn id="18" xr3:uid="{A9E13D7B-839F-40C8-AB8C-F6452EBF7BF4}" name="Labor (hr/trac)" dataDxfId="25" dataCellStyle="Percent"/>
    <tableColumn id="19" xr3:uid="{1706991A-2F41-4093-B188-FF1811CB51A2}" name="LaborType" dataDxfId="24"/>
    <tableColumn id="21" xr3:uid="{D577E671-CC2B-490F-9599-348DEA139BE4}" name="Shed (ft^2)" dataDxfId="23"/>
    <tableColumn id="6" xr3:uid="{8D28992B-0DB7-4308-B680-9465600DD3E8}" name="RF1" dataDxfId="22" dataCellStyle="Percent">
      <calculatedColumnFormula>_xlfn.XLOOKUP(Implements[[#This Row],[Defaulty ASABE Category]],ASABECoefficients[ASABE Category],ASABECoefficients[RF1])</calculatedColumnFormula>
    </tableColumn>
    <tableColumn id="10" xr3:uid="{ADA2F52D-C1F1-4FFC-AE10-8B1709BAEA48}" name="RF2" dataDxfId="21" dataCellStyle="Percent">
      <calculatedColumnFormula>_xlfn.XLOOKUP(Implements[[#This Row],[Defaulty ASABE Category]],ASABECoefficients[ASABE Category],ASABECoefficients[RF2])</calculatedColumnFormula>
    </tableColumn>
    <tableColumn id="13" xr3:uid="{CF38BEDA-A22F-40DA-9023-B18776980BA2}" name="RV1" dataDxfId="20" dataCellStyle="Percent">
      <calculatedColumnFormula>_xlfn.XLOOKUP(Implements[[#This Row],[Defaulty ASABE Category]],ASABECoefficients[ASABE Category],ASABECoefficients[RV1])</calculatedColumnFormula>
    </tableColumn>
    <tableColumn id="20" xr3:uid="{3E2E4654-1924-45F9-AB24-C5A27C4D0500}" name="RV2" dataDxfId="19" dataCellStyle="Percent">
      <calculatedColumnFormula>_xlfn.XLOOKUP(Implements[[#This Row],[Defaulty ASABE Category]],ASABECoefficients[ASABE Category],ASABECoefficients[RV2])</calculatedColumnFormula>
    </tableColumn>
    <tableColumn id="22" xr3:uid="{9DB2B7F5-F992-4AE1-A822-914FA160F703}" name="RV3" dataDxfId="18" dataCellStyle="Percent">
      <calculatedColumnFormula>_xlfn.XLOOKUP(Implements[[#This Row],[Defaulty ASABE Category]],ASABECoefficients[ASABE Category],ASABECoefficients[RV3])</calculatedColumnFormula>
    </tableColumn>
    <tableColumn id="23" xr3:uid="{FA8D71FF-79CF-4E7D-8A9F-F0A08AEC5E22}" name="RV4" dataDxfId="17" dataCellStyle="Percent">
      <calculatedColumnFormula>_xlfn.XLOOKUP(Implements[[#This Row],[Defaulty ASABE Category]],ASABECoefficients[ASABE Category],ASABECoefficients[RV4])</calculatedColumnFormula>
    </tableColumn>
    <tableColumn id="24" xr3:uid="{F39F86C7-FD3D-47BF-A90F-45BFD32AEDC6}" name="RV5" dataDxfId="16" dataCellStyle="Percent">
      <calculatedColumnFormula>_xlfn.XLOOKUP(Implements[[#This Row],[Defaulty ASABE Category]],ASABECoefficients[ASABE Category],ASABECoefficients[RV5])</calculatedColumnFormula>
    </tableColumn>
    <tableColumn id="25" xr3:uid="{9C880CE8-E682-4EA1-A986-7A7202642883}" name="Trade-in (%)" dataDxfId="15" dataCellStyle="Percent">
      <calculatedColumnFormula>(Implements[[#This Row],[RV1]]-Implements[[#This Row],[RV2]]*Implements[[#This Row],[Expected Life (years)]]^0.5-Implements[[#This Row],[RV3]]*Implements[[#This Row],[Expected Use (hr/yr)]]^0.5+Implements[[#This Row],[RV4]]*'Data tables'!$AD$67)^2+0.25*Implements[[#This Row],[RV5]]</calculatedColumnFormula>
    </tableColumn>
    <tableColumn id="26" xr3:uid="{29EA4D12-8511-465F-88E6-0DB40DFF3325}" name="Trade-in ($)" dataDxfId="14" dataCellStyle="Percent">
      <calculatedColumnFormula>Implements[[#This Row],[Trade-in (%)]]*Implements[[#This Row],[List Price]]</calculatedColumnFormula>
    </tableColumn>
    <tableColumn id="27" xr3:uid="{6BD814B1-EDF8-46A6-856A-0F5781D7436D}" name="Annual Depreciation" dataDxfId="13" dataCellStyle="Percent">
      <calculatedColumnFormula>(Implements[[#This Row],[Purchase Price (2020)]]-Implements[[#This Row],[Trade-in ($)]])/Implements[[#This Row],[Expected Life (years)]]</calculatedColumnFormula>
    </tableColumn>
    <tableColumn id="29" xr3:uid="{85DB486B-9347-4657-A355-4C791CB78628}" name="Accumulated Repairs ($)" dataDxfId="12" dataCellStyle="Percent">
      <calculatedColumnFormula>Implements[[#This Row],[List Price]]*(Implements[[#This Row],[RF1]]*(Implements[[#This Row],[Expected Life (years)]]*Implements[[#This Row],[Expected Use (hr/yr)]]/1000)^Implements[[#This Row],[RF2]])</calculatedColumnFormula>
    </tableColumn>
    <tableColumn id="31" xr3:uid="{8BBE7C3D-E2DE-4DC8-B745-70D87CC786BC}" name="Annual Repairs ($)" dataDxfId="11" dataCellStyle="Percent">
      <calculatedColumnFormula>Implements[[#This Row],[Accumulated Repairs ($)]]/Implements[[#This Row],[Expected Life (years)]]</calculatedColumnFormula>
    </tableColumn>
    <tableColumn id="33" xr3:uid="{7F4C87DA-4470-405B-90B0-231A093DB0B5}" name="Acres/hour" dataDxfId="10">
      <calculatedColumnFormula>Implements[[#This Row],[Size1]]*Implements[[#This Row],[Field Speed (m/h)]]*Implements[[#This Row],[Field Efficiency]]/'Data tables'!$AD$68</calculatedColumnFormula>
    </tableColumn>
    <tableColumn id="34" xr3:uid="{5694995B-B568-45D6-9BB6-36B429E6B3D1}" name="Acres/year" dataDxfId="9">
      <calculatedColumnFormula>Implements[[#This Row],[Acres/hour]]*Implements[[#This Row],[Expected Use (hr/yr)]]</calculatedColumnFormula>
    </tableColumn>
    <tableColumn id="35" xr3:uid="{6491208E-8B8F-400F-AA68-B2F02ADDD756}" name="Depreciation ($/acre)" dataDxfId="8">
      <calculatedColumnFormula>Implements[[#This Row],[Annual Depreciation]]/Implements[[#This Row],[Acres/year]]</calculatedColumnFormula>
    </tableColumn>
    <tableColumn id="36" xr3:uid="{3B983488-5074-4F6A-BBDB-8418BF88F372}" name="Interest ($/acre)" dataDxfId="7">
      <calculatedColumnFormula>(Implements[[#This Row],[Purchase Price (2020)]]+Implements[[#This Row],[Trade-in ($)]]+Implements[[#This Row],[Annual Depreciation]])/2*'Data tables'!$AD$58/Implements[[#This Row],[Acres/year]]</calculatedColumnFormula>
    </tableColumn>
    <tableColumn id="38" xr3:uid="{07CD984D-AF47-4DEF-8846-11261046B513}" name="Repair ($/acre)" dataDxfId="6" dataCellStyle="Percent">
      <calculatedColumnFormula>Implements[[#This Row],[Annual Repairs ($)]]/Implements[[#This Row],[Acres/year]]</calculatedColumnFormula>
    </tableColumn>
    <tableColumn id="39" xr3:uid="{4C35C3FD-7D7D-4220-A8F2-31EC84BE2485}" name="Taxes ($/acre)" dataDxfId="5" dataCellStyle="Percent">
      <calculatedColumnFormula>(Implements[[#This Row],[Purchase Price (2020)]]+Implements[[#This Row],[Trade-in ($)]]+Implements[[#This Row],[Annual Depreciation]])/2*'Data tables'!$AD$70/Implements[[#This Row],[Acres/year]]</calculatedColumnFormula>
    </tableColumn>
    <tableColumn id="37" xr3:uid="{84256529-AC3F-4105-9A1E-DA698FCC965E}" name="Insurance ($/acre)" dataDxfId="4">
      <calculatedColumnFormula>(Implements[[#This Row],[Purchase Price (2020)]]+Implements[[#This Row],[Trade-in ($)]]+Implements[[#This Row],[Annual Depreciation]])/2*'Data tables'!$AD$59/Implements[[#This Row],[Acres/year]]</calculatedColumnFormula>
    </tableColumn>
    <tableColumn id="40" xr3:uid="{6C0D5CCE-AF8D-465A-8577-C70209BD7908}" name="Labor (hr/acre)" dataDxfId="3">
      <calculatedColumnFormula>(Implements[[#This Row],[Tractor (hr/impl)]]*Implements[[#This Row],[Labor (hr/trac)]])/Implements[[#This Row],[Acres/hour]]</calculatedColumnFormula>
    </tableColumn>
    <tableColumn id="41" xr3:uid="{EDCBE56C-8A7E-4674-972C-227601360D5D}" name="Shed ($/acre)" dataDxfId="2">
      <calculatedColumnFormula>'Data tables'!$AD$62*Implements[[#This Row],[Shed (ft^2)]]/Implements[[#This Row],[Acres/year]]</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E63F8748-9393-4112-8917-CF0CBA4650AC}" name="ASABECoefficients" displayName="ASABECoefficients" ref="CK152:CS204" totalsRowShown="0">
  <autoFilter ref="CK152:CS204" xr:uid="{B4039F6E-405A-4D67-98AA-599546B2A0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CK153:CS203">
    <sortCondition ref="CK152:CK203"/>
  </sortState>
  <tableColumns count="9">
    <tableColumn id="5" xr3:uid="{BF1F729A-D4CA-418B-8FA0-208FDC9EAF9B}" name="ASABE Category"/>
    <tableColumn id="6" xr3:uid="{F71C60BF-5B28-461A-9E84-66BE7B76B854}" name="RF1"/>
    <tableColumn id="7" xr3:uid="{2D004085-C505-455F-869D-7AEB3DF2C952}" name="RF2"/>
    <tableColumn id="8" xr3:uid="{EBAFCF89-4C7E-4CC0-87C3-756FA4442E67}" name="Life (hr)"/>
    <tableColumn id="9" xr3:uid="{0D458B7B-E000-4F07-AE69-C8352A4FD597}" name="RV1"/>
    <tableColumn id="10" xr3:uid="{C5CF6C08-6AEF-4206-814B-D66AA25A9B68}" name="RV2"/>
    <tableColumn id="11" xr3:uid="{C8660E44-4854-4569-860D-458CB6DDA1B7}" name="RV3"/>
    <tableColumn id="12" xr3:uid="{33C9CD7A-76FF-465D-869B-35B3F13DFA09}" name="RV4"/>
    <tableColumn id="14" xr3:uid="{26B12817-FB90-4C58-9C75-B468F7E0D3E9}" name="RV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58" dT="2021-07-29T20:20:13.08" personId="{F8686E5D-0041-4D9A-A908-A7FB4FE01614}" id="{7639BA25-DC2E-4695-B877-D90ADC89B8B4}">
    <text>Assumes no inflation</text>
  </threadedComment>
  <threadedComment ref="BW125" dT="2021-07-29T20:20:13.08" personId="{F8686E5D-0041-4D9A-A908-A7FB4FE01614}" id="{D5006012-D7CD-4658-9734-12A6E5CBAF31}">
    <text>Assumes no inflation</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outherncovercrops.org/about-us/" TargetMode="External"/><Relationship Id="rId1" Type="http://schemas.openxmlformats.org/officeDocument/2006/relationships/hyperlink" Target="https://www.nass.usda.gov/Charts_and_Maps/Farm_Production_Expenditures/reg_map_c.php" TargetMode="Externa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s://mccc.msu.edu/selector-too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table" Target="../tables/table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table" Target="../tables/table9.xml"/><Relationship Id="rId2" Type="http://schemas.openxmlformats.org/officeDocument/2006/relationships/drawing" Target="../drawings/drawing1.xml"/><Relationship Id="rId16" Type="http://schemas.microsoft.com/office/2017/10/relationships/threadedComment" Target="../threadedComments/threadedComment1.xml"/><Relationship Id="rId1" Type="http://schemas.openxmlformats.org/officeDocument/2006/relationships/printerSettings" Target="../printerSettings/printerSettings5.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omments" Target="../comments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D26BC-07CF-4DDE-86DE-3501FE71AC73}">
  <sheetPr codeName="Sheet5"/>
  <dimension ref="A2:S3150"/>
  <sheetViews>
    <sheetView workbookViewId="0">
      <selection activeCell="P15" sqref="P15"/>
    </sheetView>
  </sheetViews>
  <sheetFormatPr defaultColWidth="8.85546875" defaultRowHeight="15" x14ac:dyDescent="0.25"/>
  <cols>
    <col min="1" max="1" width="24.85546875" bestFit="1" customWidth="1"/>
    <col min="10" max="10" width="21.85546875" bestFit="1" customWidth="1"/>
    <col min="11" max="11" width="19.42578125" customWidth="1"/>
    <col min="12" max="12" width="29.42578125" customWidth="1"/>
  </cols>
  <sheetData>
    <row r="2" spans="1:16" x14ac:dyDescent="0.25">
      <c r="J2" t="str">
        <f>Introduction!E4</f>
        <v>ALABAMA</v>
      </c>
      <c r="K2" t="str">
        <f>VLOOKUP(J2,J5:K55,2,FALSE)</f>
        <v>southern</v>
      </c>
    </row>
    <row r="3" spans="1:16" x14ac:dyDescent="0.25">
      <c r="C3" s="27"/>
    </row>
    <row r="4" spans="1:16" x14ac:dyDescent="0.25">
      <c r="A4" t="s">
        <v>5216</v>
      </c>
      <c r="B4" t="s">
        <v>5217</v>
      </c>
      <c r="C4" t="s">
        <v>5218</v>
      </c>
      <c r="J4" t="s">
        <v>5249</v>
      </c>
      <c r="K4" t="s">
        <v>5516</v>
      </c>
      <c r="L4" t="s">
        <v>5515</v>
      </c>
    </row>
    <row r="5" spans="1:16" x14ac:dyDescent="0.25">
      <c r="A5" t="s">
        <v>5215</v>
      </c>
      <c r="B5" t="s">
        <v>134</v>
      </c>
      <c r="C5" t="s">
        <v>135</v>
      </c>
      <c r="J5" t="s">
        <v>133</v>
      </c>
      <c r="K5" t="s">
        <v>5529</v>
      </c>
      <c r="L5" t="s">
        <v>5518</v>
      </c>
    </row>
    <row r="6" spans="1:16" x14ac:dyDescent="0.25">
      <c r="A6" t="s">
        <v>885</v>
      </c>
      <c r="B6" t="s">
        <v>134</v>
      </c>
      <c r="C6" t="s">
        <v>136</v>
      </c>
      <c r="J6" t="s">
        <v>267</v>
      </c>
      <c r="L6" t="s">
        <v>15</v>
      </c>
      <c r="N6" t="s">
        <v>5314</v>
      </c>
      <c r="O6" s="113" t="s">
        <v>5517</v>
      </c>
    </row>
    <row r="7" spans="1:16" x14ac:dyDescent="0.25">
      <c r="A7" t="s">
        <v>137</v>
      </c>
      <c r="B7" t="s">
        <v>134</v>
      </c>
      <c r="C7" t="s">
        <v>138</v>
      </c>
      <c r="J7" t="s">
        <v>327</v>
      </c>
      <c r="L7" t="s">
        <v>5527</v>
      </c>
      <c r="N7" t="s">
        <v>5521</v>
      </c>
      <c r="O7" t="s">
        <v>5522</v>
      </c>
      <c r="P7" s="113" t="s">
        <v>5525</v>
      </c>
    </row>
    <row r="8" spans="1:16" x14ac:dyDescent="0.25">
      <c r="A8" t="s">
        <v>139</v>
      </c>
      <c r="B8" t="s">
        <v>134</v>
      </c>
      <c r="C8" t="s">
        <v>140</v>
      </c>
      <c r="J8" t="s">
        <v>359</v>
      </c>
      <c r="K8" t="s">
        <v>5529</v>
      </c>
      <c r="L8" t="s">
        <v>5518</v>
      </c>
      <c r="O8" t="s">
        <v>5523</v>
      </c>
    </row>
    <row r="9" spans="1:16" x14ac:dyDescent="0.25">
      <c r="A9" t="s">
        <v>141</v>
      </c>
      <c r="B9" t="s">
        <v>134</v>
      </c>
      <c r="C9" t="s">
        <v>142</v>
      </c>
      <c r="J9" t="s">
        <v>492</v>
      </c>
      <c r="L9" t="s">
        <v>5527</v>
      </c>
      <c r="O9" t="s">
        <v>5524</v>
      </c>
    </row>
    <row r="10" spans="1:16" x14ac:dyDescent="0.25">
      <c r="A10" t="s">
        <v>143</v>
      </c>
      <c r="B10" t="s">
        <v>134</v>
      </c>
      <c r="C10" t="s">
        <v>144</v>
      </c>
      <c r="J10" t="s">
        <v>608</v>
      </c>
      <c r="L10" t="s">
        <v>5527</v>
      </c>
      <c r="O10" t="s">
        <v>5526</v>
      </c>
    </row>
    <row r="11" spans="1:16" x14ac:dyDescent="0.25">
      <c r="A11" t="s">
        <v>145</v>
      </c>
      <c r="B11" t="s">
        <v>134</v>
      </c>
      <c r="C11" t="s">
        <v>146</v>
      </c>
      <c r="J11" t="s">
        <v>729</v>
      </c>
      <c r="K11" t="s">
        <v>5273</v>
      </c>
      <c r="L11" t="s">
        <v>3090</v>
      </c>
    </row>
    <row r="12" spans="1:16" x14ac:dyDescent="0.25">
      <c r="A12" t="s">
        <v>147</v>
      </c>
      <c r="B12" t="s">
        <v>134</v>
      </c>
      <c r="C12" t="s">
        <v>148</v>
      </c>
      <c r="J12" t="s">
        <v>747</v>
      </c>
      <c r="K12" t="s">
        <v>5273</v>
      </c>
      <c r="L12" t="s">
        <v>3090</v>
      </c>
    </row>
    <row r="13" spans="1:16" x14ac:dyDescent="0.25">
      <c r="A13" t="s">
        <v>149</v>
      </c>
      <c r="B13" t="s">
        <v>134</v>
      </c>
      <c r="C13" t="s">
        <v>150</v>
      </c>
      <c r="J13" t="s">
        <v>755</v>
      </c>
      <c r="L13" t="s">
        <v>3090</v>
      </c>
    </row>
    <row r="14" spans="1:16" x14ac:dyDescent="0.25">
      <c r="A14" t="s">
        <v>151</v>
      </c>
      <c r="B14" t="s">
        <v>134</v>
      </c>
      <c r="C14" t="s">
        <v>152</v>
      </c>
      <c r="J14" t="s">
        <v>758</v>
      </c>
      <c r="K14" t="s">
        <v>5529</v>
      </c>
      <c r="L14" t="s">
        <v>5518</v>
      </c>
    </row>
    <row r="15" spans="1:16" x14ac:dyDescent="0.25">
      <c r="A15" t="s">
        <v>153</v>
      </c>
      <c r="B15" t="s">
        <v>134</v>
      </c>
      <c r="C15" t="s">
        <v>154</v>
      </c>
      <c r="J15" t="s">
        <v>876</v>
      </c>
      <c r="K15" t="s">
        <v>5529</v>
      </c>
      <c r="L15" t="s">
        <v>5518</v>
      </c>
    </row>
    <row r="16" spans="1:16" x14ac:dyDescent="0.25">
      <c r="A16" t="s">
        <v>155</v>
      </c>
      <c r="B16" t="s">
        <v>134</v>
      </c>
      <c r="C16" t="s">
        <v>156</v>
      </c>
      <c r="J16" t="s">
        <v>1146</v>
      </c>
      <c r="L16" t="s">
        <v>15</v>
      </c>
    </row>
    <row r="17" spans="1:19" x14ac:dyDescent="0.25">
      <c r="A17" t="s">
        <v>157</v>
      </c>
      <c r="B17" t="s">
        <v>134</v>
      </c>
      <c r="C17" t="s">
        <v>158</v>
      </c>
      <c r="J17" t="s">
        <v>1158</v>
      </c>
      <c r="L17" t="s">
        <v>5527</v>
      </c>
    </row>
    <row r="18" spans="1:19" x14ac:dyDescent="0.25">
      <c r="A18" t="s">
        <v>159</v>
      </c>
      <c r="B18" t="s">
        <v>134</v>
      </c>
      <c r="C18" t="s">
        <v>160</v>
      </c>
      <c r="J18" t="s">
        <v>1237</v>
      </c>
      <c r="K18" t="s">
        <v>5272</v>
      </c>
      <c r="L18" t="s">
        <v>5523</v>
      </c>
    </row>
    <row r="19" spans="1:19" x14ac:dyDescent="0.25">
      <c r="A19" t="s">
        <v>161</v>
      </c>
      <c r="B19" t="s">
        <v>134</v>
      </c>
      <c r="C19" t="s">
        <v>162</v>
      </c>
      <c r="J19" t="s">
        <v>1395</v>
      </c>
      <c r="K19" t="s">
        <v>5272</v>
      </c>
      <c r="L19" t="s">
        <v>5523</v>
      </c>
    </row>
    <row r="20" spans="1:19" x14ac:dyDescent="0.25">
      <c r="A20" t="s">
        <v>163</v>
      </c>
      <c r="B20" t="s">
        <v>134</v>
      </c>
      <c r="C20" t="s">
        <v>164</v>
      </c>
      <c r="J20" t="s">
        <v>1530</v>
      </c>
      <c r="K20" t="s">
        <v>5272</v>
      </c>
      <c r="L20" t="s">
        <v>5523</v>
      </c>
      <c r="S20" t="s">
        <v>5271</v>
      </c>
    </row>
    <row r="21" spans="1:19" x14ac:dyDescent="0.25">
      <c r="A21" t="s">
        <v>165</v>
      </c>
      <c r="B21" t="s">
        <v>134</v>
      </c>
      <c r="C21" t="s">
        <v>166</v>
      </c>
      <c r="J21" t="s">
        <v>1676</v>
      </c>
      <c r="L21" t="s">
        <v>5528</v>
      </c>
    </row>
    <row r="22" spans="1:19" x14ac:dyDescent="0.25">
      <c r="A22" t="s">
        <v>167</v>
      </c>
      <c r="B22" t="s">
        <v>134</v>
      </c>
      <c r="C22" t="s">
        <v>168</v>
      </c>
      <c r="J22" t="s">
        <v>1850</v>
      </c>
      <c r="K22" t="s">
        <v>5530</v>
      </c>
      <c r="L22" t="s">
        <v>3090</v>
      </c>
    </row>
    <row r="23" spans="1:19" x14ac:dyDescent="0.25">
      <c r="A23" t="s">
        <v>169</v>
      </c>
      <c r="B23" t="s">
        <v>134</v>
      </c>
      <c r="C23" t="s">
        <v>170</v>
      </c>
      <c r="J23" t="s">
        <v>2027</v>
      </c>
      <c r="K23" t="s">
        <v>5529</v>
      </c>
      <c r="L23" t="s">
        <v>5518</v>
      </c>
    </row>
    <row r="24" spans="1:19" x14ac:dyDescent="0.25">
      <c r="A24" t="s">
        <v>171</v>
      </c>
      <c r="B24" t="s">
        <v>134</v>
      </c>
      <c r="C24" t="s">
        <v>172</v>
      </c>
      <c r="J24" t="s">
        <v>2141</v>
      </c>
      <c r="K24" t="s">
        <v>5273</v>
      </c>
      <c r="L24" t="s">
        <v>3090</v>
      </c>
    </row>
    <row r="25" spans="1:19" x14ac:dyDescent="0.25">
      <c r="A25" t="s">
        <v>173</v>
      </c>
      <c r="B25" t="s">
        <v>134</v>
      </c>
      <c r="C25" t="s">
        <v>174</v>
      </c>
      <c r="J25" t="s">
        <v>2169</v>
      </c>
      <c r="K25" t="s">
        <v>5273</v>
      </c>
      <c r="L25" t="s">
        <v>3090</v>
      </c>
    </row>
    <row r="26" spans="1:19" x14ac:dyDescent="0.25">
      <c r="A26" t="s">
        <v>175</v>
      </c>
      <c r="B26" t="s">
        <v>134</v>
      </c>
      <c r="C26" t="s">
        <v>176</v>
      </c>
      <c r="J26" t="s">
        <v>2212</v>
      </c>
      <c r="K26" t="s">
        <v>5273</v>
      </c>
      <c r="L26" t="s">
        <v>3090</v>
      </c>
    </row>
    <row r="27" spans="1:19" x14ac:dyDescent="0.25">
      <c r="A27" t="s">
        <v>177</v>
      </c>
      <c r="B27" t="s">
        <v>134</v>
      </c>
      <c r="C27" t="s">
        <v>178</v>
      </c>
      <c r="J27" t="s">
        <v>2238</v>
      </c>
      <c r="L27" t="s">
        <v>5523</v>
      </c>
    </row>
    <row r="28" spans="1:19" x14ac:dyDescent="0.25">
      <c r="A28" t="s">
        <v>179</v>
      </c>
      <c r="B28" t="s">
        <v>134</v>
      </c>
      <c r="C28" t="s">
        <v>180</v>
      </c>
      <c r="J28" t="s">
        <v>2385</v>
      </c>
      <c r="L28" t="s">
        <v>5523</v>
      </c>
    </row>
    <row r="29" spans="1:19" x14ac:dyDescent="0.25">
      <c r="A29" t="s">
        <v>181</v>
      </c>
      <c r="B29" t="s">
        <v>134</v>
      </c>
      <c r="C29" t="s">
        <v>182</v>
      </c>
      <c r="J29" t="s">
        <v>2535</v>
      </c>
      <c r="K29" t="s">
        <v>5529</v>
      </c>
      <c r="L29" t="s">
        <v>5518</v>
      </c>
    </row>
    <row r="30" spans="1:19" x14ac:dyDescent="0.25">
      <c r="A30" t="s">
        <v>183</v>
      </c>
      <c r="B30" t="s">
        <v>134</v>
      </c>
      <c r="C30" t="s">
        <v>184</v>
      </c>
      <c r="J30" t="s">
        <v>2653</v>
      </c>
      <c r="K30" t="s">
        <v>5272</v>
      </c>
      <c r="L30" t="s">
        <v>5523</v>
      </c>
    </row>
    <row r="31" spans="1:19" x14ac:dyDescent="0.25">
      <c r="A31" t="s">
        <v>185</v>
      </c>
      <c r="B31" t="s">
        <v>134</v>
      </c>
      <c r="C31" t="s">
        <v>186</v>
      </c>
      <c r="J31" t="s">
        <v>2809</v>
      </c>
      <c r="L31" t="s">
        <v>5527</v>
      </c>
    </row>
    <row r="32" spans="1:19" x14ac:dyDescent="0.25">
      <c r="A32" t="s">
        <v>187</v>
      </c>
      <c r="B32" t="s">
        <v>134</v>
      </c>
      <c r="C32" t="s">
        <v>188</v>
      </c>
      <c r="J32" t="s">
        <v>2905</v>
      </c>
      <c r="L32" t="s">
        <v>5528</v>
      </c>
    </row>
    <row r="33" spans="1:12" x14ac:dyDescent="0.25">
      <c r="A33" t="s">
        <v>189</v>
      </c>
      <c r="B33" t="s">
        <v>134</v>
      </c>
      <c r="C33" t="s">
        <v>190</v>
      </c>
      <c r="J33" t="s">
        <v>3040</v>
      </c>
      <c r="L33" t="s">
        <v>5527</v>
      </c>
    </row>
    <row r="34" spans="1:12" x14ac:dyDescent="0.25">
      <c r="A34" t="s">
        <v>191</v>
      </c>
      <c r="B34" t="s">
        <v>134</v>
      </c>
      <c r="C34" t="s">
        <v>192</v>
      </c>
      <c r="J34" t="s">
        <v>3070</v>
      </c>
      <c r="K34" t="s">
        <v>5273</v>
      </c>
      <c r="L34" t="s">
        <v>3090</v>
      </c>
    </row>
    <row r="35" spans="1:12" x14ac:dyDescent="0.25">
      <c r="A35" t="s">
        <v>193</v>
      </c>
      <c r="B35" t="s">
        <v>134</v>
      </c>
      <c r="C35" t="s">
        <v>194</v>
      </c>
      <c r="J35" t="s">
        <v>3089</v>
      </c>
      <c r="K35" t="s">
        <v>5273</v>
      </c>
      <c r="L35" t="s">
        <v>3090</v>
      </c>
    </row>
    <row r="36" spans="1:12" x14ac:dyDescent="0.25">
      <c r="A36" t="s">
        <v>195</v>
      </c>
      <c r="B36" t="s">
        <v>134</v>
      </c>
      <c r="C36" t="s">
        <v>196</v>
      </c>
      <c r="J36" t="s">
        <v>3123</v>
      </c>
      <c r="L36" t="s">
        <v>5527</v>
      </c>
    </row>
    <row r="37" spans="1:12" x14ac:dyDescent="0.25">
      <c r="A37" t="s">
        <v>197</v>
      </c>
      <c r="B37" t="s">
        <v>134</v>
      </c>
      <c r="C37" t="s">
        <v>198</v>
      </c>
      <c r="J37" t="s">
        <v>3182</v>
      </c>
      <c r="K37" t="s">
        <v>5273</v>
      </c>
      <c r="L37" t="s">
        <v>3090</v>
      </c>
    </row>
    <row r="38" spans="1:12" x14ac:dyDescent="0.25">
      <c r="A38" t="s">
        <v>199</v>
      </c>
      <c r="B38" t="s">
        <v>134</v>
      </c>
      <c r="C38" t="s">
        <v>200</v>
      </c>
      <c r="J38" t="s">
        <v>3276</v>
      </c>
      <c r="K38" t="s">
        <v>5529</v>
      </c>
      <c r="L38" t="s">
        <v>3090</v>
      </c>
    </row>
    <row r="39" spans="1:12" x14ac:dyDescent="0.25">
      <c r="A39" t="s">
        <v>201</v>
      </c>
      <c r="B39" t="s">
        <v>134</v>
      </c>
      <c r="C39" t="s">
        <v>202</v>
      </c>
      <c r="J39" t="s">
        <v>3442</v>
      </c>
      <c r="L39" t="s">
        <v>5528</v>
      </c>
    </row>
    <row r="40" spans="1:12" x14ac:dyDescent="0.25">
      <c r="A40" t="s">
        <v>203</v>
      </c>
      <c r="B40" t="s">
        <v>134</v>
      </c>
      <c r="C40" t="s">
        <v>204</v>
      </c>
      <c r="J40" t="s">
        <v>3528</v>
      </c>
      <c r="K40" t="s">
        <v>5272</v>
      </c>
      <c r="L40" t="s">
        <v>5523</v>
      </c>
    </row>
    <row r="41" spans="1:12" x14ac:dyDescent="0.25">
      <c r="A41" t="s">
        <v>205</v>
      </c>
      <c r="B41" t="s">
        <v>134</v>
      </c>
      <c r="C41" t="s">
        <v>206</v>
      </c>
      <c r="J41" t="s">
        <v>3653</v>
      </c>
      <c r="K41" t="s">
        <v>5529</v>
      </c>
      <c r="L41" t="s">
        <v>5528</v>
      </c>
    </row>
    <row r="42" spans="1:12" x14ac:dyDescent="0.25">
      <c r="A42" t="s">
        <v>207</v>
      </c>
      <c r="B42" t="s">
        <v>134</v>
      </c>
      <c r="C42" t="s">
        <v>208</v>
      </c>
      <c r="J42" t="s">
        <v>3773</v>
      </c>
      <c r="L42" t="s">
        <v>5527</v>
      </c>
    </row>
    <row r="43" spans="1:12" x14ac:dyDescent="0.25">
      <c r="A43" t="s">
        <v>209</v>
      </c>
      <c r="B43" t="s">
        <v>134</v>
      </c>
      <c r="C43" t="s">
        <v>210</v>
      </c>
      <c r="J43" t="s">
        <v>3827</v>
      </c>
      <c r="K43" t="s">
        <v>5273</v>
      </c>
      <c r="L43" t="s">
        <v>3090</v>
      </c>
    </row>
    <row r="44" spans="1:12" x14ac:dyDescent="0.25">
      <c r="A44" t="s">
        <v>211</v>
      </c>
      <c r="B44" t="s">
        <v>134</v>
      </c>
      <c r="C44" t="s">
        <v>212</v>
      </c>
      <c r="J44" t="s">
        <v>3928</v>
      </c>
      <c r="K44" t="s">
        <v>5273</v>
      </c>
      <c r="L44" t="s">
        <v>3090</v>
      </c>
    </row>
    <row r="45" spans="1:12" x14ac:dyDescent="0.25">
      <c r="A45" t="s">
        <v>213</v>
      </c>
      <c r="B45" t="s">
        <v>134</v>
      </c>
      <c r="C45" t="s">
        <v>214</v>
      </c>
      <c r="J45" t="s">
        <v>3937</v>
      </c>
      <c r="K45" t="s">
        <v>5529</v>
      </c>
      <c r="L45" t="s">
        <v>5518</v>
      </c>
    </row>
    <row r="46" spans="1:12" x14ac:dyDescent="0.25">
      <c r="A46" t="s">
        <v>215</v>
      </c>
      <c r="B46" t="s">
        <v>134</v>
      </c>
      <c r="C46" t="s">
        <v>216</v>
      </c>
      <c r="J46" t="s">
        <v>4012</v>
      </c>
      <c r="L46" t="s">
        <v>5528</v>
      </c>
    </row>
    <row r="47" spans="1:12" x14ac:dyDescent="0.25">
      <c r="A47" t="s">
        <v>217</v>
      </c>
      <c r="B47" t="s">
        <v>134</v>
      </c>
      <c r="C47" t="s">
        <v>218</v>
      </c>
      <c r="J47" t="s">
        <v>4117</v>
      </c>
      <c r="K47" t="s">
        <v>5529</v>
      </c>
      <c r="L47" t="s">
        <v>3090</v>
      </c>
    </row>
    <row r="48" spans="1:12" x14ac:dyDescent="0.25">
      <c r="A48" t="s">
        <v>219</v>
      </c>
      <c r="B48" t="s">
        <v>134</v>
      </c>
      <c r="C48" t="s">
        <v>220</v>
      </c>
      <c r="J48" t="s">
        <v>4240</v>
      </c>
      <c r="K48" t="s">
        <v>5529</v>
      </c>
      <c r="L48" t="s">
        <v>5528</v>
      </c>
    </row>
    <row r="49" spans="1:12" x14ac:dyDescent="0.25">
      <c r="A49" t="s">
        <v>221</v>
      </c>
      <c r="B49" t="s">
        <v>134</v>
      </c>
      <c r="C49" t="s">
        <v>222</v>
      </c>
      <c r="J49" t="s">
        <v>4655</v>
      </c>
      <c r="L49" t="s">
        <v>5527</v>
      </c>
    </row>
    <row r="50" spans="1:12" x14ac:dyDescent="0.25">
      <c r="A50" t="s">
        <v>223</v>
      </c>
      <c r="B50" t="s">
        <v>134</v>
      </c>
      <c r="C50" t="s">
        <v>224</v>
      </c>
      <c r="J50" t="s">
        <v>4702</v>
      </c>
      <c r="K50" t="s">
        <v>5273</v>
      </c>
      <c r="L50" t="s">
        <v>3090</v>
      </c>
    </row>
    <row r="51" spans="1:12" x14ac:dyDescent="0.25">
      <c r="A51" t="s">
        <v>225</v>
      </c>
      <c r="B51" t="s">
        <v>134</v>
      </c>
      <c r="C51" t="s">
        <v>226</v>
      </c>
      <c r="J51" t="s">
        <v>4726</v>
      </c>
      <c r="K51" t="s">
        <v>5529</v>
      </c>
      <c r="L51" t="s">
        <v>3090</v>
      </c>
    </row>
    <row r="52" spans="1:12" x14ac:dyDescent="0.25">
      <c r="A52" t="s">
        <v>227</v>
      </c>
      <c r="B52" t="s">
        <v>134</v>
      </c>
      <c r="C52" t="s">
        <v>228</v>
      </c>
      <c r="J52" t="s">
        <v>4934</v>
      </c>
      <c r="L52" t="s">
        <v>5527</v>
      </c>
    </row>
    <row r="53" spans="1:12" x14ac:dyDescent="0.25">
      <c r="A53" t="s">
        <v>229</v>
      </c>
      <c r="B53" t="s">
        <v>134</v>
      </c>
      <c r="C53" t="s">
        <v>230</v>
      </c>
      <c r="J53" t="s">
        <v>4997</v>
      </c>
      <c r="K53" t="s">
        <v>5273</v>
      </c>
      <c r="L53" t="s">
        <v>3090</v>
      </c>
    </row>
    <row r="54" spans="1:12" x14ac:dyDescent="0.25">
      <c r="A54" t="s">
        <v>231</v>
      </c>
      <c r="B54" t="s">
        <v>134</v>
      </c>
      <c r="C54" t="s">
        <v>232</v>
      </c>
      <c r="J54" t="s">
        <v>5071</v>
      </c>
      <c r="L54" t="s">
        <v>5523</v>
      </c>
    </row>
    <row r="55" spans="1:12" x14ac:dyDescent="0.25">
      <c r="A55" t="s">
        <v>233</v>
      </c>
      <c r="B55" t="s">
        <v>134</v>
      </c>
      <c r="C55" t="s">
        <v>234</v>
      </c>
      <c r="J55" t="s">
        <v>5179</v>
      </c>
      <c r="L55" t="s">
        <v>5527</v>
      </c>
    </row>
    <row r="56" spans="1:12" x14ac:dyDescent="0.25">
      <c r="A56" t="s">
        <v>235</v>
      </c>
      <c r="B56" t="s">
        <v>134</v>
      </c>
      <c r="C56" t="s">
        <v>236</v>
      </c>
    </row>
    <row r="57" spans="1:12" x14ac:dyDescent="0.25">
      <c r="A57" t="s">
        <v>237</v>
      </c>
      <c r="B57" t="s">
        <v>134</v>
      </c>
      <c r="C57" t="s">
        <v>238</v>
      </c>
    </row>
    <row r="58" spans="1:12" x14ac:dyDescent="0.25">
      <c r="A58" t="s">
        <v>239</v>
      </c>
      <c r="B58" t="s">
        <v>134</v>
      </c>
      <c r="C58" t="s">
        <v>240</v>
      </c>
    </row>
    <row r="59" spans="1:12" x14ac:dyDescent="0.25">
      <c r="A59" t="s">
        <v>241</v>
      </c>
      <c r="B59" t="s">
        <v>134</v>
      </c>
      <c r="C59" t="s">
        <v>242</v>
      </c>
    </row>
    <row r="60" spans="1:12" x14ac:dyDescent="0.25">
      <c r="A60" t="s">
        <v>243</v>
      </c>
      <c r="B60" t="s">
        <v>134</v>
      </c>
      <c r="C60" t="s">
        <v>244</v>
      </c>
    </row>
    <row r="61" spans="1:12" x14ac:dyDescent="0.25">
      <c r="A61" t="s">
        <v>245</v>
      </c>
      <c r="B61" t="s">
        <v>134</v>
      </c>
      <c r="C61" t="s">
        <v>246</v>
      </c>
    </row>
    <row r="62" spans="1:12" x14ac:dyDescent="0.25">
      <c r="A62" t="s">
        <v>247</v>
      </c>
      <c r="B62" t="s">
        <v>134</v>
      </c>
      <c r="C62" t="s">
        <v>248</v>
      </c>
    </row>
    <row r="63" spans="1:12" x14ac:dyDescent="0.25">
      <c r="A63" t="s">
        <v>249</v>
      </c>
      <c r="B63" t="s">
        <v>134</v>
      </c>
      <c r="C63" t="s">
        <v>250</v>
      </c>
    </row>
    <row r="64" spans="1:12" x14ac:dyDescent="0.25">
      <c r="A64" t="s">
        <v>251</v>
      </c>
      <c r="B64" t="s">
        <v>134</v>
      </c>
      <c r="C64" t="s">
        <v>252</v>
      </c>
    </row>
    <row r="65" spans="1:3" x14ac:dyDescent="0.25">
      <c r="A65" t="s">
        <v>253</v>
      </c>
      <c r="B65" t="s">
        <v>134</v>
      </c>
      <c r="C65" t="s">
        <v>254</v>
      </c>
    </row>
    <row r="66" spans="1:3" x14ac:dyDescent="0.25">
      <c r="A66" t="s">
        <v>255</v>
      </c>
      <c r="B66" t="s">
        <v>134</v>
      </c>
      <c r="C66" t="s">
        <v>256</v>
      </c>
    </row>
    <row r="67" spans="1:3" x14ac:dyDescent="0.25">
      <c r="A67" t="s">
        <v>257</v>
      </c>
      <c r="B67" t="s">
        <v>134</v>
      </c>
      <c r="C67" t="s">
        <v>258</v>
      </c>
    </row>
    <row r="68" spans="1:3" x14ac:dyDescent="0.25">
      <c r="A68" t="s">
        <v>259</v>
      </c>
      <c r="B68" t="s">
        <v>134</v>
      </c>
      <c r="C68" t="s">
        <v>260</v>
      </c>
    </row>
    <row r="69" spans="1:3" x14ac:dyDescent="0.25">
      <c r="A69" t="s">
        <v>261</v>
      </c>
      <c r="B69" t="s">
        <v>134</v>
      </c>
      <c r="C69" t="s">
        <v>262</v>
      </c>
    </row>
    <row r="70" spans="1:3" x14ac:dyDescent="0.25">
      <c r="A70" t="s">
        <v>263</v>
      </c>
      <c r="B70" t="s">
        <v>134</v>
      </c>
      <c r="C70" t="s">
        <v>264</v>
      </c>
    </row>
    <row r="71" spans="1:3" x14ac:dyDescent="0.25">
      <c r="A71" t="s">
        <v>265</v>
      </c>
      <c r="B71" t="s">
        <v>134</v>
      </c>
      <c r="C71" t="s">
        <v>266</v>
      </c>
    </row>
    <row r="72" spans="1:3" x14ac:dyDescent="0.25">
      <c r="A72" t="s">
        <v>268</v>
      </c>
      <c r="B72" t="s">
        <v>269</v>
      </c>
      <c r="C72" t="s">
        <v>270</v>
      </c>
    </row>
    <row r="73" spans="1:3" x14ac:dyDescent="0.25">
      <c r="A73" t="s">
        <v>271</v>
      </c>
      <c r="B73" t="s">
        <v>269</v>
      </c>
      <c r="C73" t="s">
        <v>272</v>
      </c>
    </row>
    <row r="74" spans="1:3" x14ac:dyDescent="0.25">
      <c r="A74" t="s">
        <v>273</v>
      </c>
      <c r="B74" t="s">
        <v>269</v>
      </c>
      <c r="C74" t="s">
        <v>274</v>
      </c>
    </row>
    <row r="75" spans="1:3" x14ac:dyDescent="0.25">
      <c r="A75" t="s">
        <v>275</v>
      </c>
      <c r="B75" t="s">
        <v>269</v>
      </c>
      <c r="C75" t="s">
        <v>276</v>
      </c>
    </row>
    <row r="76" spans="1:3" x14ac:dyDescent="0.25">
      <c r="A76" t="s">
        <v>277</v>
      </c>
      <c r="B76" t="s">
        <v>269</v>
      </c>
      <c r="C76" t="s">
        <v>278</v>
      </c>
    </row>
    <row r="77" spans="1:3" x14ac:dyDescent="0.25">
      <c r="A77" t="s">
        <v>279</v>
      </c>
      <c r="B77" t="s">
        <v>269</v>
      </c>
      <c r="C77" t="s">
        <v>280</v>
      </c>
    </row>
    <row r="78" spans="1:3" x14ac:dyDescent="0.25">
      <c r="A78" t="s">
        <v>281</v>
      </c>
      <c r="B78" t="s">
        <v>269</v>
      </c>
      <c r="C78" t="s">
        <v>282</v>
      </c>
    </row>
    <row r="79" spans="1:3" x14ac:dyDescent="0.25">
      <c r="A79" t="s">
        <v>283</v>
      </c>
      <c r="B79" t="s">
        <v>269</v>
      </c>
      <c r="C79" t="s">
        <v>284</v>
      </c>
    </row>
    <row r="80" spans="1:3" x14ac:dyDescent="0.25">
      <c r="A80" t="s">
        <v>285</v>
      </c>
      <c r="B80" t="s">
        <v>269</v>
      </c>
      <c r="C80" t="s">
        <v>286</v>
      </c>
    </row>
    <row r="81" spans="1:3" x14ac:dyDescent="0.25">
      <c r="A81" t="s">
        <v>287</v>
      </c>
      <c r="B81" t="s">
        <v>269</v>
      </c>
      <c r="C81" t="s">
        <v>288</v>
      </c>
    </row>
    <row r="82" spans="1:3" x14ac:dyDescent="0.25">
      <c r="A82" t="s">
        <v>289</v>
      </c>
      <c r="B82" t="s">
        <v>269</v>
      </c>
      <c r="C82" t="s">
        <v>290</v>
      </c>
    </row>
    <row r="83" spans="1:3" x14ac:dyDescent="0.25">
      <c r="A83" t="s">
        <v>291</v>
      </c>
      <c r="B83" t="s">
        <v>269</v>
      </c>
      <c r="C83" t="s">
        <v>292</v>
      </c>
    </row>
    <row r="84" spans="1:3" x14ac:dyDescent="0.25">
      <c r="A84" t="s">
        <v>293</v>
      </c>
      <c r="B84" t="s">
        <v>269</v>
      </c>
      <c r="C84" t="s">
        <v>294</v>
      </c>
    </row>
    <row r="85" spans="1:3" x14ac:dyDescent="0.25">
      <c r="A85" t="s">
        <v>295</v>
      </c>
      <c r="B85" t="s">
        <v>269</v>
      </c>
      <c r="C85" t="s">
        <v>296</v>
      </c>
    </row>
    <row r="86" spans="1:3" x14ac:dyDescent="0.25">
      <c r="A86" t="s">
        <v>297</v>
      </c>
      <c r="B86" t="s">
        <v>269</v>
      </c>
      <c r="C86" t="s">
        <v>298</v>
      </c>
    </row>
    <row r="87" spans="1:3" x14ac:dyDescent="0.25">
      <c r="A87" t="s">
        <v>299</v>
      </c>
      <c r="B87" t="s">
        <v>269</v>
      </c>
      <c r="C87" t="s">
        <v>300</v>
      </c>
    </row>
    <row r="88" spans="1:3" x14ac:dyDescent="0.25">
      <c r="A88" t="s">
        <v>301</v>
      </c>
      <c r="B88" t="s">
        <v>269</v>
      </c>
      <c r="C88" t="s">
        <v>302</v>
      </c>
    </row>
    <row r="89" spans="1:3" x14ac:dyDescent="0.25">
      <c r="A89" t="s">
        <v>303</v>
      </c>
      <c r="B89" t="s">
        <v>269</v>
      </c>
      <c r="C89" t="s">
        <v>304</v>
      </c>
    </row>
    <row r="90" spans="1:3" x14ac:dyDescent="0.25">
      <c r="A90" t="s">
        <v>305</v>
      </c>
      <c r="B90" t="s">
        <v>269</v>
      </c>
      <c r="C90" t="s">
        <v>306</v>
      </c>
    </row>
    <row r="91" spans="1:3" x14ac:dyDescent="0.25">
      <c r="A91" t="s">
        <v>307</v>
      </c>
      <c r="B91" t="s">
        <v>269</v>
      </c>
      <c r="C91" t="s">
        <v>308</v>
      </c>
    </row>
    <row r="92" spans="1:3" x14ac:dyDescent="0.25">
      <c r="A92" t="s">
        <v>309</v>
      </c>
      <c r="B92" t="s">
        <v>269</v>
      </c>
      <c r="C92" t="s">
        <v>310</v>
      </c>
    </row>
    <row r="93" spans="1:3" x14ac:dyDescent="0.25">
      <c r="A93" t="s">
        <v>311</v>
      </c>
      <c r="B93" t="s">
        <v>269</v>
      </c>
      <c r="C93" t="s">
        <v>312</v>
      </c>
    </row>
    <row r="94" spans="1:3" x14ac:dyDescent="0.25">
      <c r="A94" t="s">
        <v>313</v>
      </c>
      <c r="B94" t="s">
        <v>269</v>
      </c>
      <c r="C94" t="s">
        <v>314</v>
      </c>
    </row>
    <row r="95" spans="1:3" x14ac:dyDescent="0.25">
      <c r="A95" t="s">
        <v>315</v>
      </c>
      <c r="B95" t="s">
        <v>269</v>
      </c>
      <c r="C95" t="s">
        <v>316</v>
      </c>
    </row>
    <row r="96" spans="1:3" x14ac:dyDescent="0.25">
      <c r="A96" t="s">
        <v>317</v>
      </c>
      <c r="B96" t="s">
        <v>269</v>
      </c>
      <c r="C96" t="s">
        <v>318</v>
      </c>
    </row>
    <row r="97" spans="1:3" x14ac:dyDescent="0.25">
      <c r="A97" t="s">
        <v>319</v>
      </c>
      <c r="B97" t="s">
        <v>269</v>
      </c>
      <c r="C97" t="s">
        <v>320</v>
      </c>
    </row>
    <row r="98" spans="1:3" x14ac:dyDescent="0.25">
      <c r="A98" t="s">
        <v>321</v>
      </c>
      <c r="B98" t="s">
        <v>269</v>
      </c>
      <c r="C98" t="s">
        <v>322</v>
      </c>
    </row>
    <row r="99" spans="1:3" x14ac:dyDescent="0.25">
      <c r="A99" t="s">
        <v>323</v>
      </c>
      <c r="B99" t="s">
        <v>269</v>
      </c>
      <c r="C99" t="s">
        <v>324</v>
      </c>
    </row>
    <row r="100" spans="1:3" x14ac:dyDescent="0.25">
      <c r="A100" t="s">
        <v>325</v>
      </c>
      <c r="B100" t="s">
        <v>269</v>
      </c>
      <c r="C100" t="s">
        <v>326</v>
      </c>
    </row>
    <row r="101" spans="1:3" x14ac:dyDescent="0.25">
      <c r="A101" t="s">
        <v>328</v>
      </c>
      <c r="B101" t="s">
        <v>329</v>
      </c>
      <c r="C101" t="s">
        <v>330</v>
      </c>
    </row>
    <row r="102" spans="1:3" x14ac:dyDescent="0.25">
      <c r="A102" t="s">
        <v>331</v>
      </c>
      <c r="B102" t="s">
        <v>329</v>
      </c>
      <c r="C102" t="s">
        <v>332</v>
      </c>
    </row>
    <row r="103" spans="1:3" x14ac:dyDescent="0.25">
      <c r="A103" t="s">
        <v>333</v>
      </c>
      <c r="B103" t="s">
        <v>329</v>
      </c>
      <c r="C103" t="s">
        <v>334</v>
      </c>
    </row>
    <row r="104" spans="1:3" x14ac:dyDescent="0.25">
      <c r="A104" t="s">
        <v>335</v>
      </c>
      <c r="B104" t="s">
        <v>329</v>
      </c>
      <c r="C104" t="s">
        <v>336</v>
      </c>
    </row>
    <row r="105" spans="1:3" x14ac:dyDescent="0.25">
      <c r="A105" t="s">
        <v>337</v>
      </c>
      <c r="B105" t="s">
        <v>329</v>
      </c>
      <c r="C105" t="s">
        <v>338</v>
      </c>
    </row>
    <row r="106" spans="1:3" x14ac:dyDescent="0.25">
      <c r="A106" t="s">
        <v>339</v>
      </c>
      <c r="B106" t="s">
        <v>329</v>
      </c>
      <c r="C106" t="s">
        <v>340</v>
      </c>
    </row>
    <row r="107" spans="1:3" x14ac:dyDescent="0.25">
      <c r="A107" t="s">
        <v>341</v>
      </c>
      <c r="B107" t="s">
        <v>329</v>
      </c>
      <c r="C107" t="s">
        <v>342</v>
      </c>
    </row>
    <row r="108" spans="1:3" x14ac:dyDescent="0.25">
      <c r="A108" t="s">
        <v>343</v>
      </c>
      <c r="B108" t="s">
        <v>329</v>
      </c>
      <c r="C108" t="s">
        <v>344</v>
      </c>
    </row>
    <row r="109" spans="1:3" x14ac:dyDescent="0.25">
      <c r="A109" t="s">
        <v>345</v>
      </c>
      <c r="B109" t="s">
        <v>329</v>
      </c>
      <c r="C109" t="s">
        <v>346</v>
      </c>
    </row>
    <row r="110" spans="1:3" x14ac:dyDescent="0.25">
      <c r="A110" t="s">
        <v>347</v>
      </c>
      <c r="B110" t="s">
        <v>329</v>
      </c>
      <c r="C110" t="s">
        <v>348</v>
      </c>
    </row>
    <row r="111" spans="1:3" x14ac:dyDescent="0.25">
      <c r="A111" t="s">
        <v>349</v>
      </c>
      <c r="B111" t="s">
        <v>329</v>
      </c>
      <c r="C111" t="s">
        <v>350</v>
      </c>
    </row>
    <row r="112" spans="1:3" x14ac:dyDescent="0.25">
      <c r="A112" t="s">
        <v>351</v>
      </c>
      <c r="B112" t="s">
        <v>329</v>
      </c>
      <c r="C112" t="s">
        <v>352</v>
      </c>
    </row>
    <row r="113" spans="1:3" x14ac:dyDescent="0.25">
      <c r="A113" t="s">
        <v>353</v>
      </c>
      <c r="B113" t="s">
        <v>329</v>
      </c>
      <c r="C113" t="s">
        <v>354</v>
      </c>
    </row>
    <row r="114" spans="1:3" x14ac:dyDescent="0.25">
      <c r="A114" t="s">
        <v>355</v>
      </c>
      <c r="B114" t="s">
        <v>329</v>
      </c>
      <c r="C114" t="s">
        <v>356</v>
      </c>
    </row>
    <row r="115" spans="1:3" x14ac:dyDescent="0.25">
      <c r="A115" t="s">
        <v>357</v>
      </c>
      <c r="B115" t="s">
        <v>329</v>
      </c>
      <c r="C115" t="s">
        <v>358</v>
      </c>
    </row>
    <row r="116" spans="1:3" x14ac:dyDescent="0.25">
      <c r="A116" t="s">
        <v>132</v>
      </c>
      <c r="B116" t="s">
        <v>360</v>
      </c>
      <c r="C116" t="s">
        <v>361</v>
      </c>
    </row>
    <row r="117" spans="1:3" x14ac:dyDescent="0.25">
      <c r="A117" t="s">
        <v>362</v>
      </c>
      <c r="B117" t="s">
        <v>360</v>
      </c>
      <c r="C117" t="s">
        <v>363</v>
      </c>
    </row>
    <row r="118" spans="1:3" x14ac:dyDescent="0.25">
      <c r="A118" t="s">
        <v>364</v>
      </c>
      <c r="B118" t="s">
        <v>360</v>
      </c>
      <c r="C118" t="s">
        <v>365</v>
      </c>
    </row>
    <row r="119" spans="1:3" x14ac:dyDescent="0.25">
      <c r="A119" t="s">
        <v>366</v>
      </c>
      <c r="B119" t="s">
        <v>360</v>
      </c>
      <c r="C119" t="s">
        <v>367</v>
      </c>
    </row>
    <row r="120" spans="1:3" x14ac:dyDescent="0.25">
      <c r="A120" t="s">
        <v>368</v>
      </c>
      <c r="B120" t="s">
        <v>360</v>
      </c>
      <c r="C120" t="s">
        <v>369</v>
      </c>
    </row>
    <row r="121" spans="1:3" x14ac:dyDescent="0.25">
      <c r="A121" t="s">
        <v>370</v>
      </c>
      <c r="B121" t="s">
        <v>360</v>
      </c>
      <c r="C121" t="s">
        <v>371</v>
      </c>
    </row>
    <row r="122" spans="1:3" x14ac:dyDescent="0.25">
      <c r="A122" t="s">
        <v>147</v>
      </c>
      <c r="B122" t="s">
        <v>360</v>
      </c>
      <c r="C122" t="s">
        <v>372</v>
      </c>
    </row>
    <row r="123" spans="1:3" x14ac:dyDescent="0.25">
      <c r="A123" t="s">
        <v>373</v>
      </c>
      <c r="B123" t="s">
        <v>360</v>
      </c>
      <c r="C123" t="s">
        <v>374</v>
      </c>
    </row>
    <row r="124" spans="1:3" x14ac:dyDescent="0.25">
      <c r="A124" t="s">
        <v>375</v>
      </c>
      <c r="B124" t="s">
        <v>360</v>
      </c>
      <c r="C124" t="s">
        <v>376</v>
      </c>
    </row>
    <row r="125" spans="1:3" x14ac:dyDescent="0.25">
      <c r="A125" t="s">
        <v>377</v>
      </c>
      <c r="B125" t="s">
        <v>360</v>
      </c>
      <c r="C125" t="s">
        <v>378</v>
      </c>
    </row>
    <row r="126" spans="1:3" x14ac:dyDescent="0.25">
      <c r="A126" t="s">
        <v>159</v>
      </c>
      <c r="B126" t="s">
        <v>360</v>
      </c>
      <c r="C126" t="s">
        <v>379</v>
      </c>
    </row>
    <row r="127" spans="1:3" x14ac:dyDescent="0.25">
      <c r="A127" t="s">
        <v>161</v>
      </c>
      <c r="B127" t="s">
        <v>360</v>
      </c>
      <c r="C127" t="s">
        <v>380</v>
      </c>
    </row>
    <row r="128" spans="1:3" x14ac:dyDescent="0.25">
      <c r="A128" t="s">
        <v>381</v>
      </c>
      <c r="B128" t="s">
        <v>360</v>
      </c>
      <c r="C128" t="s">
        <v>382</v>
      </c>
    </row>
    <row r="129" spans="1:3" x14ac:dyDescent="0.25">
      <c r="A129" t="s">
        <v>383</v>
      </c>
      <c r="B129" t="s">
        <v>360</v>
      </c>
      <c r="C129" t="s">
        <v>384</v>
      </c>
    </row>
    <row r="130" spans="1:3" x14ac:dyDescent="0.25">
      <c r="A130" t="s">
        <v>385</v>
      </c>
      <c r="B130" t="s">
        <v>360</v>
      </c>
      <c r="C130" t="s">
        <v>386</v>
      </c>
    </row>
    <row r="131" spans="1:3" x14ac:dyDescent="0.25">
      <c r="A131" t="s">
        <v>387</v>
      </c>
      <c r="B131" t="s">
        <v>360</v>
      </c>
      <c r="C131" t="s">
        <v>388</v>
      </c>
    </row>
    <row r="132" spans="1:3" x14ac:dyDescent="0.25">
      <c r="A132" t="s">
        <v>389</v>
      </c>
      <c r="B132" t="s">
        <v>360</v>
      </c>
      <c r="C132" t="s">
        <v>390</v>
      </c>
    </row>
    <row r="133" spans="1:3" x14ac:dyDescent="0.25">
      <c r="A133" t="s">
        <v>391</v>
      </c>
      <c r="B133" t="s">
        <v>360</v>
      </c>
      <c r="C133" t="s">
        <v>392</v>
      </c>
    </row>
    <row r="134" spans="1:3" x14ac:dyDescent="0.25">
      <c r="A134" t="s">
        <v>393</v>
      </c>
      <c r="B134" t="s">
        <v>360</v>
      </c>
      <c r="C134" t="s">
        <v>394</v>
      </c>
    </row>
    <row r="135" spans="1:3" x14ac:dyDescent="0.25">
      <c r="A135" t="s">
        <v>179</v>
      </c>
      <c r="B135" t="s">
        <v>360</v>
      </c>
      <c r="C135" t="s">
        <v>395</v>
      </c>
    </row>
    <row r="136" spans="1:3" x14ac:dyDescent="0.25">
      <c r="A136" t="s">
        <v>396</v>
      </c>
      <c r="B136" t="s">
        <v>360</v>
      </c>
      <c r="C136" t="s">
        <v>397</v>
      </c>
    </row>
    <row r="137" spans="1:3" x14ac:dyDescent="0.25">
      <c r="A137" t="s">
        <v>398</v>
      </c>
      <c r="B137" t="s">
        <v>360</v>
      </c>
      <c r="C137" t="s">
        <v>399</v>
      </c>
    </row>
    <row r="138" spans="1:3" x14ac:dyDescent="0.25">
      <c r="A138" t="s">
        <v>400</v>
      </c>
      <c r="B138" t="s">
        <v>360</v>
      </c>
      <c r="C138" t="s">
        <v>401</v>
      </c>
    </row>
    <row r="139" spans="1:3" x14ac:dyDescent="0.25">
      <c r="A139" t="s">
        <v>191</v>
      </c>
      <c r="B139" t="s">
        <v>360</v>
      </c>
      <c r="C139" t="s">
        <v>402</v>
      </c>
    </row>
    <row r="140" spans="1:3" x14ac:dyDescent="0.25">
      <c r="A140" t="s">
        <v>403</v>
      </c>
      <c r="B140" t="s">
        <v>360</v>
      </c>
      <c r="C140" t="s">
        <v>404</v>
      </c>
    </row>
    <row r="141" spans="1:3" x14ac:dyDescent="0.25">
      <c r="A141" t="s">
        <v>405</v>
      </c>
      <c r="B141" t="s">
        <v>360</v>
      </c>
      <c r="C141" t="s">
        <v>406</v>
      </c>
    </row>
    <row r="142" spans="1:3" x14ac:dyDescent="0.25">
      <c r="A142" t="s">
        <v>407</v>
      </c>
      <c r="B142" t="s">
        <v>360</v>
      </c>
      <c r="C142" t="s">
        <v>408</v>
      </c>
    </row>
    <row r="143" spans="1:3" x14ac:dyDescent="0.25">
      <c r="A143" t="s">
        <v>195</v>
      </c>
      <c r="B143" t="s">
        <v>360</v>
      </c>
      <c r="C143" t="s">
        <v>409</v>
      </c>
    </row>
    <row r="144" spans="1:3" x14ac:dyDescent="0.25">
      <c r="A144" t="s">
        <v>410</v>
      </c>
      <c r="B144" t="s">
        <v>360</v>
      </c>
      <c r="C144" t="s">
        <v>411</v>
      </c>
    </row>
    <row r="145" spans="1:3" x14ac:dyDescent="0.25">
      <c r="A145" t="s">
        <v>412</v>
      </c>
      <c r="B145" t="s">
        <v>360</v>
      </c>
      <c r="C145" t="s">
        <v>413</v>
      </c>
    </row>
    <row r="146" spans="1:3" x14ac:dyDescent="0.25">
      <c r="A146" t="s">
        <v>414</v>
      </c>
      <c r="B146" t="s">
        <v>360</v>
      </c>
      <c r="C146" t="s">
        <v>415</v>
      </c>
    </row>
    <row r="147" spans="1:3" x14ac:dyDescent="0.25">
      <c r="A147" t="s">
        <v>416</v>
      </c>
      <c r="B147" t="s">
        <v>360</v>
      </c>
      <c r="C147" t="s">
        <v>417</v>
      </c>
    </row>
    <row r="148" spans="1:3" x14ac:dyDescent="0.25">
      <c r="A148" t="s">
        <v>418</v>
      </c>
      <c r="B148" t="s">
        <v>360</v>
      </c>
      <c r="C148" t="s">
        <v>419</v>
      </c>
    </row>
    <row r="149" spans="1:3" x14ac:dyDescent="0.25">
      <c r="A149" t="s">
        <v>203</v>
      </c>
      <c r="B149" t="s">
        <v>360</v>
      </c>
      <c r="C149" t="s">
        <v>420</v>
      </c>
    </row>
    <row r="150" spans="1:3" x14ac:dyDescent="0.25">
      <c r="A150" t="s">
        <v>205</v>
      </c>
      <c r="B150" t="s">
        <v>360</v>
      </c>
      <c r="C150" t="s">
        <v>421</v>
      </c>
    </row>
    <row r="151" spans="1:3" x14ac:dyDescent="0.25">
      <c r="A151" t="s">
        <v>422</v>
      </c>
      <c r="B151" t="s">
        <v>360</v>
      </c>
      <c r="C151" t="s">
        <v>423</v>
      </c>
    </row>
    <row r="152" spans="1:3" x14ac:dyDescent="0.25">
      <c r="A152" t="s">
        <v>424</v>
      </c>
      <c r="B152" t="s">
        <v>360</v>
      </c>
      <c r="C152" t="s">
        <v>425</v>
      </c>
    </row>
    <row r="153" spans="1:3" x14ac:dyDescent="0.25">
      <c r="A153" t="s">
        <v>211</v>
      </c>
      <c r="B153" t="s">
        <v>360</v>
      </c>
      <c r="C153" t="s">
        <v>426</v>
      </c>
    </row>
    <row r="154" spans="1:3" x14ac:dyDescent="0.25">
      <c r="A154" t="s">
        <v>213</v>
      </c>
      <c r="B154" t="s">
        <v>360</v>
      </c>
      <c r="C154" t="s">
        <v>427</v>
      </c>
    </row>
    <row r="155" spans="1:3" x14ac:dyDescent="0.25">
      <c r="A155" t="s">
        <v>428</v>
      </c>
      <c r="B155" t="s">
        <v>360</v>
      </c>
      <c r="C155" t="s">
        <v>429</v>
      </c>
    </row>
    <row r="156" spans="1:3" x14ac:dyDescent="0.25">
      <c r="A156" t="s">
        <v>430</v>
      </c>
      <c r="B156" t="s">
        <v>360</v>
      </c>
      <c r="C156" t="s">
        <v>431</v>
      </c>
    </row>
    <row r="157" spans="1:3" x14ac:dyDescent="0.25">
      <c r="A157" t="s">
        <v>432</v>
      </c>
      <c r="B157" t="s">
        <v>360</v>
      </c>
      <c r="C157" t="s">
        <v>433</v>
      </c>
    </row>
    <row r="158" spans="1:3" x14ac:dyDescent="0.25">
      <c r="A158" t="s">
        <v>434</v>
      </c>
      <c r="B158" t="s">
        <v>360</v>
      </c>
      <c r="C158" t="s">
        <v>435</v>
      </c>
    </row>
    <row r="159" spans="1:3" x14ac:dyDescent="0.25">
      <c r="A159" t="s">
        <v>221</v>
      </c>
      <c r="B159" t="s">
        <v>360</v>
      </c>
      <c r="C159" t="s">
        <v>436</v>
      </c>
    </row>
    <row r="160" spans="1:3" x14ac:dyDescent="0.25">
      <c r="A160" t="s">
        <v>225</v>
      </c>
      <c r="B160" t="s">
        <v>360</v>
      </c>
      <c r="C160" t="s">
        <v>437</v>
      </c>
    </row>
    <row r="161" spans="1:3" x14ac:dyDescent="0.25">
      <c r="A161" t="s">
        <v>438</v>
      </c>
      <c r="B161" t="s">
        <v>360</v>
      </c>
      <c r="C161" t="s">
        <v>439</v>
      </c>
    </row>
    <row r="162" spans="1:3" x14ac:dyDescent="0.25">
      <c r="A162" t="s">
        <v>440</v>
      </c>
      <c r="B162" t="s">
        <v>360</v>
      </c>
      <c r="C162" t="s">
        <v>441</v>
      </c>
    </row>
    <row r="163" spans="1:3" x14ac:dyDescent="0.25">
      <c r="A163" t="s">
        <v>231</v>
      </c>
      <c r="B163" t="s">
        <v>360</v>
      </c>
      <c r="C163" t="s">
        <v>442</v>
      </c>
    </row>
    <row r="164" spans="1:3" x14ac:dyDescent="0.25">
      <c r="A164" t="s">
        <v>233</v>
      </c>
      <c r="B164" t="s">
        <v>360</v>
      </c>
      <c r="C164" t="s">
        <v>443</v>
      </c>
    </row>
    <row r="165" spans="1:3" x14ac:dyDescent="0.25">
      <c r="A165" t="s">
        <v>444</v>
      </c>
      <c r="B165" t="s">
        <v>360</v>
      </c>
      <c r="C165" t="s">
        <v>445</v>
      </c>
    </row>
    <row r="166" spans="1:3" x14ac:dyDescent="0.25">
      <c r="A166" t="s">
        <v>446</v>
      </c>
      <c r="B166" t="s">
        <v>360</v>
      </c>
      <c r="C166" t="s">
        <v>447</v>
      </c>
    </row>
    <row r="167" spans="1:3" x14ac:dyDescent="0.25">
      <c r="A167" t="s">
        <v>448</v>
      </c>
      <c r="B167" t="s">
        <v>360</v>
      </c>
      <c r="C167" t="s">
        <v>449</v>
      </c>
    </row>
    <row r="168" spans="1:3" x14ac:dyDescent="0.25">
      <c r="A168" t="s">
        <v>237</v>
      </c>
      <c r="B168" t="s">
        <v>360</v>
      </c>
      <c r="C168" t="s">
        <v>450</v>
      </c>
    </row>
    <row r="169" spans="1:3" x14ac:dyDescent="0.25">
      <c r="A169" t="s">
        <v>451</v>
      </c>
      <c r="B169" t="s">
        <v>360</v>
      </c>
      <c r="C169" t="s">
        <v>452</v>
      </c>
    </row>
    <row r="170" spans="1:3" x14ac:dyDescent="0.25">
      <c r="A170" t="s">
        <v>241</v>
      </c>
      <c r="B170" t="s">
        <v>360</v>
      </c>
      <c r="C170" t="s">
        <v>453</v>
      </c>
    </row>
    <row r="171" spans="1:3" x14ac:dyDescent="0.25">
      <c r="A171" t="s">
        <v>454</v>
      </c>
      <c r="B171" t="s">
        <v>360</v>
      </c>
      <c r="C171" t="s">
        <v>455</v>
      </c>
    </row>
    <row r="172" spans="1:3" x14ac:dyDescent="0.25">
      <c r="A172" t="s">
        <v>456</v>
      </c>
      <c r="B172" t="s">
        <v>360</v>
      </c>
      <c r="C172" t="s">
        <v>457</v>
      </c>
    </row>
    <row r="173" spans="1:3" x14ac:dyDescent="0.25">
      <c r="A173" t="s">
        <v>458</v>
      </c>
      <c r="B173" t="s">
        <v>360</v>
      </c>
      <c r="C173" t="s">
        <v>459</v>
      </c>
    </row>
    <row r="174" spans="1:3" x14ac:dyDescent="0.25">
      <c r="A174" t="s">
        <v>460</v>
      </c>
      <c r="B174" t="s">
        <v>360</v>
      </c>
      <c r="C174" t="s">
        <v>461</v>
      </c>
    </row>
    <row r="175" spans="1:3" x14ac:dyDescent="0.25">
      <c r="A175" t="s">
        <v>462</v>
      </c>
      <c r="B175" t="s">
        <v>360</v>
      </c>
      <c r="C175" t="s">
        <v>463</v>
      </c>
    </row>
    <row r="176" spans="1:3" x14ac:dyDescent="0.25">
      <c r="A176" t="s">
        <v>243</v>
      </c>
      <c r="B176" t="s">
        <v>360</v>
      </c>
      <c r="C176" t="s">
        <v>464</v>
      </c>
    </row>
    <row r="177" spans="1:3" x14ac:dyDescent="0.25">
      <c r="A177" t="s">
        <v>465</v>
      </c>
      <c r="B177" t="s">
        <v>360</v>
      </c>
      <c r="C177" t="s">
        <v>466</v>
      </c>
    </row>
    <row r="178" spans="1:3" x14ac:dyDescent="0.25">
      <c r="A178" t="s">
        <v>467</v>
      </c>
      <c r="B178" t="s">
        <v>360</v>
      </c>
      <c r="C178" t="s">
        <v>468</v>
      </c>
    </row>
    <row r="179" spans="1:3" x14ac:dyDescent="0.25">
      <c r="A179" t="s">
        <v>469</v>
      </c>
      <c r="B179" t="s">
        <v>360</v>
      </c>
      <c r="C179" t="s">
        <v>470</v>
      </c>
    </row>
    <row r="180" spans="1:3" x14ac:dyDescent="0.25">
      <c r="A180" t="s">
        <v>471</v>
      </c>
      <c r="B180" t="s">
        <v>360</v>
      </c>
      <c r="C180" t="s">
        <v>472</v>
      </c>
    </row>
    <row r="181" spans="1:3" x14ac:dyDescent="0.25">
      <c r="A181" t="s">
        <v>473</v>
      </c>
      <c r="B181" t="s">
        <v>360</v>
      </c>
      <c r="C181" t="s">
        <v>474</v>
      </c>
    </row>
    <row r="182" spans="1:3" x14ac:dyDescent="0.25">
      <c r="A182" t="s">
        <v>475</v>
      </c>
      <c r="B182" t="s">
        <v>360</v>
      </c>
      <c r="C182" t="s">
        <v>476</v>
      </c>
    </row>
    <row r="183" spans="1:3" x14ac:dyDescent="0.25">
      <c r="A183" t="s">
        <v>477</v>
      </c>
      <c r="B183" t="s">
        <v>360</v>
      </c>
      <c r="C183" t="s">
        <v>478</v>
      </c>
    </row>
    <row r="184" spans="1:3" x14ac:dyDescent="0.25">
      <c r="A184" t="s">
        <v>479</v>
      </c>
      <c r="B184" t="s">
        <v>360</v>
      </c>
      <c r="C184" t="s">
        <v>480</v>
      </c>
    </row>
    <row r="185" spans="1:3" x14ac:dyDescent="0.25">
      <c r="A185" t="s">
        <v>481</v>
      </c>
      <c r="B185" t="s">
        <v>360</v>
      </c>
      <c r="C185" t="s">
        <v>482</v>
      </c>
    </row>
    <row r="186" spans="1:3" x14ac:dyDescent="0.25">
      <c r="A186" t="s">
        <v>483</v>
      </c>
      <c r="B186" t="s">
        <v>360</v>
      </c>
      <c r="C186" t="s">
        <v>484</v>
      </c>
    </row>
    <row r="187" spans="1:3" x14ac:dyDescent="0.25">
      <c r="A187" t="s">
        <v>261</v>
      </c>
      <c r="B187" t="s">
        <v>360</v>
      </c>
      <c r="C187" t="s">
        <v>485</v>
      </c>
    </row>
    <row r="188" spans="1:3" x14ac:dyDescent="0.25">
      <c r="A188" t="s">
        <v>486</v>
      </c>
      <c r="B188" t="s">
        <v>360</v>
      </c>
      <c r="C188" t="s">
        <v>487</v>
      </c>
    </row>
    <row r="189" spans="1:3" x14ac:dyDescent="0.25">
      <c r="A189" t="s">
        <v>488</v>
      </c>
      <c r="B189" t="s">
        <v>360</v>
      </c>
      <c r="C189" t="s">
        <v>489</v>
      </c>
    </row>
    <row r="190" spans="1:3" x14ac:dyDescent="0.25">
      <c r="A190" t="s">
        <v>490</v>
      </c>
      <c r="B190" t="s">
        <v>360</v>
      </c>
      <c r="C190" t="s">
        <v>491</v>
      </c>
    </row>
    <row r="191" spans="1:3" x14ac:dyDescent="0.25">
      <c r="A191" t="s">
        <v>493</v>
      </c>
      <c r="B191" t="s">
        <v>494</v>
      </c>
      <c r="C191" t="s">
        <v>495</v>
      </c>
    </row>
    <row r="192" spans="1:3" x14ac:dyDescent="0.25">
      <c r="A192" t="s">
        <v>496</v>
      </c>
      <c r="B192" t="s">
        <v>494</v>
      </c>
      <c r="C192" t="s">
        <v>497</v>
      </c>
    </row>
    <row r="193" spans="1:3" x14ac:dyDescent="0.25">
      <c r="A193" t="s">
        <v>498</v>
      </c>
      <c r="B193" t="s">
        <v>494</v>
      </c>
      <c r="C193" t="s">
        <v>499</v>
      </c>
    </row>
    <row r="194" spans="1:3" x14ac:dyDescent="0.25">
      <c r="A194" t="s">
        <v>500</v>
      </c>
      <c r="B194" t="s">
        <v>494</v>
      </c>
      <c r="C194" t="s">
        <v>501</v>
      </c>
    </row>
    <row r="195" spans="1:3" x14ac:dyDescent="0.25">
      <c r="A195" t="s">
        <v>502</v>
      </c>
      <c r="B195" t="s">
        <v>494</v>
      </c>
      <c r="C195" t="s">
        <v>503</v>
      </c>
    </row>
    <row r="196" spans="1:3" x14ac:dyDescent="0.25">
      <c r="A196" t="s">
        <v>504</v>
      </c>
      <c r="B196" t="s">
        <v>494</v>
      </c>
      <c r="C196" t="s">
        <v>505</v>
      </c>
    </row>
    <row r="197" spans="1:3" x14ac:dyDescent="0.25">
      <c r="A197" t="s">
        <v>506</v>
      </c>
      <c r="B197" t="s">
        <v>494</v>
      </c>
      <c r="C197" t="s">
        <v>507</v>
      </c>
    </row>
    <row r="198" spans="1:3" x14ac:dyDescent="0.25">
      <c r="A198" t="s">
        <v>508</v>
      </c>
      <c r="B198" t="s">
        <v>494</v>
      </c>
      <c r="C198" t="s">
        <v>509</v>
      </c>
    </row>
    <row r="199" spans="1:3" x14ac:dyDescent="0.25">
      <c r="A199" t="s">
        <v>510</v>
      </c>
      <c r="B199" t="s">
        <v>494</v>
      </c>
      <c r="C199" t="s">
        <v>511</v>
      </c>
    </row>
    <row r="200" spans="1:3" x14ac:dyDescent="0.25">
      <c r="A200" t="s">
        <v>512</v>
      </c>
      <c r="B200" t="s">
        <v>494</v>
      </c>
      <c r="C200" t="s">
        <v>513</v>
      </c>
    </row>
    <row r="201" spans="1:3" x14ac:dyDescent="0.25">
      <c r="A201" t="s">
        <v>514</v>
      </c>
      <c r="B201" t="s">
        <v>494</v>
      </c>
      <c r="C201" t="s">
        <v>515</v>
      </c>
    </row>
    <row r="202" spans="1:3" x14ac:dyDescent="0.25">
      <c r="A202" t="s">
        <v>516</v>
      </c>
      <c r="B202" t="s">
        <v>494</v>
      </c>
      <c r="C202" t="s">
        <v>517</v>
      </c>
    </row>
    <row r="203" spans="1:3" x14ac:dyDescent="0.25">
      <c r="A203" t="s">
        <v>518</v>
      </c>
      <c r="B203" t="s">
        <v>494</v>
      </c>
      <c r="C203" t="s">
        <v>519</v>
      </c>
    </row>
    <row r="204" spans="1:3" x14ac:dyDescent="0.25">
      <c r="A204" t="s">
        <v>520</v>
      </c>
      <c r="B204" t="s">
        <v>494</v>
      </c>
      <c r="C204" t="s">
        <v>521</v>
      </c>
    </row>
    <row r="205" spans="1:3" x14ac:dyDescent="0.25">
      <c r="A205" t="s">
        <v>522</v>
      </c>
      <c r="B205" t="s">
        <v>494</v>
      </c>
      <c r="C205" t="s">
        <v>523</v>
      </c>
    </row>
    <row r="206" spans="1:3" x14ac:dyDescent="0.25">
      <c r="A206" t="s">
        <v>524</v>
      </c>
      <c r="B206" t="s">
        <v>494</v>
      </c>
      <c r="C206" t="s">
        <v>525</v>
      </c>
    </row>
    <row r="207" spans="1:3" x14ac:dyDescent="0.25">
      <c r="A207" t="s">
        <v>526</v>
      </c>
      <c r="B207" t="s">
        <v>494</v>
      </c>
      <c r="C207" t="s">
        <v>527</v>
      </c>
    </row>
    <row r="208" spans="1:3" x14ac:dyDescent="0.25">
      <c r="A208" t="s">
        <v>528</v>
      </c>
      <c r="B208" t="s">
        <v>494</v>
      </c>
      <c r="C208" t="s">
        <v>529</v>
      </c>
    </row>
    <row r="209" spans="1:3" x14ac:dyDescent="0.25">
      <c r="A209" t="s">
        <v>530</v>
      </c>
      <c r="B209" t="s">
        <v>494</v>
      </c>
      <c r="C209" t="s">
        <v>531</v>
      </c>
    </row>
    <row r="210" spans="1:3" x14ac:dyDescent="0.25">
      <c r="A210" t="s">
        <v>532</v>
      </c>
      <c r="B210" t="s">
        <v>494</v>
      </c>
      <c r="C210" t="s">
        <v>533</v>
      </c>
    </row>
    <row r="211" spans="1:3" x14ac:dyDescent="0.25">
      <c r="A211" t="s">
        <v>534</v>
      </c>
      <c r="B211" t="s">
        <v>494</v>
      </c>
      <c r="C211" t="s">
        <v>535</v>
      </c>
    </row>
    <row r="212" spans="1:3" x14ac:dyDescent="0.25">
      <c r="A212" t="s">
        <v>536</v>
      </c>
      <c r="B212" t="s">
        <v>494</v>
      </c>
      <c r="C212" t="s">
        <v>537</v>
      </c>
    </row>
    <row r="213" spans="1:3" x14ac:dyDescent="0.25">
      <c r="A213" t="s">
        <v>538</v>
      </c>
      <c r="B213" t="s">
        <v>494</v>
      </c>
      <c r="C213" t="s">
        <v>539</v>
      </c>
    </row>
    <row r="214" spans="1:3" x14ac:dyDescent="0.25">
      <c r="A214" t="s">
        <v>540</v>
      </c>
      <c r="B214" t="s">
        <v>494</v>
      </c>
      <c r="C214" t="s">
        <v>541</v>
      </c>
    </row>
    <row r="215" spans="1:3" x14ac:dyDescent="0.25">
      <c r="A215" t="s">
        <v>542</v>
      </c>
      <c r="B215" t="s">
        <v>494</v>
      </c>
      <c r="C215" t="s">
        <v>543</v>
      </c>
    </row>
    <row r="216" spans="1:3" x14ac:dyDescent="0.25">
      <c r="A216" t="s">
        <v>544</v>
      </c>
      <c r="B216" t="s">
        <v>494</v>
      </c>
      <c r="C216" t="s">
        <v>545</v>
      </c>
    </row>
    <row r="217" spans="1:3" x14ac:dyDescent="0.25">
      <c r="A217" t="s">
        <v>546</v>
      </c>
      <c r="B217" t="s">
        <v>494</v>
      </c>
      <c r="C217" t="s">
        <v>547</v>
      </c>
    </row>
    <row r="218" spans="1:3" x14ac:dyDescent="0.25">
      <c r="A218" t="s">
        <v>548</v>
      </c>
      <c r="B218" t="s">
        <v>494</v>
      </c>
      <c r="C218" t="s">
        <v>549</v>
      </c>
    </row>
    <row r="219" spans="1:3" x14ac:dyDescent="0.25">
      <c r="A219" t="s">
        <v>444</v>
      </c>
      <c r="B219" t="s">
        <v>494</v>
      </c>
      <c r="C219" t="s">
        <v>550</v>
      </c>
    </row>
    <row r="220" spans="1:3" x14ac:dyDescent="0.25">
      <c r="A220" t="s">
        <v>551</v>
      </c>
      <c r="B220" t="s">
        <v>494</v>
      </c>
      <c r="C220" t="s">
        <v>552</v>
      </c>
    </row>
    <row r="221" spans="1:3" x14ac:dyDescent="0.25">
      <c r="A221" t="s">
        <v>553</v>
      </c>
      <c r="B221" t="s">
        <v>494</v>
      </c>
      <c r="C221" t="s">
        <v>554</v>
      </c>
    </row>
    <row r="222" spans="1:3" x14ac:dyDescent="0.25">
      <c r="A222" t="s">
        <v>555</v>
      </c>
      <c r="B222" t="s">
        <v>494</v>
      </c>
      <c r="C222" t="s">
        <v>556</v>
      </c>
    </row>
    <row r="223" spans="1:3" x14ac:dyDescent="0.25">
      <c r="A223" t="s">
        <v>557</v>
      </c>
      <c r="B223" t="s">
        <v>494</v>
      </c>
      <c r="C223" t="s">
        <v>558</v>
      </c>
    </row>
    <row r="224" spans="1:3" x14ac:dyDescent="0.25">
      <c r="A224" t="s">
        <v>559</v>
      </c>
      <c r="B224" t="s">
        <v>494</v>
      </c>
      <c r="C224" t="s">
        <v>560</v>
      </c>
    </row>
    <row r="225" spans="1:3" x14ac:dyDescent="0.25">
      <c r="A225" t="s">
        <v>561</v>
      </c>
      <c r="B225" t="s">
        <v>494</v>
      </c>
      <c r="C225" t="s">
        <v>562</v>
      </c>
    </row>
    <row r="226" spans="1:3" x14ac:dyDescent="0.25">
      <c r="A226" t="s">
        <v>563</v>
      </c>
      <c r="B226" t="s">
        <v>494</v>
      </c>
      <c r="C226" t="s">
        <v>564</v>
      </c>
    </row>
    <row r="227" spans="1:3" x14ac:dyDescent="0.25">
      <c r="A227" t="s">
        <v>565</v>
      </c>
      <c r="B227" t="s">
        <v>494</v>
      </c>
      <c r="C227" t="s">
        <v>566</v>
      </c>
    </row>
    <row r="228" spans="1:3" x14ac:dyDescent="0.25">
      <c r="A228" t="s">
        <v>567</v>
      </c>
      <c r="B228" t="s">
        <v>494</v>
      </c>
      <c r="C228" t="s">
        <v>568</v>
      </c>
    </row>
    <row r="229" spans="1:3" x14ac:dyDescent="0.25">
      <c r="A229" t="s">
        <v>569</v>
      </c>
      <c r="B229" t="s">
        <v>494</v>
      </c>
      <c r="C229" t="s">
        <v>570</v>
      </c>
    </row>
    <row r="230" spans="1:3" x14ac:dyDescent="0.25">
      <c r="A230" t="s">
        <v>571</v>
      </c>
      <c r="B230" t="s">
        <v>494</v>
      </c>
      <c r="C230" t="s">
        <v>572</v>
      </c>
    </row>
    <row r="231" spans="1:3" x14ac:dyDescent="0.25">
      <c r="A231" t="s">
        <v>573</v>
      </c>
      <c r="B231" t="s">
        <v>494</v>
      </c>
      <c r="C231" t="s">
        <v>574</v>
      </c>
    </row>
    <row r="232" spans="1:3" x14ac:dyDescent="0.25">
      <c r="A232" t="s">
        <v>575</v>
      </c>
      <c r="B232" t="s">
        <v>494</v>
      </c>
      <c r="C232" t="s">
        <v>576</v>
      </c>
    </row>
    <row r="233" spans="1:3" x14ac:dyDescent="0.25">
      <c r="A233" t="s">
        <v>577</v>
      </c>
      <c r="B233" t="s">
        <v>494</v>
      </c>
      <c r="C233" t="s">
        <v>578</v>
      </c>
    </row>
    <row r="234" spans="1:3" x14ac:dyDescent="0.25">
      <c r="A234" t="s">
        <v>353</v>
      </c>
      <c r="B234" t="s">
        <v>494</v>
      </c>
      <c r="C234" t="s">
        <v>579</v>
      </c>
    </row>
    <row r="235" spans="1:3" x14ac:dyDescent="0.25">
      <c r="A235" t="s">
        <v>580</v>
      </c>
      <c r="B235" t="s">
        <v>494</v>
      </c>
      <c r="C235" t="s">
        <v>581</v>
      </c>
    </row>
    <row r="236" spans="1:3" x14ac:dyDescent="0.25">
      <c r="A236" t="s">
        <v>582</v>
      </c>
      <c r="B236" t="s">
        <v>494</v>
      </c>
      <c r="C236" t="s">
        <v>583</v>
      </c>
    </row>
    <row r="237" spans="1:3" x14ac:dyDescent="0.25">
      <c r="A237" t="s">
        <v>584</v>
      </c>
      <c r="B237" t="s">
        <v>494</v>
      </c>
      <c r="C237" t="s">
        <v>585</v>
      </c>
    </row>
    <row r="238" spans="1:3" x14ac:dyDescent="0.25">
      <c r="A238" t="s">
        <v>586</v>
      </c>
      <c r="B238" t="s">
        <v>494</v>
      </c>
      <c r="C238" t="s">
        <v>587</v>
      </c>
    </row>
    <row r="239" spans="1:3" x14ac:dyDescent="0.25">
      <c r="A239" t="s">
        <v>588</v>
      </c>
      <c r="B239" t="s">
        <v>494</v>
      </c>
      <c r="C239" t="s">
        <v>589</v>
      </c>
    </row>
    <row r="240" spans="1:3" x14ac:dyDescent="0.25">
      <c r="A240" t="s">
        <v>590</v>
      </c>
      <c r="B240" t="s">
        <v>494</v>
      </c>
      <c r="C240" t="s">
        <v>591</v>
      </c>
    </row>
    <row r="241" spans="1:3" x14ac:dyDescent="0.25">
      <c r="A241" t="s">
        <v>592</v>
      </c>
      <c r="B241" t="s">
        <v>494</v>
      </c>
      <c r="C241" t="s">
        <v>593</v>
      </c>
    </row>
    <row r="242" spans="1:3" x14ac:dyDescent="0.25">
      <c r="A242" t="s">
        <v>594</v>
      </c>
      <c r="B242" t="s">
        <v>494</v>
      </c>
      <c r="C242" t="s">
        <v>595</v>
      </c>
    </row>
    <row r="243" spans="1:3" x14ac:dyDescent="0.25">
      <c r="A243" t="s">
        <v>596</v>
      </c>
      <c r="B243" t="s">
        <v>494</v>
      </c>
      <c r="C243" t="s">
        <v>597</v>
      </c>
    </row>
    <row r="244" spans="1:3" x14ac:dyDescent="0.25">
      <c r="A244" t="s">
        <v>598</v>
      </c>
      <c r="B244" t="s">
        <v>494</v>
      </c>
      <c r="C244" t="s">
        <v>599</v>
      </c>
    </row>
    <row r="245" spans="1:3" x14ac:dyDescent="0.25">
      <c r="A245" t="s">
        <v>600</v>
      </c>
      <c r="B245" t="s">
        <v>494</v>
      </c>
      <c r="C245" t="s">
        <v>601</v>
      </c>
    </row>
    <row r="246" spans="1:3" x14ac:dyDescent="0.25">
      <c r="A246" t="s">
        <v>602</v>
      </c>
      <c r="B246" t="s">
        <v>494</v>
      </c>
      <c r="C246" t="s">
        <v>603</v>
      </c>
    </row>
    <row r="247" spans="1:3" x14ac:dyDescent="0.25">
      <c r="A247" t="s">
        <v>604</v>
      </c>
      <c r="B247" t="s">
        <v>494</v>
      </c>
      <c r="C247" t="s">
        <v>605</v>
      </c>
    </row>
    <row r="248" spans="1:3" x14ac:dyDescent="0.25">
      <c r="A248" t="s">
        <v>606</v>
      </c>
      <c r="B248" t="s">
        <v>494</v>
      </c>
      <c r="C248" t="s">
        <v>607</v>
      </c>
    </row>
    <row r="249" spans="1:3" x14ac:dyDescent="0.25">
      <c r="A249" t="s">
        <v>609</v>
      </c>
      <c r="B249" t="s">
        <v>610</v>
      </c>
      <c r="C249" t="s">
        <v>611</v>
      </c>
    </row>
    <row r="250" spans="1:3" x14ac:dyDescent="0.25">
      <c r="A250" t="s">
        <v>612</v>
      </c>
      <c r="B250" t="s">
        <v>610</v>
      </c>
      <c r="C250" t="s">
        <v>613</v>
      </c>
    </row>
    <row r="251" spans="1:3" x14ac:dyDescent="0.25">
      <c r="A251" t="s">
        <v>614</v>
      </c>
      <c r="B251" t="s">
        <v>610</v>
      </c>
      <c r="C251" t="s">
        <v>615</v>
      </c>
    </row>
    <row r="252" spans="1:3" x14ac:dyDescent="0.25">
      <c r="A252" t="s">
        <v>616</v>
      </c>
      <c r="B252" t="s">
        <v>610</v>
      </c>
      <c r="C252" t="s">
        <v>617</v>
      </c>
    </row>
    <row r="253" spans="1:3" x14ac:dyDescent="0.25">
      <c r="A253" t="s">
        <v>618</v>
      </c>
      <c r="B253" t="s">
        <v>610</v>
      </c>
      <c r="C253" t="s">
        <v>619</v>
      </c>
    </row>
    <row r="254" spans="1:3" x14ac:dyDescent="0.25">
      <c r="A254" t="s">
        <v>620</v>
      </c>
      <c r="B254" t="s">
        <v>610</v>
      </c>
      <c r="C254" t="s">
        <v>621</v>
      </c>
    </row>
    <row r="255" spans="1:3" x14ac:dyDescent="0.25">
      <c r="A255" t="s">
        <v>622</v>
      </c>
      <c r="B255" t="s">
        <v>610</v>
      </c>
      <c r="C255" t="s">
        <v>623</v>
      </c>
    </row>
    <row r="256" spans="1:3" x14ac:dyDescent="0.25">
      <c r="A256" t="s">
        <v>624</v>
      </c>
      <c r="B256" t="s">
        <v>610</v>
      </c>
      <c r="C256" t="s">
        <v>625</v>
      </c>
    </row>
    <row r="257" spans="1:3" x14ac:dyDescent="0.25">
      <c r="A257" t="s">
        <v>626</v>
      </c>
      <c r="B257" t="s">
        <v>610</v>
      </c>
      <c r="C257" t="s">
        <v>627</v>
      </c>
    </row>
    <row r="258" spans="1:3" x14ac:dyDescent="0.25">
      <c r="A258" t="s">
        <v>628</v>
      </c>
      <c r="B258" t="s">
        <v>610</v>
      </c>
      <c r="C258" t="s">
        <v>629</v>
      </c>
    </row>
    <row r="259" spans="1:3" x14ac:dyDescent="0.25">
      <c r="A259" t="s">
        <v>630</v>
      </c>
      <c r="B259" t="s">
        <v>610</v>
      </c>
      <c r="C259" t="s">
        <v>631</v>
      </c>
    </row>
    <row r="260" spans="1:3" x14ac:dyDescent="0.25">
      <c r="A260" t="s">
        <v>632</v>
      </c>
      <c r="B260" t="s">
        <v>610</v>
      </c>
      <c r="C260" t="s">
        <v>633</v>
      </c>
    </row>
    <row r="261" spans="1:3" x14ac:dyDescent="0.25">
      <c r="A261" t="s">
        <v>634</v>
      </c>
      <c r="B261" t="s">
        <v>610</v>
      </c>
      <c r="C261" t="s">
        <v>635</v>
      </c>
    </row>
    <row r="262" spans="1:3" x14ac:dyDescent="0.25">
      <c r="A262" t="s">
        <v>636</v>
      </c>
      <c r="B262" t="s">
        <v>610</v>
      </c>
      <c r="C262" t="s">
        <v>637</v>
      </c>
    </row>
    <row r="263" spans="1:3" x14ac:dyDescent="0.25">
      <c r="A263" t="s">
        <v>638</v>
      </c>
      <c r="B263" t="s">
        <v>610</v>
      </c>
      <c r="C263" t="s">
        <v>639</v>
      </c>
    </row>
    <row r="264" spans="1:3" x14ac:dyDescent="0.25">
      <c r="A264" t="s">
        <v>640</v>
      </c>
      <c r="B264" t="s">
        <v>610</v>
      </c>
      <c r="C264" t="s">
        <v>641</v>
      </c>
    </row>
    <row r="265" spans="1:3" x14ac:dyDescent="0.25">
      <c r="A265" t="s">
        <v>642</v>
      </c>
      <c r="B265" t="s">
        <v>610</v>
      </c>
      <c r="C265" t="s">
        <v>643</v>
      </c>
    </row>
    <row r="266" spans="1:3" x14ac:dyDescent="0.25">
      <c r="A266" t="s">
        <v>644</v>
      </c>
      <c r="B266" t="s">
        <v>610</v>
      </c>
      <c r="C266" t="s">
        <v>645</v>
      </c>
    </row>
    <row r="267" spans="1:3" x14ac:dyDescent="0.25">
      <c r="A267" t="s">
        <v>646</v>
      </c>
      <c r="B267" t="s">
        <v>610</v>
      </c>
      <c r="C267" t="s">
        <v>647</v>
      </c>
    </row>
    <row r="268" spans="1:3" x14ac:dyDescent="0.25">
      <c r="A268" t="s">
        <v>648</v>
      </c>
      <c r="B268" t="s">
        <v>610</v>
      </c>
      <c r="C268" t="s">
        <v>649</v>
      </c>
    </row>
    <row r="269" spans="1:3" x14ac:dyDescent="0.25">
      <c r="A269" t="s">
        <v>650</v>
      </c>
      <c r="B269" t="s">
        <v>610</v>
      </c>
      <c r="C269" t="s">
        <v>651</v>
      </c>
    </row>
    <row r="270" spans="1:3" x14ac:dyDescent="0.25">
      <c r="A270" t="s">
        <v>652</v>
      </c>
      <c r="B270" t="s">
        <v>610</v>
      </c>
      <c r="C270" t="s">
        <v>653</v>
      </c>
    </row>
    <row r="271" spans="1:3" x14ac:dyDescent="0.25">
      <c r="A271" t="s">
        <v>654</v>
      </c>
      <c r="B271" t="s">
        <v>610</v>
      </c>
      <c r="C271" t="s">
        <v>655</v>
      </c>
    </row>
    <row r="272" spans="1:3" x14ac:dyDescent="0.25">
      <c r="A272" t="s">
        <v>656</v>
      </c>
      <c r="B272" t="s">
        <v>610</v>
      </c>
      <c r="C272" t="s">
        <v>657</v>
      </c>
    </row>
    <row r="273" spans="1:3" x14ac:dyDescent="0.25">
      <c r="A273" t="s">
        <v>658</v>
      </c>
      <c r="B273" t="s">
        <v>610</v>
      </c>
      <c r="C273" t="s">
        <v>659</v>
      </c>
    </row>
    <row r="274" spans="1:3" x14ac:dyDescent="0.25">
      <c r="A274" t="s">
        <v>660</v>
      </c>
      <c r="B274" t="s">
        <v>610</v>
      </c>
      <c r="C274" t="s">
        <v>661</v>
      </c>
    </row>
    <row r="275" spans="1:3" x14ac:dyDescent="0.25">
      <c r="A275" t="s">
        <v>662</v>
      </c>
      <c r="B275" t="s">
        <v>610</v>
      </c>
      <c r="C275" t="s">
        <v>663</v>
      </c>
    </row>
    <row r="276" spans="1:3" x14ac:dyDescent="0.25">
      <c r="A276" t="s">
        <v>664</v>
      </c>
      <c r="B276" t="s">
        <v>610</v>
      </c>
      <c r="C276" t="s">
        <v>665</v>
      </c>
    </row>
    <row r="277" spans="1:3" x14ac:dyDescent="0.25">
      <c r="A277" t="s">
        <v>666</v>
      </c>
      <c r="B277" t="s">
        <v>610</v>
      </c>
      <c r="C277" t="s">
        <v>667</v>
      </c>
    </row>
    <row r="278" spans="1:3" x14ac:dyDescent="0.25">
      <c r="A278" t="s">
        <v>203</v>
      </c>
      <c r="B278" t="s">
        <v>610</v>
      </c>
      <c r="C278" t="s">
        <v>668</v>
      </c>
    </row>
    <row r="279" spans="1:3" x14ac:dyDescent="0.25">
      <c r="A279" t="s">
        <v>205</v>
      </c>
      <c r="B279" t="s">
        <v>610</v>
      </c>
      <c r="C279" t="s">
        <v>669</v>
      </c>
    </row>
    <row r="280" spans="1:3" x14ac:dyDescent="0.25">
      <c r="A280" t="s">
        <v>670</v>
      </c>
      <c r="B280" t="s">
        <v>610</v>
      </c>
      <c r="C280" t="s">
        <v>671</v>
      </c>
    </row>
    <row r="281" spans="1:3" x14ac:dyDescent="0.25">
      <c r="A281" t="s">
        <v>672</v>
      </c>
      <c r="B281" t="s">
        <v>610</v>
      </c>
      <c r="C281" t="s">
        <v>673</v>
      </c>
    </row>
    <row r="282" spans="1:3" x14ac:dyDescent="0.25">
      <c r="A282" t="s">
        <v>526</v>
      </c>
      <c r="B282" t="s">
        <v>610</v>
      </c>
      <c r="C282" t="s">
        <v>674</v>
      </c>
    </row>
    <row r="283" spans="1:3" x14ac:dyDescent="0.25">
      <c r="A283" t="s">
        <v>675</v>
      </c>
      <c r="B283" t="s">
        <v>610</v>
      </c>
      <c r="C283" t="s">
        <v>676</v>
      </c>
    </row>
    <row r="284" spans="1:3" x14ac:dyDescent="0.25">
      <c r="A284" t="s">
        <v>677</v>
      </c>
      <c r="B284" t="s">
        <v>610</v>
      </c>
      <c r="C284" t="s">
        <v>678</v>
      </c>
    </row>
    <row r="285" spans="1:3" x14ac:dyDescent="0.25">
      <c r="A285" t="s">
        <v>679</v>
      </c>
      <c r="B285" t="s">
        <v>610</v>
      </c>
      <c r="C285" t="s">
        <v>680</v>
      </c>
    </row>
    <row r="286" spans="1:3" x14ac:dyDescent="0.25">
      <c r="A286" t="s">
        <v>428</v>
      </c>
      <c r="B286" t="s">
        <v>610</v>
      </c>
      <c r="C286" t="s">
        <v>681</v>
      </c>
    </row>
    <row r="287" spans="1:3" x14ac:dyDescent="0.25">
      <c r="A287" t="s">
        <v>432</v>
      </c>
      <c r="B287" t="s">
        <v>610</v>
      </c>
      <c r="C287" t="s">
        <v>682</v>
      </c>
    </row>
    <row r="288" spans="1:3" x14ac:dyDescent="0.25">
      <c r="A288" t="s">
        <v>683</v>
      </c>
      <c r="B288" t="s">
        <v>610</v>
      </c>
      <c r="C288" t="s">
        <v>684</v>
      </c>
    </row>
    <row r="289" spans="1:3" x14ac:dyDescent="0.25">
      <c r="A289" t="s">
        <v>685</v>
      </c>
      <c r="B289" t="s">
        <v>610</v>
      </c>
      <c r="C289" t="s">
        <v>686</v>
      </c>
    </row>
    <row r="290" spans="1:3" x14ac:dyDescent="0.25">
      <c r="A290" t="s">
        <v>687</v>
      </c>
      <c r="B290" t="s">
        <v>610</v>
      </c>
      <c r="C290" t="s">
        <v>688</v>
      </c>
    </row>
    <row r="291" spans="1:3" x14ac:dyDescent="0.25">
      <c r="A291" t="s">
        <v>689</v>
      </c>
      <c r="B291" t="s">
        <v>610</v>
      </c>
      <c r="C291" t="s">
        <v>690</v>
      </c>
    </row>
    <row r="292" spans="1:3" x14ac:dyDescent="0.25">
      <c r="A292" t="s">
        <v>691</v>
      </c>
      <c r="B292" t="s">
        <v>610</v>
      </c>
      <c r="C292" t="s">
        <v>692</v>
      </c>
    </row>
    <row r="293" spans="1:3" x14ac:dyDescent="0.25">
      <c r="A293" t="s">
        <v>235</v>
      </c>
      <c r="B293" t="s">
        <v>610</v>
      </c>
      <c r="C293" t="s">
        <v>693</v>
      </c>
    </row>
    <row r="294" spans="1:3" x14ac:dyDescent="0.25">
      <c r="A294" t="s">
        <v>694</v>
      </c>
      <c r="B294" t="s">
        <v>610</v>
      </c>
      <c r="C294" t="s">
        <v>695</v>
      </c>
    </row>
    <row r="295" spans="1:3" x14ac:dyDescent="0.25">
      <c r="A295" t="s">
        <v>696</v>
      </c>
      <c r="B295" t="s">
        <v>610</v>
      </c>
      <c r="C295" t="s">
        <v>697</v>
      </c>
    </row>
    <row r="296" spans="1:3" x14ac:dyDescent="0.25">
      <c r="A296" t="s">
        <v>698</v>
      </c>
      <c r="B296" t="s">
        <v>610</v>
      </c>
      <c r="C296" t="s">
        <v>699</v>
      </c>
    </row>
    <row r="297" spans="1:3" x14ac:dyDescent="0.25">
      <c r="A297" t="s">
        <v>451</v>
      </c>
      <c r="B297" t="s">
        <v>610</v>
      </c>
      <c r="C297" t="s">
        <v>700</v>
      </c>
    </row>
    <row r="298" spans="1:3" x14ac:dyDescent="0.25">
      <c r="A298" t="s">
        <v>701</v>
      </c>
      <c r="B298" t="s">
        <v>610</v>
      </c>
      <c r="C298" t="s">
        <v>702</v>
      </c>
    </row>
    <row r="299" spans="1:3" x14ac:dyDescent="0.25">
      <c r="A299" t="s">
        <v>703</v>
      </c>
      <c r="B299" t="s">
        <v>610</v>
      </c>
      <c r="C299" t="s">
        <v>704</v>
      </c>
    </row>
    <row r="300" spans="1:3" x14ac:dyDescent="0.25">
      <c r="A300" t="s">
        <v>705</v>
      </c>
      <c r="B300" t="s">
        <v>610</v>
      </c>
      <c r="C300" t="s">
        <v>706</v>
      </c>
    </row>
    <row r="301" spans="1:3" x14ac:dyDescent="0.25">
      <c r="A301" t="s">
        <v>707</v>
      </c>
      <c r="B301" t="s">
        <v>610</v>
      </c>
      <c r="C301" t="s">
        <v>708</v>
      </c>
    </row>
    <row r="302" spans="1:3" x14ac:dyDescent="0.25">
      <c r="A302" t="s">
        <v>709</v>
      </c>
      <c r="B302" t="s">
        <v>610</v>
      </c>
      <c r="C302" t="s">
        <v>710</v>
      </c>
    </row>
    <row r="303" spans="1:3" x14ac:dyDescent="0.25">
      <c r="A303" t="s">
        <v>711</v>
      </c>
      <c r="B303" t="s">
        <v>610</v>
      </c>
      <c r="C303" t="s">
        <v>712</v>
      </c>
    </row>
    <row r="304" spans="1:3" x14ac:dyDescent="0.25">
      <c r="A304" t="s">
        <v>713</v>
      </c>
      <c r="B304" t="s">
        <v>610</v>
      </c>
      <c r="C304" t="s">
        <v>714</v>
      </c>
    </row>
    <row r="305" spans="1:3" x14ac:dyDescent="0.25">
      <c r="A305" t="s">
        <v>715</v>
      </c>
      <c r="B305" t="s">
        <v>610</v>
      </c>
      <c r="C305" t="s">
        <v>716</v>
      </c>
    </row>
    <row r="306" spans="1:3" x14ac:dyDescent="0.25">
      <c r="A306" t="s">
        <v>717</v>
      </c>
      <c r="B306" t="s">
        <v>610</v>
      </c>
      <c r="C306" t="s">
        <v>718</v>
      </c>
    </row>
    <row r="307" spans="1:3" x14ac:dyDescent="0.25">
      <c r="A307" t="s">
        <v>719</v>
      </c>
      <c r="B307" t="s">
        <v>610</v>
      </c>
      <c r="C307" t="s">
        <v>720</v>
      </c>
    </row>
    <row r="308" spans="1:3" x14ac:dyDescent="0.25">
      <c r="A308" t="s">
        <v>721</v>
      </c>
      <c r="B308" t="s">
        <v>610</v>
      </c>
      <c r="C308" t="s">
        <v>722</v>
      </c>
    </row>
    <row r="309" spans="1:3" x14ac:dyDescent="0.25">
      <c r="A309" t="s">
        <v>723</v>
      </c>
      <c r="B309" t="s">
        <v>610</v>
      </c>
      <c r="C309" t="s">
        <v>724</v>
      </c>
    </row>
    <row r="310" spans="1:3" x14ac:dyDescent="0.25">
      <c r="A310" t="s">
        <v>261</v>
      </c>
      <c r="B310" t="s">
        <v>610</v>
      </c>
      <c r="C310" t="s">
        <v>725</v>
      </c>
    </row>
    <row r="311" spans="1:3" x14ac:dyDescent="0.25">
      <c r="A311" t="s">
        <v>726</v>
      </c>
      <c r="B311" t="s">
        <v>610</v>
      </c>
      <c r="C311" t="s">
        <v>727</v>
      </c>
    </row>
    <row r="312" spans="1:3" x14ac:dyDescent="0.25">
      <c r="A312" t="s">
        <v>357</v>
      </c>
      <c r="B312" t="s">
        <v>610</v>
      </c>
      <c r="C312" t="s">
        <v>728</v>
      </c>
    </row>
    <row r="313" spans="1:3" x14ac:dyDescent="0.25">
      <c r="A313" t="s">
        <v>730</v>
      </c>
      <c r="B313" t="s">
        <v>731</v>
      </c>
      <c r="C313" t="s">
        <v>732</v>
      </c>
    </row>
    <row r="314" spans="1:3" x14ac:dyDescent="0.25">
      <c r="A314" t="s">
        <v>733</v>
      </c>
      <c r="B314" t="s">
        <v>731</v>
      </c>
      <c r="C314" t="s">
        <v>734</v>
      </c>
    </row>
    <row r="315" spans="1:3" x14ac:dyDescent="0.25">
      <c r="A315" t="s">
        <v>735</v>
      </c>
      <c r="B315" t="s">
        <v>731</v>
      </c>
      <c r="C315" t="s">
        <v>736</v>
      </c>
    </row>
    <row r="316" spans="1:3" x14ac:dyDescent="0.25">
      <c r="A316" t="s">
        <v>737</v>
      </c>
      <c r="B316" t="s">
        <v>731</v>
      </c>
      <c r="C316" t="s">
        <v>738</v>
      </c>
    </row>
    <row r="317" spans="1:3" x14ac:dyDescent="0.25">
      <c r="A317" t="s">
        <v>739</v>
      </c>
      <c r="B317" t="s">
        <v>731</v>
      </c>
      <c r="C317" t="s">
        <v>740</v>
      </c>
    </row>
    <row r="318" spans="1:3" x14ac:dyDescent="0.25">
      <c r="A318" t="s">
        <v>741</v>
      </c>
      <c r="B318" t="s">
        <v>731</v>
      </c>
      <c r="C318" t="s">
        <v>742</v>
      </c>
    </row>
    <row r="319" spans="1:3" x14ac:dyDescent="0.25">
      <c r="A319" t="s">
        <v>743</v>
      </c>
      <c r="B319" t="s">
        <v>731</v>
      </c>
      <c r="C319" t="s">
        <v>744</v>
      </c>
    </row>
    <row r="320" spans="1:3" x14ac:dyDescent="0.25">
      <c r="A320" t="s">
        <v>745</v>
      </c>
      <c r="B320" t="s">
        <v>731</v>
      </c>
      <c r="C320" t="s">
        <v>746</v>
      </c>
    </row>
    <row r="321" spans="1:3" x14ac:dyDescent="0.25">
      <c r="A321" t="s">
        <v>748</v>
      </c>
      <c r="B321" t="s">
        <v>749</v>
      </c>
      <c r="C321" t="s">
        <v>750</v>
      </c>
    </row>
    <row r="322" spans="1:3" x14ac:dyDescent="0.25">
      <c r="A322" t="s">
        <v>751</v>
      </c>
      <c r="B322" t="s">
        <v>749</v>
      </c>
      <c r="C322" t="s">
        <v>752</v>
      </c>
    </row>
    <row r="323" spans="1:3" x14ac:dyDescent="0.25">
      <c r="A323" t="s">
        <v>753</v>
      </c>
      <c r="B323" t="s">
        <v>749</v>
      </c>
      <c r="C323" t="s">
        <v>754</v>
      </c>
    </row>
    <row r="324" spans="1:3" x14ac:dyDescent="0.25">
      <c r="A324" t="s">
        <v>756</v>
      </c>
      <c r="C324" t="s">
        <v>757</v>
      </c>
    </row>
    <row r="325" spans="1:3" x14ac:dyDescent="0.25">
      <c r="A325" t="s">
        <v>759</v>
      </c>
      <c r="B325" t="s">
        <v>760</v>
      </c>
      <c r="C325" t="s">
        <v>761</v>
      </c>
    </row>
    <row r="326" spans="1:3" x14ac:dyDescent="0.25">
      <c r="A326" t="s">
        <v>762</v>
      </c>
      <c r="B326" t="s">
        <v>760</v>
      </c>
      <c r="C326" t="s">
        <v>763</v>
      </c>
    </row>
    <row r="327" spans="1:3" x14ac:dyDescent="0.25">
      <c r="A327" t="s">
        <v>764</v>
      </c>
      <c r="B327" t="s">
        <v>760</v>
      </c>
      <c r="C327" t="s">
        <v>765</v>
      </c>
    </row>
    <row r="328" spans="1:3" x14ac:dyDescent="0.25">
      <c r="A328" t="s">
        <v>766</v>
      </c>
      <c r="B328" t="s">
        <v>760</v>
      </c>
      <c r="C328" t="s">
        <v>767</v>
      </c>
    </row>
    <row r="329" spans="1:3" x14ac:dyDescent="0.25">
      <c r="A329" t="s">
        <v>768</v>
      </c>
      <c r="B329" t="s">
        <v>760</v>
      </c>
      <c r="C329" t="s">
        <v>769</v>
      </c>
    </row>
    <row r="330" spans="1:3" x14ac:dyDescent="0.25">
      <c r="A330" t="s">
        <v>770</v>
      </c>
      <c r="B330" t="s">
        <v>760</v>
      </c>
      <c r="C330" t="s">
        <v>771</v>
      </c>
    </row>
    <row r="331" spans="1:3" x14ac:dyDescent="0.25">
      <c r="A331" t="s">
        <v>147</v>
      </c>
      <c r="B331" t="s">
        <v>760</v>
      </c>
      <c r="C331" t="s">
        <v>772</v>
      </c>
    </row>
    <row r="332" spans="1:3" x14ac:dyDescent="0.25">
      <c r="A332" t="s">
        <v>773</v>
      </c>
      <c r="B332" t="s">
        <v>760</v>
      </c>
      <c r="C332" t="s">
        <v>774</v>
      </c>
    </row>
    <row r="333" spans="1:3" x14ac:dyDescent="0.25">
      <c r="A333" t="s">
        <v>775</v>
      </c>
      <c r="B333" t="s">
        <v>760</v>
      </c>
      <c r="C333" t="s">
        <v>776</v>
      </c>
    </row>
    <row r="334" spans="1:3" x14ac:dyDescent="0.25">
      <c r="A334" t="s">
        <v>159</v>
      </c>
      <c r="B334" t="s">
        <v>760</v>
      </c>
      <c r="C334" t="s">
        <v>777</v>
      </c>
    </row>
    <row r="335" spans="1:3" x14ac:dyDescent="0.25">
      <c r="A335" t="s">
        <v>778</v>
      </c>
      <c r="B335" t="s">
        <v>760</v>
      </c>
      <c r="C335" t="s">
        <v>779</v>
      </c>
    </row>
    <row r="336" spans="1:3" x14ac:dyDescent="0.25">
      <c r="A336" t="s">
        <v>383</v>
      </c>
      <c r="B336" t="s">
        <v>760</v>
      </c>
      <c r="C336" t="s">
        <v>780</v>
      </c>
    </row>
    <row r="337" spans="1:3" x14ac:dyDescent="0.25">
      <c r="A337" t="s">
        <v>781</v>
      </c>
      <c r="B337" t="s">
        <v>760</v>
      </c>
      <c r="C337" t="s">
        <v>782</v>
      </c>
    </row>
    <row r="338" spans="1:3" x14ac:dyDescent="0.25">
      <c r="A338" t="s">
        <v>783</v>
      </c>
      <c r="B338" t="s">
        <v>760</v>
      </c>
      <c r="C338" t="s">
        <v>784</v>
      </c>
    </row>
    <row r="339" spans="1:3" x14ac:dyDescent="0.25">
      <c r="A339" t="s">
        <v>785</v>
      </c>
      <c r="B339" t="s">
        <v>760</v>
      </c>
      <c r="C339" t="s">
        <v>786</v>
      </c>
    </row>
    <row r="340" spans="1:3" x14ac:dyDescent="0.25">
      <c r="A340" t="s">
        <v>185</v>
      </c>
      <c r="B340" t="s">
        <v>760</v>
      </c>
      <c r="C340" t="s">
        <v>787</v>
      </c>
    </row>
    <row r="341" spans="1:3" x14ac:dyDescent="0.25">
      <c r="A341" t="s">
        <v>788</v>
      </c>
      <c r="B341" t="s">
        <v>760</v>
      </c>
      <c r="C341" t="s">
        <v>789</v>
      </c>
    </row>
    <row r="342" spans="1:3" x14ac:dyDescent="0.25">
      <c r="A342" t="s">
        <v>191</v>
      </c>
      <c r="B342" t="s">
        <v>760</v>
      </c>
      <c r="C342" t="s">
        <v>790</v>
      </c>
    </row>
    <row r="343" spans="1:3" x14ac:dyDescent="0.25">
      <c r="A343" t="s">
        <v>791</v>
      </c>
      <c r="B343" t="s">
        <v>760</v>
      </c>
      <c r="C343" t="s">
        <v>792</v>
      </c>
    </row>
    <row r="344" spans="1:3" x14ac:dyDescent="0.25">
      <c r="A344" t="s">
        <v>793</v>
      </c>
      <c r="B344" t="s">
        <v>760</v>
      </c>
      <c r="C344" t="s">
        <v>794</v>
      </c>
    </row>
    <row r="345" spans="1:3" x14ac:dyDescent="0.25">
      <c r="A345" t="s">
        <v>795</v>
      </c>
      <c r="B345" t="s">
        <v>760</v>
      </c>
      <c r="C345" t="s">
        <v>796</v>
      </c>
    </row>
    <row r="346" spans="1:3" x14ac:dyDescent="0.25">
      <c r="A346" t="s">
        <v>797</v>
      </c>
      <c r="B346" t="s">
        <v>760</v>
      </c>
      <c r="C346" t="s">
        <v>798</v>
      </c>
    </row>
    <row r="347" spans="1:3" x14ac:dyDescent="0.25">
      <c r="A347" t="s">
        <v>799</v>
      </c>
      <c r="B347" t="s">
        <v>760</v>
      </c>
      <c r="C347" t="s">
        <v>800</v>
      </c>
    </row>
    <row r="348" spans="1:3" x14ac:dyDescent="0.25">
      <c r="A348" t="s">
        <v>801</v>
      </c>
      <c r="B348" t="s">
        <v>760</v>
      </c>
      <c r="C348" t="s">
        <v>802</v>
      </c>
    </row>
    <row r="349" spans="1:3" x14ac:dyDescent="0.25">
      <c r="A349" t="s">
        <v>803</v>
      </c>
      <c r="B349" t="s">
        <v>760</v>
      </c>
      <c r="C349" t="s">
        <v>804</v>
      </c>
    </row>
    <row r="350" spans="1:3" x14ac:dyDescent="0.25">
      <c r="A350" t="s">
        <v>805</v>
      </c>
      <c r="B350" t="s">
        <v>760</v>
      </c>
      <c r="C350" t="s">
        <v>806</v>
      </c>
    </row>
    <row r="351" spans="1:3" x14ac:dyDescent="0.25">
      <c r="A351" t="s">
        <v>807</v>
      </c>
      <c r="B351" t="s">
        <v>760</v>
      </c>
      <c r="C351" t="s">
        <v>808</v>
      </c>
    </row>
    <row r="352" spans="1:3" x14ac:dyDescent="0.25">
      <c r="A352" t="s">
        <v>809</v>
      </c>
      <c r="B352" t="s">
        <v>760</v>
      </c>
      <c r="C352" t="s">
        <v>810</v>
      </c>
    </row>
    <row r="353" spans="1:3" x14ac:dyDescent="0.25">
      <c r="A353" t="s">
        <v>811</v>
      </c>
      <c r="B353" t="s">
        <v>760</v>
      </c>
      <c r="C353" t="s">
        <v>812</v>
      </c>
    </row>
    <row r="354" spans="1:3" x14ac:dyDescent="0.25">
      <c r="A354" t="s">
        <v>813</v>
      </c>
      <c r="B354" t="s">
        <v>760</v>
      </c>
      <c r="C354" t="s">
        <v>814</v>
      </c>
    </row>
    <row r="355" spans="1:3" x14ac:dyDescent="0.25">
      <c r="A355" t="s">
        <v>203</v>
      </c>
      <c r="B355" t="s">
        <v>760</v>
      </c>
      <c r="C355" t="s">
        <v>815</v>
      </c>
    </row>
    <row r="356" spans="1:3" x14ac:dyDescent="0.25">
      <c r="A356" t="s">
        <v>205</v>
      </c>
      <c r="B356" t="s">
        <v>760</v>
      </c>
      <c r="C356" t="s">
        <v>816</v>
      </c>
    </row>
    <row r="357" spans="1:3" x14ac:dyDescent="0.25">
      <c r="A357" t="s">
        <v>424</v>
      </c>
      <c r="B357" t="s">
        <v>760</v>
      </c>
      <c r="C357" t="s">
        <v>817</v>
      </c>
    </row>
    <row r="358" spans="1:3" x14ac:dyDescent="0.25">
      <c r="A358" t="s">
        <v>526</v>
      </c>
      <c r="B358" t="s">
        <v>760</v>
      </c>
      <c r="C358" t="s">
        <v>818</v>
      </c>
    </row>
    <row r="359" spans="1:3" x14ac:dyDescent="0.25">
      <c r="A359" t="s">
        <v>213</v>
      </c>
      <c r="B359" t="s">
        <v>760</v>
      </c>
      <c r="C359" t="s">
        <v>819</v>
      </c>
    </row>
    <row r="360" spans="1:3" x14ac:dyDescent="0.25">
      <c r="A360" t="s">
        <v>820</v>
      </c>
      <c r="B360" t="s">
        <v>760</v>
      </c>
      <c r="C360" t="s">
        <v>821</v>
      </c>
    </row>
    <row r="361" spans="1:3" x14ac:dyDescent="0.25">
      <c r="A361" t="s">
        <v>822</v>
      </c>
      <c r="B361" t="s">
        <v>760</v>
      </c>
      <c r="C361" t="s">
        <v>823</v>
      </c>
    </row>
    <row r="362" spans="1:3" x14ac:dyDescent="0.25">
      <c r="A362" t="s">
        <v>824</v>
      </c>
      <c r="B362" t="s">
        <v>760</v>
      </c>
      <c r="C362" t="s">
        <v>825</v>
      </c>
    </row>
    <row r="363" spans="1:3" x14ac:dyDescent="0.25">
      <c r="A363" t="s">
        <v>221</v>
      </c>
      <c r="B363" t="s">
        <v>760</v>
      </c>
      <c r="C363" t="s">
        <v>826</v>
      </c>
    </row>
    <row r="364" spans="1:3" x14ac:dyDescent="0.25">
      <c r="A364" t="s">
        <v>827</v>
      </c>
      <c r="B364" t="s">
        <v>760</v>
      </c>
      <c r="C364" t="s">
        <v>828</v>
      </c>
    </row>
    <row r="365" spans="1:3" x14ac:dyDescent="0.25">
      <c r="A365" t="s">
        <v>225</v>
      </c>
      <c r="B365" t="s">
        <v>760</v>
      </c>
      <c r="C365" t="s">
        <v>829</v>
      </c>
    </row>
    <row r="366" spans="1:3" x14ac:dyDescent="0.25">
      <c r="A366" t="s">
        <v>830</v>
      </c>
      <c r="B366" t="s">
        <v>760</v>
      </c>
      <c r="C366" t="s">
        <v>831</v>
      </c>
    </row>
    <row r="367" spans="1:3" x14ac:dyDescent="0.25">
      <c r="A367" t="s">
        <v>832</v>
      </c>
      <c r="B367" t="s">
        <v>760</v>
      </c>
      <c r="C367" t="s">
        <v>833</v>
      </c>
    </row>
    <row r="368" spans="1:3" x14ac:dyDescent="0.25">
      <c r="A368" t="s">
        <v>231</v>
      </c>
      <c r="B368" t="s">
        <v>760</v>
      </c>
      <c r="C368" t="s">
        <v>834</v>
      </c>
    </row>
    <row r="369" spans="1:3" x14ac:dyDescent="0.25">
      <c r="A369" t="s">
        <v>835</v>
      </c>
      <c r="B369" t="s">
        <v>760</v>
      </c>
      <c r="C369" t="s">
        <v>836</v>
      </c>
    </row>
    <row r="370" spans="1:3" x14ac:dyDescent="0.25">
      <c r="A370" t="s">
        <v>837</v>
      </c>
      <c r="B370" t="s">
        <v>760</v>
      </c>
      <c r="C370" t="s">
        <v>838</v>
      </c>
    </row>
    <row r="371" spans="1:3" x14ac:dyDescent="0.25">
      <c r="A371" t="s">
        <v>839</v>
      </c>
      <c r="B371" t="s">
        <v>760</v>
      </c>
      <c r="C371" t="s">
        <v>840</v>
      </c>
    </row>
    <row r="372" spans="1:3" x14ac:dyDescent="0.25">
      <c r="A372" t="s">
        <v>551</v>
      </c>
      <c r="B372" t="s">
        <v>760</v>
      </c>
      <c r="C372" t="s">
        <v>841</v>
      </c>
    </row>
    <row r="373" spans="1:3" x14ac:dyDescent="0.25">
      <c r="A373" t="s">
        <v>842</v>
      </c>
      <c r="B373" t="s">
        <v>760</v>
      </c>
      <c r="C373" t="s">
        <v>843</v>
      </c>
    </row>
    <row r="374" spans="1:3" x14ac:dyDescent="0.25">
      <c r="A374" t="s">
        <v>844</v>
      </c>
      <c r="B374" t="s">
        <v>760</v>
      </c>
      <c r="C374" t="s">
        <v>845</v>
      </c>
    </row>
    <row r="375" spans="1:3" x14ac:dyDescent="0.25">
      <c r="A375" t="s">
        <v>846</v>
      </c>
      <c r="B375" t="s">
        <v>760</v>
      </c>
      <c r="C375" t="s">
        <v>847</v>
      </c>
    </row>
    <row r="376" spans="1:3" x14ac:dyDescent="0.25">
      <c r="A376" t="s">
        <v>848</v>
      </c>
      <c r="B376" t="s">
        <v>760</v>
      </c>
      <c r="C376" t="s">
        <v>849</v>
      </c>
    </row>
    <row r="377" spans="1:3" x14ac:dyDescent="0.25">
      <c r="A377" t="s">
        <v>456</v>
      </c>
      <c r="B377" t="s">
        <v>760</v>
      </c>
      <c r="C377" t="s">
        <v>850</v>
      </c>
    </row>
    <row r="378" spans="1:3" x14ac:dyDescent="0.25">
      <c r="A378" t="s">
        <v>851</v>
      </c>
      <c r="B378" t="s">
        <v>760</v>
      </c>
      <c r="C378" t="s">
        <v>852</v>
      </c>
    </row>
    <row r="379" spans="1:3" x14ac:dyDescent="0.25">
      <c r="A379" t="s">
        <v>853</v>
      </c>
      <c r="B379" t="s">
        <v>760</v>
      </c>
      <c r="C379" t="s">
        <v>854</v>
      </c>
    </row>
    <row r="380" spans="1:3" x14ac:dyDescent="0.25">
      <c r="A380" t="s">
        <v>855</v>
      </c>
      <c r="B380" t="s">
        <v>760</v>
      </c>
      <c r="C380" t="s">
        <v>856</v>
      </c>
    </row>
    <row r="381" spans="1:3" x14ac:dyDescent="0.25">
      <c r="A381" t="s">
        <v>857</v>
      </c>
      <c r="B381" t="s">
        <v>760</v>
      </c>
      <c r="C381" t="s">
        <v>858</v>
      </c>
    </row>
    <row r="382" spans="1:3" x14ac:dyDescent="0.25">
      <c r="A382" t="s">
        <v>859</v>
      </c>
      <c r="B382" t="s">
        <v>760</v>
      </c>
      <c r="C382" t="s">
        <v>860</v>
      </c>
    </row>
    <row r="383" spans="1:3" x14ac:dyDescent="0.25">
      <c r="A383" t="s">
        <v>861</v>
      </c>
      <c r="B383" t="s">
        <v>760</v>
      </c>
      <c r="C383" t="s">
        <v>862</v>
      </c>
    </row>
    <row r="384" spans="1:3" x14ac:dyDescent="0.25">
      <c r="A384" t="s">
        <v>251</v>
      </c>
      <c r="B384" t="s">
        <v>760</v>
      </c>
      <c r="C384" t="s">
        <v>863</v>
      </c>
    </row>
    <row r="385" spans="1:3" x14ac:dyDescent="0.25">
      <c r="A385" t="s">
        <v>864</v>
      </c>
      <c r="B385" t="s">
        <v>760</v>
      </c>
      <c r="C385" t="s">
        <v>865</v>
      </c>
    </row>
    <row r="386" spans="1:3" x14ac:dyDescent="0.25">
      <c r="A386" t="s">
        <v>866</v>
      </c>
      <c r="B386" t="s">
        <v>760</v>
      </c>
      <c r="C386" t="s">
        <v>867</v>
      </c>
    </row>
    <row r="387" spans="1:3" x14ac:dyDescent="0.25">
      <c r="A387" t="s">
        <v>481</v>
      </c>
      <c r="B387" t="s">
        <v>760</v>
      </c>
      <c r="C387" t="s">
        <v>868</v>
      </c>
    </row>
    <row r="388" spans="1:3" x14ac:dyDescent="0.25">
      <c r="A388" t="s">
        <v>869</v>
      </c>
      <c r="B388" t="s">
        <v>760</v>
      </c>
      <c r="C388" t="s">
        <v>870</v>
      </c>
    </row>
    <row r="389" spans="1:3" x14ac:dyDescent="0.25">
      <c r="A389" t="s">
        <v>871</v>
      </c>
      <c r="B389" t="s">
        <v>760</v>
      </c>
      <c r="C389" t="s">
        <v>872</v>
      </c>
    </row>
    <row r="390" spans="1:3" x14ac:dyDescent="0.25">
      <c r="A390" t="s">
        <v>873</v>
      </c>
      <c r="B390" t="s">
        <v>760</v>
      </c>
      <c r="C390" t="s">
        <v>874</v>
      </c>
    </row>
    <row r="391" spans="1:3" x14ac:dyDescent="0.25">
      <c r="A391" t="s">
        <v>261</v>
      </c>
      <c r="B391" t="s">
        <v>760</v>
      </c>
      <c r="C391" t="s">
        <v>875</v>
      </c>
    </row>
    <row r="392" spans="1:3" x14ac:dyDescent="0.25">
      <c r="A392" t="s">
        <v>877</v>
      </c>
      <c r="B392" t="s">
        <v>878</v>
      </c>
      <c r="C392" t="s">
        <v>879</v>
      </c>
    </row>
    <row r="393" spans="1:3" x14ac:dyDescent="0.25">
      <c r="A393" t="s">
        <v>880</v>
      </c>
      <c r="B393" t="s">
        <v>878</v>
      </c>
      <c r="C393" t="s">
        <v>881</v>
      </c>
    </row>
    <row r="394" spans="1:3" x14ac:dyDescent="0.25">
      <c r="A394" t="s">
        <v>882</v>
      </c>
      <c r="B394" t="s">
        <v>878</v>
      </c>
      <c r="C394" t="s">
        <v>883</v>
      </c>
    </row>
    <row r="395" spans="1:3" x14ac:dyDescent="0.25">
      <c r="A395" t="s">
        <v>762</v>
      </c>
      <c r="B395" t="s">
        <v>878</v>
      </c>
      <c r="C395" t="s">
        <v>884</v>
      </c>
    </row>
    <row r="396" spans="1:3" x14ac:dyDescent="0.25">
      <c r="A396" t="s">
        <v>885</v>
      </c>
      <c r="B396" t="s">
        <v>878</v>
      </c>
      <c r="C396" t="s">
        <v>886</v>
      </c>
    </row>
    <row r="397" spans="1:3" x14ac:dyDescent="0.25">
      <c r="A397" t="s">
        <v>887</v>
      </c>
      <c r="B397" t="s">
        <v>878</v>
      </c>
      <c r="C397" t="s">
        <v>888</v>
      </c>
    </row>
    <row r="398" spans="1:3" x14ac:dyDescent="0.25">
      <c r="A398" t="s">
        <v>889</v>
      </c>
      <c r="B398" t="s">
        <v>878</v>
      </c>
      <c r="C398" t="s">
        <v>890</v>
      </c>
    </row>
    <row r="399" spans="1:3" x14ac:dyDescent="0.25">
      <c r="A399" t="s">
        <v>891</v>
      </c>
      <c r="B399" t="s">
        <v>878</v>
      </c>
      <c r="C399" t="s">
        <v>892</v>
      </c>
    </row>
    <row r="400" spans="1:3" x14ac:dyDescent="0.25">
      <c r="A400" t="s">
        <v>893</v>
      </c>
      <c r="B400" t="s">
        <v>878</v>
      </c>
      <c r="C400" t="s">
        <v>894</v>
      </c>
    </row>
    <row r="401" spans="1:3" x14ac:dyDescent="0.25">
      <c r="A401" t="s">
        <v>895</v>
      </c>
      <c r="B401" t="s">
        <v>878</v>
      </c>
      <c r="C401" t="s">
        <v>896</v>
      </c>
    </row>
    <row r="402" spans="1:3" x14ac:dyDescent="0.25">
      <c r="A402" t="s">
        <v>139</v>
      </c>
      <c r="B402" t="s">
        <v>878</v>
      </c>
      <c r="C402" t="s">
        <v>897</v>
      </c>
    </row>
    <row r="403" spans="1:3" x14ac:dyDescent="0.25">
      <c r="A403" t="s">
        <v>898</v>
      </c>
      <c r="B403" t="s">
        <v>878</v>
      </c>
      <c r="C403" t="s">
        <v>899</v>
      </c>
    </row>
    <row r="404" spans="1:3" x14ac:dyDescent="0.25">
      <c r="A404" t="s">
        <v>900</v>
      </c>
      <c r="B404" t="s">
        <v>878</v>
      </c>
      <c r="C404" t="s">
        <v>901</v>
      </c>
    </row>
    <row r="405" spans="1:3" x14ac:dyDescent="0.25">
      <c r="A405" t="s">
        <v>902</v>
      </c>
      <c r="B405" t="s">
        <v>878</v>
      </c>
      <c r="C405" t="s">
        <v>903</v>
      </c>
    </row>
    <row r="406" spans="1:3" x14ac:dyDescent="0.25">
      <c r="A406" t="s">
        <v>904</v>
      </c>
      <c r="B406" t="s">
        <v>878</v>
      </c>
      <c r="C406" t="s">
        <v>905</v>
      </c>
    </row>
    <row r="407" spans="1:3" x14ac:dyDescent="0.25">
      <c r="A407" t="s">
        <v>906</v>
      </c>
      <c r="B407" t="s">
        <v>878</v>
      </c>
      <c r="C407" t="s">
        <v>907</v>
      </c>
    </row>
    <row r="408" spans="1:3" x14ac:dyDescent="0.25">
      <c r="A408" t="s">
        <v>908</v>
      </c>
      <c r="B408" t="s">
        <v>878</v>
      </c>
      <c r="C408" t="s">
        <v>909</v>
      </c>
    </row>
    <row r="409" spans="1:3" x14ac:dyDescent="0.25">
      <c r="A409" t="s">
        <v>910</v>
      </c>
      <c r="B409" t="s">
        <v>878</v>
      </c>
      <c r="C409" t="s">
        <v>911</v>
      </c>
    </row>
    <row r="410" spans="1:3" x14ac:dyDescent="0.25">
      <c r="A410" t="s">
        <v>147</v>
      </c>
      <c r="B410" t="s">
        <v>878</v>
      </c>
      <c r="C410" t="s">
        <v>912</v>
      </c>
    </row>
    <row r="411" spans="1:3" x14ac:dyDescent="0.25">
      <c r="A411" t="s">
        <v>913</v>
      </c>
      <c r="B411" t="s">
        <v>878</v>
      </c>
      <c r="C411" t="s">
        <v>914</v>
      </c>
    </row>
    <row r="412" spans="1:3" x14ac:dyDescent="0.25">
      <c r="A412" t="s">
        <v>915</v>
      </c>
      <c r="B412" t="s">
        <v>878</v>
      </c>
      <c r="C412" t="s">
        <v>916</v>
      </c>
    </row>
    <row r="413" spans="1:3" x14ac:dyDescent="0.25">
      <c r="A413" t="s">
        <v>373</v>
      </c>
      <c r="B413" t="s">
        <v>878</v>
      </c>
      <c r="C413" t="s">
        <v>917</v>
      </c>
    </row>
    <row r="414" spans="1:3" x14ac:dyDescent="0.25">
      <c r="A414" t="s">
        <v>918</v>
      </c>
      <c r="B414" t="s">
        <v>878</v>
      </c>
      <c r="C414" t="s">
        <v>919</v>
      </c>
    </row>
    <row r="415" spans="1:3" x14ac:dyDescent="0.25">
      <c r="A415" t="s">
        <v>920</v>
      </c>
      <c r="B415" t="s">
        <v>878</v>
      </c>
      <c r="C415" t="s">
        <v>921</v>
      </c>
    </row>
    <row r="416" spans="1:3" x14ac:dyDescent="0.25">
      <c r="A416" t="s">
        <v>922</v>
      </c>
      <c r="B416" t="s">
        <v>878</v>
      </c>
      <c r="C416" t="s">
        <v>923</v>
      </c>
    </row>
    <row r="417" spans="1:3" x14ac:dyDescent="0.25">
      <c r="A417" t="s">
        <v>924</v>
      </c>
      <c r="B417" t="s">
        <v>878</v>
      </c>
      <c r="C417" t="s">
        <v>925</v>
      </c>
    </row>
    <row r="418" spans="1:3" x14ac:dyDescent="0.25">
      <c r="A418" t="s">
        <v>926</v>
      </c>
      <c r="B418" t="s">
        <v>878</v>
      </c>
      <c r="C418" t="s">
        <v>927</v>
      </c>
    </row>
    <row r="419" spans="1:3" x14ac:dyDescent="0.25">
      <c r="A419" t="s">
        <v>151</v>
      </c>
      <c r="B419" t="s">
        <v>878</v>
      </c>
      <c r="C419" t="s">
        <v>928</v>
      </c>
    </row>
    <row r="420" spans="1:3" x14ac:dyDescent="0.25">
      <c r="A420" t="s">
        <v>157</v>
      </c>
      <c r="B420" t="s">
        <v>878</v>
      </c>
      <c r="C420" t="s">
        <v>929</v>
      </c>
    </row>
    <row r="421" spans="1:3" x14ac:dyDescent="0.25">
      <c r="A421" t="s">
        <v>159</v>
      </c>
      <c r="B421" t="s">
        <v>878</v>
      </c>
      <c r="C421" t="s">
        <v>930</v>
      </c>
    </row>
    <row r="422" spans="1:3" x14ac:dyDescent="0.25">
      <c r="A422" t="s">
        <v>931</v>
      </c>
      <c r="B422" t="s">
        <v>878</v>
      </c>
      <c r="C422" t="s">
        <v>932</v>
      </c>
    </row>
    <row r="423" spans="1:3" x14ac:dyDescent="0.25">
      <c r="A423" t="s">
        <v>933</v>
      </c>
      <c r="B423" t="s">
        <v>878</v>
      </c>
      <c r="C423" t="s">
        <v>934</v>
      </c>
    </row>
    <row r="424" spans="1:3" x14ac:dyDescent="0.25">
      <c r="A424" t="s">
        <v>935</v>
      </c>
      <c r="B424" t="s">
        <v>878</v>
      </c>
      <c r="C424" t="s">
        <v>936</v>
      </c>
    </row>
    <row r="425" spans="1:3" x14ac:dyDescent="0.25">
      <c r="A425" t="s">
        <v>163</v>
      </c>
      <c r="B425" t="s">
        <v>878</v>
      </c>
      <c r="C425" t="s">
        <v>937</v>
      </c>
    </row>
    <row r="426" spans="1:3" x14ac:dyDescent="0.25">
      <c r="A426" t="s">
        <v>938</v>
      </c>
      <c r="B426" t="s">
        <v>878</v>
      </c>
      <c r="C426" t="s">
        <v>939</v>
      </c>
    </row>
    <row r="427" spans="1:3" x14ac:dyDescent="0.25">
      <c r="A427" t="s">
        <v>383</v>
      </c>
      <c r="B427" t="s">
        <v>878</v>
      </c>
      <c r="C427" t="s">
        <v>940</v>
      </c>
    </row>
    <row r="428" spans="1:3" x14ac:dyDescent="0.25">
      <c r="A428" t="s">
        <v>941</v>
      </c>
      <c r="B428" t="s">
        <v>878</v>
      </c>
      <c r="C428" t="s">
        <v>942</v>
      </c>
    </row>
    <row r="429" spans="1:3" x14ac:dyDescent="0.25">
      <c r="A429" t="s">
        <v>943</v>
      </c>
      <c r="B429" t="s">
        <v>878</v>
      </c>
      <c r="C429" t="s">
        <v>944</v>
      </c>
    </row>
    <row r="430" spans="1:3" x14ac:dyDescent="0.25">
      <c r="A430" t="s">
        <v>389</v>
      </c>
      <c r="B430" t="s">
        <v>878</v>
      </c>
      <c r="C430" t="s">
        <v>945</v>
      </c>
    </row>
    <row r="431" spans="1:3" x14ac:dyDescent="0.25">
      <c r="A431" t="s">
        <v>946</v>
      </c>
      <c r="B431" t="s">
        <v>878</v>
      </c>
      <c r="C431" t="s">
        <v>947</v>
      </c>
    </row>
    <row r="432" spans="1:3" x14ac:dyDescent="0.25">
      <c r="A432" t="s">
        <v>948</v>
      </c>
      <c r="B432" t="s">
        <v>878</v>
      </c>
      <c r="C432" t="s">
        <v>949</v>
      </c>
    </row>
    <row r="433" spans="1:3" x14ac:dyDescent="0.25">
      <c r="A433" t="s">
        <v>950</v>
      </c>
      <c r="B433" t="s">
        <v>878</v>
      </c>
      <c r="C433" t="s">
        <v>951</v>
      </c>
    </row>
    <row r="434" spans="1:3" x14ac:dyDescent="0.25">
      <c r="A434" t="s">
        <v>952</v>
      </c>
      <c r="B434" t="s">
        <v>878</v>
      </c>
      <c r="C434" t="s">
        <v>953</v>
      </c>
    </row>
    <row r="435" spans="1:3" x14ac:dyDescent="0.25">
      <c r="A435" t="s">
        <v>181</v>
      </c>
      <c r="B435" t="s">
        <v>878</v>
      </c>
      <c r="C435" t="s">
        <v>954</v>
      </c>
    </row>
    <row r="436" spans="1:3" x14ac:dyDescent="0.25">
      <c r="A436" t="s">
        <v>955</v>
      </c>
      <c r="B436" t="s">
        <v>878</v>
      </c>
      <c r="C436" t="s">
        <v>956</v>
      </c>
    </row>
    <row r="437" spans="1:3" x14ac:dyDescent="0.25">
      <c r="A437" t="s">
        <v>957</v>
      </c>
      <c r="B437" t="s">
        <v>878</v>
      </c>
      <c r="C437" t="s">
        <v>958</v>
      </c>
    </row>
    <row r="438" spans="1:3" x14ac:dyDescent="0.25">
      <c r="A438" t="s">
        <v>959</v>
      </c>
      <c r="B438" t="s">
        <v>878</v>
      </c>
      <c r="C438" t="s">
        <v>960</v>
      </c>
    </row>
    <row r="439" spans="1:3" x14ac:dyDescent="0.25">
      <c r="A439" t="s">
        <v>646</v>
      </c>
      <c r="B439" t="s">
        <v>878</v>
      </c>
      <c r="C439" t="s">
        <v>961</v>
      </c>
    </row>
    <row r="440" spans="1:3" x14ac:dyDescent="0.25">
      <c r="A440" t="s">
        <v>962</v>
      </c>
      <c r="B440" t="s">
        <v>878</v>
      </c>
      <c r="C440" t="s">
        <v>963</v>
      </c>
    </row>
    <row r="441" spans="1:3" x14ac:dyDescent="0.25">
      <c r="A441" t="s">
        <v>964</v>
      </c>
      <c r="B441" t="s">
        <v>878</v>
      </c>
      <c r="C441" t="s">
        <v>965</v>
      </c>
    </row>
    <row r="442" spans="1:3" x14ac:dyDescent="0.25">
      <c r="A442" t="s">
        <v>966</v>
      </c>
      <c r="B442" t="s">
        <v>878</v>
      </c>
      <c r="C442" t="s">
        <v>967</v>
      </c>
    </row>
    <row r="443" spans="1:3" x14ac:dyDescent="0.25">
      <c r="A443" t="s">
        <v>650</v>
      </c>
      <c r="B443" t="s">
        <v>878</v>
      </c>
      <c r="C443" t="s">
        <v>968</v>
      </c>
    </row>
    <row r="444" spans="1:3" x14ac:dyDescent="0.25">
      <c r="A444" t="s">
        <v>969</v>
      </c>
      <c r="B444" t="s">
        <v>878</v>
      </c>
      <c r="C444" t="s">
        <v>970</v>
      </c>
    </row>
    <row r="445" spans="1:3" x14ac:dyDescent="0.25">
      <c r="A445" t="s">
        <v>971</v>
      </c>
      <c r="B445" t="s">
        <v>878</v>
      </c>
      <c r="C445" t="s">
        <v>972</v>
      </c>
    </row>
    <row r="446" spans="1:3" x14ac:dyDescent="0.25">
      <c r="A446" t="s">
        <v>973</v>
      </c>
      <c r="B446" t="s">
        <v>878</v>
      </c>
      <c r="C446" t="s">
        <v>974</v>
      </c>
    </row>
    <row r="447" spans="1:3" x14ac:dyDescent="0.25">
      <c r="A447" t="s">
        <v>189</v>
      </c>
      <c r="B447" t="s">
        <v>878</v>
      </c>
      <c r="C447" t="s">
        <v>975</v>
      </c>
    </row>
    <row r="448" spans="1:3" x14ac:dyDescent="0.25">
      <c r="A448" t="s">
        <v>976</v>
      </c>
      <c r="B448" t="s">
        <v>878</v>
      </c>
      <c r="C448" t="s">
        <v>977</v>
      </c>
    </row>
    <row r="449" spans="1:3" x14ac:dyDescent="0.25">
      <c r="A449" t="s">
        <v>978</v>
      </c>
      <c r="B449" t="s">
        <v>878</v>
      </c>
      <c r="C449" t="s">
        <v>979</v>
      </c>
    </row>
    <row r="450" spans="1:3" x14ac:dyDescent="0.25">
      <c r="A450" t="s">
        <v>191</v>
      </c>
      <c r="B450" t="s">
        <v>878</v>
      </c>
      <c r="C450" t="s">
        <v>980</v>
      </c>
    </row>
    <row r="451" spans="1:3" x14ac:dyDescent="0.25">
      <c r="A451" t="s">
        <v>403</v>
      </c>
      <c r="B451" t="s">
        <v>878</v>
      </c>
      <c r="C451" t="s">
        <v>981</v>
      </c>
    </row>
    <row r="452" spans="1:3" x14ac:dyDescent="0.25">
      <c r="A452" t="s">
        <v>982</v>
      </c>
      <c r="B452" t="s">
        <v>878</v>
      </c>
      <c r="C452" t="s">
        <v>983</v>
      </c>
    </row>
    <row r="453" spans="1:3" x14ac:dyDescent="0.25">
      <c r="A453" t="s">
        <v>984</v>
      </c>
      <c r="B453" t="s">
        <v>878</v>
      </c>
      <c r="C453" t="s">
        <v>985</v>
      </c>
    </row>
    <row r="454" spans="1:3" x14ac:dyDescent="0.25">
      <c r="A454" t="s">
        <v>986</v>
      </c>
      <c r="B454" t="s">
        <v>878</v>
      </c>
      <c r="C454" t="s">
        <v>987</v>
      </c>
    </row>
    <row r="455" spans="1:3" x14ac:dyDescent="0.25">
      <c r="A455" t="s">
        <v>988</v>
      </c>
      <c r="B455" t="s">
        <v>878</v>
      </c>
      <c r="C455" t="s">
        <v>989</v>
      </c>
    </row>
    <row r="456" spans="1:3" x14ac:dyDescent="0.25">
      <c r="A456" t="s">
        <v>990</v>
      </c>
      <c r="B456" t="s">
        <v>878</v>
      </c>
      <c r="C456" t="s">
        <v>991</v>
      </c>
    </row>
    <row r="457" spans="1:3" x14ac:dyDescent="0.25">
      <c r="A457" t="s">
        <v>195</v>
      </c>
      <c r="B457" t="s">
        <v>878</v>
      </c>
      <c r="C457" t="s">
        <v>992</v>
      </c>
    </row>
    <row r="458" spans="1:3" x14ac:dyDescent="0.25">
      <c r="A458" t="s">
        <v>993</v>
      </c>
      <c r="B458" t="s">
        <v>878</v>
      </c>
      <c r="C458" t="s">
        <v>994</v>
      </c>
    </row>
    <row r="459" spans="1:3" x14ac:dyDescent="0.25">
      <c r="A459" t="s">
        <v>995</v>
      </c>
      <c r="B459" t="s">
        <v>878</v>
      </c>
      <c r="C459" t="s">
        <v>996</v>
      </c>
    </row>
    <row r="460" spans="1:3" x14ac:dyDescent="0.25">
      <c r="A460" t="s">
        <v>997</v>
      </c>
      <c r="B460" t="s">
        <v>878</v>
      </c>
      <c r="C460" t="s">
        <v>998</v>
      </c>
    </row>
    <row r="461" spans="1:3" x14ac:dyDescent="0.25">
      <c r="A461" t="s">
        <v>999</v>
      </c>
      <c r="B461" t="s">
        <v>878</v>
      </c>
      <c r="C461" t="s">
        <v>1000</v>
      </c>
    </row>
    <row r="462" spans="1:3" x14ac:dyDescent="0.25">
      <c r="A462" t="s">
        <v>1001</v>
      </c>
      <c r="B462" t="s">
        <v>878</v>
      </c>
      <c r="C462" t="s">
        <v>1002</v>
      </c>
    </row>
    <row r="463" spans="1:3" x14ac:dyDescent="0.25">
      <c r="A463" t="s">
        <v>1003</v>
      </c>
      <c r="B463" t="s">
        <v>878</v>
      </c>
      <c r="C463" t="s">
        <v>1004</v>
      </c>
    </row>
    <row r="464" spans="1:3" x14ac:dyDescent="0.25">
      <c r="A464" t="s">
        <v>1005</v>
      </c>
      <c r="B464" t="s">
        <v>878</v>
      </c>
      <c r="C464" t="s">
        <v>1006</v>
      </c>
    </row>
    <row r="465" spans="1:3" x14ac:dyDescent="0.25">
      <c r="A465" t="s">
        <v>1007</v>
      </c>
      <c r="B465" t="s">
        <v>878</v>
      </c>
      <c r="C465" t="s">
        <v>1008</v>
      </c>
    </row>
    <row r="466" spans="1:3" x14ac:dyDescent="0.25">
      <c r="A466" t="s">
        <v>199</v>
      </c>
      <c r="B466" t="s">
        <v>878</v>
      </c>
      <c r="C466" t="s">
        <v>1009</v>
      </c>
    </row>
    <row r="467" spans="1:3" x14ac:dyDescent="0.25">
      <c r="A467" t="s">
        <v>201</v>
      </c>
      <c r="B467" t="s">
        <v>878</v>
      </c>
      <c r="C467" t="s">
        <v>1010</v>
      </c>
    </row>
    <row r="468" spans="1:3" x14ac:dyDescent="0.25">
      <c r="A468" t="s">
        <v>1011</v>
      </c>
      <c r="B468" t="s">
        <v>878</v>
      </c>
      <c r="C468" t="s">
        <v>1012</v>
      </c>
    </row>
    <row r="469" spans="1:3" x14ac:dyDescent="0.25">
      <c r="A469" t="s">
        <v>203</v>
      </c>
      <c r="B469" t="s">
        <v>878</v>
      </c>
      <c r="C469" t="s">
        <v>1013</v>
      </c>
    </row>
    <row r="470" spans="1:3" x14ac:dyDescent="0.25">
      <c r="A470" t="s">
        <v>1014</v>
      </c>
      <c r="B470" t="s">
        <v>878</v>
      </c>
      <c r="C470" t="s">
        <v>1015</v>
      </c>
    </row>
    <row r="471" spans="1:3" x14ac:dyDescent="0.25">
      <c r="A471" t="s">
        <v>1016</v>
      </c>
      <c r="B471" t="s">
        <v>878</v>
      </c>
      <c r="C471" t="s">
        <v>1017</v>
      </c>
    </row>
    <row r="472" spans="1:3" x14ac:dyDescent="0.25">
      <c r="A472" t="s">
        <v>205</v>
      </c>
      <c r="B472" t="s">
        <v>878</v>
      </c>
      <c r="C472" t="s">
        <v>1018</v>
      </c>
    </row>
    <row r="473" spans="1:3" x14ac:dyDescent="0.25">
      <c r="A473" t="s">
        <v>1019</v>
      </c>
      <c r="B473" t="s">
        <v>878</v>
      </c>
      <c r="C473" t="s">
        <v>1020</v>
      </c>
    </row>
    <row r="474" spans="1:3" x14ac:dyDescent="0.25">
      <c r="A474" t="s">
        <v>422</v>
      </c>
      <c r="B474" t="s">
        <v>878</v>
      </c>
      <c r="C474" t="s">
        <v>1021</v>
      </c>
    </row>
    <row r="475" spans="1:3" x14ac:dyDescent="0.25">
      <c r="A475" t="s">
        <v>1022</v>
      </c>
      <c r="B475" t="s">
        <v>878</v>
      </c>
      <c r="C475" t="s">
        <v>1023</v>
      </c>
    </row>
    <row r="476" spans="1:3" x14ac:dyDescent="0.25">
      <c r="A476" t="s">
        <v>207</v>
      </c>
      <c r="B476" t="s">
        <v>878</v>
      </c>
      <c r="C476" t="s">
        <v>1024</v>
      </c>
    </row>
    <row r="477" spans="1:3" x14ac:dyDescent="0.25">
      <c r="A477" t="s">
        <v>1025</v>
      </c>
      <c r="B477" t="s">
        <v>878</v>
      </c>
      <c r="C477" t="s">
        <v>1026</v>
      </c>
    </row>
    <row r="478" spans="1:3" x14ac:dyDescent="0.25">
      <c r="A478" t="s">
        <v>1027</v>
      </c>
      <c r="B478" t="s">
        <v>878</v>
      </c>
      <c r="C478" t="s">
        <v>1028</v>
      </c>
    </row>
    <row r="479" spans="1:3" x14ac:dyDescent="0.25">
      <c r="A479" t="s">
        <v>213</v>
      </c>
      <c r="B479" t="s">
        <v>878</v>
      </c>
      <c r="C479" t="s">
        <v>1029</v>
      </c>
    </row>
    <row r="480" spans="1:3" x14ac:dyDescent="0.25">
      <c r="A480" t="s">
        <v>824</v>
      </c>
      <c r="B480" t="s">
        <v>878</v>
      </c>
      <c r="C480" t="s">
        <v>1030</v>
      </c>
    </row>
    <row r="481" spans="1:3" x14ac:dyDescent="0.25">
      <c r="A481" t="s">
        <v>428</v>
      </c>
      <c r="B481" t="s">
        <v>878</v>
      </c>
      <c r="C481" t="s">
        <v>1031</v>
      </c>
    </row>
    <row r="482" spans="1:3" x14ac:dyDescent="0.25">
      <c r="A482" t="s">
        <v>1032</v>
      </c>
      <c r="B482" t="s">
        <v>878</v>
      </c>
      <c r="C482" t="s">
        <v>1033</v>
      </c>
    </row>
    <row r="483" spans="1:3" x14ac:dyDescent="0.25">
      <c r="A483" t="s">
        <v>217</v>
      </c>
      <c r="B483" t="s">
        <v>878</v>
      </c>
      <c r="C483" t="s">
        <v>1034</v>
      </c>
    </row>
    <row r="484" spans="1:3" x14ac:dyDescent="0.25">
      <c r="A484" t="s">
        <v>1035</v>
      </c>
      <c r="B484" t="s">
        <v>878</v>
      </c>
      <c r="C484" t="s">
        <v>1036</v>
      </c>
    </row>
    <row r="485" spans="1:3" x14ac:dyDescent="0.25">
      <c r="A485" t="s">
        <v>1037</v>
      </c>
      <c r="B485" t="s">
        <v>878</v>
      </c>
      <c r="C485" t="s">
        <v>1038</v>
      </c>
    </row>
    <row r="486" spans="1:3" x14ac:dyDescent="0.25">
      <c r="A486" t="s">
        <v>1039</v>
      </c>
      <c r="B486" t="s">
        <v>878</v>
      </c>
      <c r="C486" t="s">
        <v>1040</v>
      </c>
    </row>
    <row r="487" spans="1:3" x14ac:dyDescent="0.25">
      <c r="A487" t="s">
        <v>219</v>
      </c>
      <c r="B487" t="s">
        <v>878</v>
      </c>
      <c r="C487" t="s">
        <v>1041</v>
      </c>
    </row>
    <row r="488" spans="1:3" x14ac:dyDescent="0.25">
      <c r="A488" t="s">
        <v>221</v>
      </c>
      <c r="B488" t="s">
        <v>878</v>
      </c>
      <c r="C488" t="s">
        <v>1042</v>
      </c>
    </row>
    <row r="489" spans="1:3" x14ac:dyDescent="0.25">
      <c r="A489" t="s">
        <v>225</v>
      </c>
      <c r="B489" t="s">
        <v>878</v>
      </c>
      <c r="C489" t="s">
        <v>1043</v>
      </c>
    </row>
    <row r="490" spans="1:3" x14ac:dyDescent="0.25">
      <c r="A490" t="s">
        <v>1044</v>
      </c>
      <c r="B490" t="s">
        <v>878</v>
      </c>
      <c r="C490" t="s">
        <v>1045</v>
      </c>
    </row>
    <row r="491" spans="1:3" x14ac:dyDescent="0.25">
      <c r="A491" t="s">
        <v>438</v>
      </c>
      <c r="B491" t="s">
        <v>878</v>
      </c>
      <c r="C491" t="s">
        <v>1046</v>
      </c>
    </row>
    <row r="492" spans="1:3" x14ac:dyDescent="0.25">
      <c r="A492" t="s">
        <v>1047</v>
      </c>
      <c r="B492" t="s">
        <v>878</v>
      </c>
      <c r="C492" t="s">
        <v>1048</v>
      </c>
    </row>
    <row r="493" spans="1:3" x14ac:dyDescent="0.25">
      <c r="A493" t="s">
        <v>231</v>
      </c>
      <c r="B493" t="s">
        <v>878</v>
      </c>
      <c r="C493" t="s">
        <v>1049</v>
      </c>
    </row>
    <row r="494" spans="1:3" x14ac:dyDescent="0.25">
      <c r="A494" t="s">
        <v>233</v>
      </c>
      <c r="B494" t="s">
        <v>878</v>
      </c>
      <c r="C494" t="s">
        <v>1050</v>
      </c>
    </row>
    <row r="495" spans="1:3" x14ac:dyDescent="0.25">
      <c r="A495" t="s">
        <v>235</v>
      </c>
      <c r="B495" t="s">
        <v>878</v>
      </c>
      <c r="C495" t="s">
        <v>1051</v>
      </c>
    </row>
    <row r="496" spans="1:3" x14ac:dyDescent="0.25">
      <c r="A496" t="s">
        <v>1052</v>
      </c>
      <c r="B496" t="s">
        <v>878</v>
      </c>
      <c r="C496" t="s">
        <v>1053</v>
      </c>
    </row>
    <row r="497" spans="1:3" x14ac:dyDescent="0.25">
      <c r="A497" t="s">
        <v>1054</v>
      </c>
      <c r="B497" t="s">
        <v>878</v>
      </c>
      <c r="C497" t="s">
        <v>1055</v>
      </c>
    </row>
    <row r="498" spans="1:3" x14ac:dyDescent="0.25">
      <c r="A498" t="s">
        <v>446</v>
      </c>
      <c r="B498" t="s">
        <v>878</v>
      </c>
      <c r="C498" t="s">
        <v>1056</v>
      </c>
    </row>
    <row r="499" spans="1:3" x14ac:dyDescent="0.25">
      <c r="A499" t="s">
        <v>1057</v>
      </c>
      <c r="B499" t="s">
        <v>878</v>
      </c>
      <c r="C499" t="s">
        <v>1058</v>
      </c>
    </row>
    <row r="500" spans="1:3" x14ac:dyDescent="0.25">
      <c r="A500" t="s">
        <v>1059</v>
      </c>
      <c r="B500" t="s">
        <v>878</v>
      </c>
      <c r="C500" t="s">
        <v>1060</v>
      </c>
    </row>
    <row r="501" spans="1:3" x14ac:dyDescent="0.25">
      <c r="A501" t="s">
        <v>1061</v>
      </c>
      <c r="B501" t="s">
        <v>878</v>
      </c>
      <c r="C501" t="s">
        <v>1062</v>
      </c>
    </row>
    <row r="502" spans="1:3" x14ac:dyDescent="0.25">
      <c r="A502" t="s">
        <v>1063</v>
      </c>
      <c r="B502" t="s">
        <v>878</v>
      </c>
      <c r="C502" t="s">
        <v>1064</v>
      </c>
    </row>
    <row r="503" spans="1:3" x14ac:dyDescent="0.25">
      <c r="A503" t="s">
        <v>239</v>
      </c>
      <c r="B503" t="s">
        <v>878</v>
      </c>
      <c r="C503" t="s">
        <v>1065</v>
      </c>
    </row>
    <row r="504" spans="1:3" x14ac:dyDescent="0.25">
      <c r="A504" t="s">
        <v>1066</v>
      </c>
      <c r="B504" t="s">
        <v>878</v>
      </c>
      <c r="C504" t="s">
        <v>1067</v>
      </c>
    </row>
    <row r="505" spans="1:3" x14ac:dyDescent="0.25">
      <c r="A505" t="s">
        <v>241</v>
      </c>
      <c r="B505" t="s">
        <v>878</v>
      </c>
      <c r="C505" t="s">
        <v>1068</v>
      </c>
    </row>
    <row r="506" spans="1:3" x14ac:dyDescent="0.25">
      <c r="A506" t="s">
        <v>456</v>
      </c>
      <c r="B506" t="s">
        <v>878</v>
      </c>
      <c r="C506" t="s">
        <v>1069</v>
      </c>
    </row>
    <row r="507" spans="1:3" x14ac:dyDescent="0.25">
      <c r="A507" t="s">
        <v>462</v>
      </c>
      <c r="B507" t="s">
        <v>878</v>
      </c>
      <c r="C507" t="s">
        <v>1070</v>
      </c>
    </row>
    <row r="508" spans="1:3" x14ac:dyDescent="0.25">
      <c r="A508" t="s">
        <v>851</v>
      </c>
      <c r="B508" t="s">
        <v>878</v>
      </c>
      <c r="C508" t="s">
        <v>1071</v>
      </c>
    </row>
    <row r="509" spans="1:3" x14ac:dyDescent="0.25">
      <c r="A509" t="s">
        <v>1072</v>
      </c>
      <c r="B509" t="s">
        <v>878</v>
      </c>
      <c r="C509" t="s">
        <v>1073</v>
      </c>
    </row>
    <row r="510" spans="1:3" x14ac:dyDescent="0.25">
      <c r="A510" t="s">
        <v>1074</v>
      </c>
      <c r="B510" t="s">
        <v>878</v>
      </c>
      <c r="C510" t="s">
        <v>1075</v>
      </c>
    </row>
    <row r="511" spans="1:3" x14ac:dyDescent="0.25">
      <c r="A511" t="s">
        <v>243</v>
      </c>
      <c r="B511" t="s">
        <v>878</v>
      </c>
      <c r="C511" t="s">
        <v>1076</v>
      </c>
    </row>
    <row r="512" spans="1:3" x14ac:dyDescent="0.25">
      <c r="A512" t="s">
        <v>1077</v>
      </c>
      <c r="B512" t="s">
        <v>878</v>
      </c>
      <c r="C512" t="s">
        <v>1078</v>
      </c>
    </row>
    <row r="513" spans="1:3" x14ac:dyDescent="0.25">
      <c r="A513" t="s">
        <v>1079</v>
      </c>
      <c r="B513" t="s">
        <v>878</v>
      </c>
      <c r="C513" t="s">
        <v>1080</v>
      </c>
    </row>
    <row r="514" spans="1:3" x14ac:dyDescent="0.25">
      <c r="A514" t="s">
        <v>1081</v>
      </c>
      <c r="B514" t="s">
        <v>878</v>
      </c>
      <c r="C514" t="s">
        <v>1082</v>
      </c>
    </row>
    <row r="515" spans="1:3" x14ac:dyDescent="0.25">
      <c r="A515" t="s">
        <v>1083</v>
      </c>
      <c r="B515" t="s">
        <v>878</v>
      </c>
      <c r="C515" t="s">
        <v>1084</v>
      </c>
    </row>
    <row r="516" spans="1:3" x14ac:dyDescent="0.25">
      <c r="A516" t="s">
        <v>861</v>
      </c>
      <c r="B516" t="s">
        <v>878</v>
      </c>
      <c r="C516" t="s">
        <v>1085</v>
      </c>
    </row>
    <row r="517" spans="1:3" x14ac:dyDescent="0.25">
      <c r="A517" t="s">
        <v>1086</v>
      </c>
      <c r="B517" t="s">
        <v>878</v>
      </c>
      <c r="C517" t="s">
        <v>1087</v>
      </c>
    </row>
    <row r="518" spans="1:3" x14ac:dyDescent="0.25">
      <c r="A518" t="s">
        <v>1088</v>
      </c>
      <c r="B518" t="s">
        <v>878</v>
      </c>
      <c r="C518" t="s">
        <v>1089</v>
      </c>
    </row>
    <row r="519" spans="1:3" x14ac:dyDescent="0.25">
      <c r="A519" t="s">
        <v>1090</v>
      </c>
      <c r="B519" t="s">
        <v>878</v>
      </c>
      <c r="C519" t="s">
        <v>1091</v>
      </c>
    </row>
    <row r="520" spans="1:3" x14ac:dyDescent="0.25">
      <c r="A520" t="s">
        <v>251</v>
      </c>
      <c r="B520" t="s">
        <v>878</v>
      </c>
      <c r="C520" t="s">
        <v>1092</v>
      </c>
    </row>
    <row r="521" spans="1:3" x14ac:dyDescent="0.25">
      <c r="A521" t="s">
        <v>1093</v>
      </c>
      <c r="B521" t="s">
        <v>878</v>
      </c>
      <c r="C521" t="s">
        <v>1094</v>
      </c>
    </row>
    <row r="522" spans="1:3" x14ac:dyDescent="0.25">
      <c r="A522" t="s">
        <v>1095</v>
      </c>
      <c r="B522" t="s">
        <v>878</v>
      </c>
      <c r="C522" t="s">
        <v>1096</v>
      </c>
    </row>
    <row r="523" spans="1:3" x14ac:dyDescent="0.25">
      <c r="A523" t="s">
        <v>1097</v>
      </c>
      <c r="B523" t="s">
        <v>878</v>
      </c>
      <c r="C523" t="s">
        <v>1098</v>
      </c>
    </row>
    <row r="524" spans="1:3" x14ac:dyDescent="0.25">
      <c r="A524" t="s">
        <v>866</v>
      </c>
      <c r="B524" t="s">
        <v>878</v>
      </c>
      <c r="C524" t="s">
        <v>1099</v>
      </c>
    </row>
    <row r="525" spans="1:3" x14ac:dyDescent="0.25">
      <c r="A525" t="s">
        <v>1100</v>
      </c>
      <c r="B525" t="s">
        <v>878</v>
      </c>
      <c r="C525" t="s">
        <v>1101</v>
      </c>
    </row>
    <row r="526" spans="1:3" x14ac:dyDescent="0.25">
      <c r="A526" t="s">
        <v>1102</v>
      </c>
      <c r="B526" t="s">
        <v>878</v>
      </c>
      <c r="C526" t="s">
        <v>1103</v>
      </c>
    </row>
    <row r="527" spans="1:3" x14ac:dyDescent="0.25">
      <c r="A527" t="s">
        <v>1104</v>
      </c>
      <c r="B527" t="s">
        <v>878</v>
      </c>
      <c r="C527" t="s">
        <v>1105</v>
      </c>
    </row>
    <row r="528" spans="1:3" x14ac:dyDescent="0.25">
      <c r="A528" t="s">
        <v>1106</v>
      </c>
      <c r="B528" t="s">
        <v>878</v>
      </c>
      <c r="C528" t="s">
        <v>1107</v>
      </c>
    </row>
    <row r="529" spans="1:3" x14ac:dyDescent="0.25">
      <c r="A529" t="s">
        <v>1108</v>
      </c>
      <c r="B529" t="s">
        <v>878</v>
      </c>
      <c r="C529" t="s">
        <v>1109</v>
      </c>
    </row>
    <row r="530" spans="1:3" x14ac:dyDescent="0.25">
      <c r="A530" t="s">
        <v>1110</v>
      </c>
      <c r="B530" t="s">
        <v>878</v>
      </c>
      <c r="C530" t="s">
        <v>1111</v>
      </c>
    </row>
    <row r="531" spans="1:3" x14ac:dyDescent="0.25">
      <c r="A531" t="s">
        <v>1112</v>
      </c>
      <c r="B531" t="s">
        <v>878</v>
      </c>
      <c r="C531" t="s">
        <v>1113</v>
      </c>
    </row>
    <row r="532" spans="1:3" x14ac:dyDescent="0.25">
      <c r="A532" t="s">
        <v>1114</v>
      </c>
      <c r="B532" t="s">
        <v>878</v>
      </c>
      <c r="C532" t="s">
        <v>1115</v>
      </c>
    </row>
    <row r="533" spans="1:3" x14ac:dyDescent="0.25">
      <c r="A533" t="s">
        <v>1116</v>
      </c>
      <c r="B533" t="s">
        <v>878</v>
      </c>
      <c r="C533" t="s">
        <v>1117</v>
      </c>
    </row>
    <row r="534" spans="1:3" x14ac:dyDescent="0.25">
      <c r="A534" t="s">
        <v>1118</v>
      </c>
      <c r="B534" t="s">
        <v>878</v>
      </c>
      <c r="C534" t="s">
        <v>1119</v>
      </c>
    </row>
    <row r="535" spans="1:3" x14ac:dyDescent="0.25">
      <c r="A535" t="s">
        <v>481</v>
      </c>
      <c r="B535" t="s">
        <v>878</v>
      </c>
      <c r="C535" t="s">
        <v>1120</v>
      </c>
    </row>
    <row r="536" spans="1:3" x14ac:dyDescent="0.25">
      <c r="A536" t="s">
        <v>1121</v>
      </c>
      <c r="B536" t="s">
        <v>878</v>
      </c>
      <c r="C536" t="s">
        <v>1122</v>
      </c>
    </row>
    <row r="537" spans="1:3" x14ac:dyDescent="0.25">
      <c r="A537" t="s">
        <v>259</v>
      </c>
      <c r="B537" t="s">
        <v>878</v>
      </c>
      <c r="C537" t="s">
        <v>1123</v>
      </c>
    </row>
    <row r="538" spans="1:3" x14ac:dyDescent="0.25">
      <c r="A538" t="s">
        <v>873</v>
      </c>
      <c r="B538" t="s">
        <v>878</v>
      </c>
      <c r="C538" t="s">
        <v>1124</v>
      </c>
    </row>
    <row r="539" spans="1:3" x14ac:dyDescent="0.25">
      <c r="A539" t="s">
        <v>1125</v>
      </c>
      <c r="B539" t="s">
        <v>878</v>
      </c>
      <c r="C539" t="s">
        <v>1126</v>
      </c>
    </row>
    <row r="540" spans="1:3" x14ac:dyDescent="0.25">
      <c r="A540" t="s">
        <v>1127</v>
      </c>
      <c r="B540" t="s">
        <v>878</v>
      </c>
      <c r="C540" t="s">
        <v>1128</v>
      </c>
    </row>
    <row r="541" spans="1:3" x14ac:dyDescent="0.25">
      <c r="A541" t="s">
        <v>261</v>
      </c>
      <c r="B541" t="s">
        <v>878</v>
      </c>
      <c r="C541" t="s">
        <v>1129</v>
      </c>
    </row>
    <row r="542" spans="1:3" x14ac:dyDescent="0.25">
      <c r="A542" t="s">
        <v>1130</v>
      </c>
      <c r="B542" t="s">
        <v>878</v>
      </c>
      <c r="C542" t="s">
        <v>1131</v>
      </c>
    </row>
    <row r="543" spans="1:3" x14ac:dyDescent="0.25">
      <c r="A543" t="s">
        <v>1132</v>
      </c>
      <c r="B543" t="s">
        <v>878</v>
      </c>
      <c r="C543" t="s">
        <v>1133</v>
      </c>
    </row>
    <row r="544" spans="1:3" x14ac:dyDescent="0.25">
      <c r="A544" t="s">
        <v>1134</v>
      </c>
      <c r="B544" t="s">
        <v>878</v>
      </c>
      <c r="C544" t="s">
        <v>1135</v>
      </c>
    </row>
    <row r="545" spans="1:3" x14ac:dyDescent="0.25">
      <c r="A545" t="s">
        <v>486</v>
      </c>
      <c r="B545" t="s">
        <v>878</v>
      </c>
      <c r="C545" t="s">
        <v>1136</v>
      </c>
    </row>
    <row r="546" spans="1:3" x14ac:dyDescent="0.25">
      <c r="A546" t="s">
        <v>1137</v>
      </c>
      <c r="B546" t="s">
        <v>878</v>
      </c>
      <c r="C546" t="s">
        <v>1138</v>
      </c>
    </row>
    <row r="547" spans="1:3" x14ac:dyDescent="0.25">
      <c r="A547" t="s">
        <v>263</v>
      </c>
      <c r="B547" t="s">
        <v>878</v>
      </c>
      <c r="C547" t="s">
        <v>1139</v>
      </c>
    </row>
    <row r="548" spans="1:3" x14ac:dyDescent="0.25">
      <c r="A548" t="s">
        <v>1140</v>
      </c>
      <c r="B548" t="s">
        <v>878</v>
      </c>
      <c r="C548" t="s">
        <v>1141</v>
      </c>
    </row>
    <row r="549" spans="1:3" x14ac:dyDescent="0.25">
      <c r="A549" t="s">
        <v>1142</v>
      </c>
      <c r="B549" t="s">
        <v>878</v>
      </c>
      <c r="C549" t="s">
        <v>1143</v>
      </c>
    </row>
    <row r="550" spans="1:3" x14ac:dyDescent="0.25">
      <c r="A550" t="s">
        <v>1144</v>
      </c>
      <c r="B550" t="s">
        <v>878</v>
      </c>
      <c r="C550" t="s">
        <v>1145</v>
      </c>
    </row>
    <row r="551" spans="1:3" x14ac:dyDescent="0.25">
      <c r="A551" t="s">
        <v>1147</v>
      </c>
      <c r="B551" t="s">
        <v>1148</v>
      </c>
      <c r="C551" t="s">
        <v>1149</v>
      </c>
    </row>
    <row r="552" spans="1:3" x14ac:dyDescent="0.25">
      <c r="A552" t="s">
        <v>1150</v>
      </c>
      <c r="B552" t="s">
        <v>1148</v>
      </c>
      <c r="C552" t="s">
        <v>1151</v>
      </c>
    </row>
    <row r="553" spans="1:3" x14ac:dyDescent="0.25">
      <c r="A553" t="s">
        <v>1152</v>
      </c>
      <c r="B553" t="s">
        <v>1148</v>
      </c>
      <c r="C553" t="s">
        <v>1153</v>
      </c>
    </row>
    <row r="554" spans="1:3" x14ac:dyDescent="0.25">
      <c r="A554" t="s">
        <v>1154</v>
      </c>
      <c r="B554" t="s">
        <v>1148</v>
      </c>
      <c r="C554" t="s">
        <v>1155</v>
      </c>
    </row>
    <row r="555" spans="1:3" x14ac:dyDescent="0.25">
      <c r="A555" t="s">
        <v>1156</v>
      </c>
      <c r="B555" t="s">
        <v>1148</v>
      </c>
      <c r="C555" t="s">
        <v>1157</v>
      </c>
    </row>
    <row r="556" spans="1:3" x14ac:dyDescent="0.25">
      <c r="A556" t="s">
        <v>1159</v>
      </c>
      <c r="B556" t="s">
        <v>1160</v>
      </c>
      <c r="C556" t="s">
        <v>1161</v>
      </c>
    </row>
    <row r="557" spans="1:3" x14ac:dyDescent="0.25">
      <c r="A557" t="s">
        <v>609</v>
      </c>
      <c r="B557" t="s">
        <v>1160</v>
      </c>
      <c r="C557" t="s">
        <v>1162</v>
      </c>
    </row>
    <row r="558" spans="1:3" x14ac:dyDescent="0.25">
      <c r="A558" t="s">
        <v>1163</v>
      </c>
      <c r="B558" t="s">
        <v>1160</v>
      </c>
      <c r="C558" t="s">
        <v>1164</v>
      </c>
    </row>
    <row r="559" spans="1:3" x14ac:dyDescent="0.25">
      <c r="A559" t="s">
        <v>1165</v>
      </c>
      <c r="B559" t="s">
        <v>1160</v>
      </c>
      <c r="C559" t="s">
        <v>1166</v>
      </c>
    </row>
    <row r="560" spans="1:3" x14ac:dyDescent="0.25">
      <c r="A560" t="s">
        <v>1167</v>
      </c>
      <c r="B560" t="s">
        <v>1160</v>
      </c>
      <c r="C560" t="s">
        <v>1168</v>
      </c>
    </row>
    <row r="561" spans="1:3" x14ac:dyDescent="0.25">
      <c r="A561" t="s">
        <v>1169</v>
      </c>
      <c r="B561" t="s">
        <v>1160</v>
      </c>
      <c r="C561" t="s">
        <v>1170</v>
      </c>
    </row>
    <row r="562" spans="1:3" x14ac:dyDescent="0.25">
      <c r="A562" t="s">
        <v>1171</v>
      </c>
      <c r="B562" t="s">
        <v>1160</v>
      </c>
      <c r="C562" t="s">
        <v>1172</v>
      </c>
    </row>
    <row r="563" spans="1:3" x14ac:dyDescent="0.25">
      <c r="A563" t="s">
        <v>1173</v>
      </c>
      <c r="B563" t="s">
        <v>1160</v>
      </c>
      <c r="C563" t="s">
        <v>1174</v>
      </c>
    </row>
    <row r="564" spans="1:3" x14ac:dyDescent="0.25">
      <c r="A564" t="s">
        <v>1175</v>
      </c>
      <c r="B564" t="s">
        <v>1160</v>
      </c>
      <c r="C564" t="s">
        <v>1176</v>
      </c>
    </row>
    <row r="565" spans="1:3" x14ac:dyDescent="0.25">
      <c r="A565" t="s">
        <v>1177</v>
      </c>
      <c r="B565" t="s">
        <v>1160</v>
      </c>
      <c r="C565" t="s">
        <v>1178</v>
      </c>
    </row>
    <row r="566" spans="1:3" x14ac:dyDescent="0.25">
      <c r="A566" t="s">
        <v>1179</v>
      </c>
      <c r="B566" t="s">
        <v>1160</v>
      </c>
      <c r="C566" t="s">
        <v>1180</v>
      </c>
    </row>
    <row r="567" spans="1:3" x14ac:dyDescent="0.25">
      <c r="A567" t="s">
        <v>500</v>
      </c>
      <c r="B567" t="s">
        <v>1160</v>
      </c>
      <c r="C567" t="s">
        <v>1181</v>
      </c>
    </row>
    <row r="568" spans="1:3" x14ac:dyDescent="0.25">
      <c r="A568" t="s">
        <v>1182</v>
      </c>
      <c r="B568" t="s">
        <v>1160</v>
      </c>
      <c r="C568" t="s">
        <v>1183</v>
      </c>
    </row>
    <row r="569" spans="1:3" x14ac:dyDescent="0.25">
      <c r="A569" t="s">
        <v>1184</v>
      </c>
      <c r="B569" t="s">
        <v>1160</v>
      </c>
      <c r="C569" t="s">
        <v>1185</v>
      </c>
    </row>
    <row r="570" spans="1:3" x14ac:dyDescent="0.25">
      <c r="A570" t="s">
        <v>1186</v>
      </c>
      <c r="B570" t="s">
        <v>1160</v>
      </c>
      <c r="C570" t="s">
        <v>1187</v>
      </c>
    </row>
    <row r="571" spans="1:3" x14ac:dyDescent="0.25">
      <c r="A571" t="s">
        <v>1188</v>
      </c>
      <c r="B571" t="s">
        <v>1160</v>
      </c>
      <c r="C571" t="s">
        <v>1189</v>
      </c>
    </row>
    <row r="572" spans="1:3" x14ac:dyDescent="0.25">
      <c r="A572" t="s">
        <v>377</v>
      </c>
      <c r="B572" t="s">
        <v>1160</v>
      </c>
      <c r="C572" t="s">
        <v>1190</v>
      </c>
    </row>
    <row r="573" spans="1:3" x14ac:dyDescent="0.25">
      <c r="A573" t="s">
        <v>1191</v>
      </c>
      <c r="B573" t="s">
        <v>1160</v>
      </c>
      <c r="C573" t="s">
        <v>1192</v>
      </c>
    </row>
    <row r="574" spans="1:3" x14ac:dyDescent="0.25">
      <c r="A574" t="s">
        <v>638</v>
      </c>
      <c r="B574" t="s">
        <v>1160</v>
      </c>
      <c r="C574" t="s">
        <v>1193</v>
      </c>
    </row>
    <row r="575" spans="1:3" x14ac:dyDescent="0.25">
      <c r="A575" t="s">
        <v>183</v>
      </c>
      <c r="B575" t="s">
        <v>1160</v>
      </c>
      <c r="C575" t="s">
        <v>1194</v>
      </c>
    </row>
    <row r="576" spans="1:3" x14ac:dyDescent="0.25">
      <c r="A576" t="s">
        <v>191</v>
      </c>
      <c r="B576" t="s">
        <v>1160</v>
      </c>
      <c r="C576" t="s">
        <v>1195</v>
      </c>
    </row>
    <row r="577" spans="1:3" x14ac:dyDescent="0.25">
      <c r="A577" t="s">
        <v>654</v>
      </c>
      <c r="B577" t="s">
        <v>1160</v>
      </c>
      <c r="C577" t="s">
        <v>1196</v>
      </c>
    </row>
    <row r="578" spans="1:3" x14ac:dyDescent="0.25">
      <c r="A578" t="s">
        <v>1197</v>
      </c>
      <c r="B578" t="s">
        <v>1160</v>
      </c>
      <c r="C578" t="s">
        <v>1198</v>
      </c>
    </row>
    <row r="579" spans="1:3" x14ac:dyDescent="0.25">
      <c r="A579" t="s">
        <v>1199</v>
      </c>
      <c r="B579" t="s">
        <v>1160</v>
      </c>
      <c r="C579" t="s">
        <v>1200</v>
      </c>
    </row>
    <row r="580" spans="1:3" x14ac:dyDescent="0.25">
      <c r="A580" t="s">
        <v>1201</v>
      </c>
      <c r="B580" t="s">
        <v>1160</v>
      </c>
      <c r="C580" t="s">
        <v>1202</v>
      </c>
    </row>
    <row r="581" spans="1:3" x14ac:dyDescent="0.25">
      <c r="A581" t="s">
        <v>205</v>
      </c>
      <c r="B581" t="s">
        <v>1160</v>
      </c>
      <c r="C581" t="s">
        <v>1203</v>
      </c>
    </row>
    <row r="582" spans="1:3" x14ac:dyDescent="0.25">
      <c r="A582" t="s">
        <v>1204</v>
      </c>
      <c r="B582" t="s">
        <v>1160</v>
      </c>
      <c r="C582" t="s">
        <v>1205</v>
      </c>
    </row>
    <row r="583" spans="1:3" x14ac:dyDescent="0.25">
      <c r="A583" t="s">
        <v>1206</v>
      </c>
      <c r="B583" t="s">
        <v>1160</v>
      </c>
      <c r="C583" t="s">
        <v>1207</v>
      </c>
    </row>
    <row r="584" spans="1:3" x14ac:dyDescent="0.25">
      <c r="A584" t="s">
        <v>1208</v>
      </c>
      <c r="B584" t="s">
        <v>1160</v>
      </c>
      <c r="C584" t="s">
        <v>1209</v>
      </c>
    </row>
    <row r="585" spans="1:3" x14ac:dyDescent="0.25">
      <c r="A585" t="s">
        <v>1210</v>
      </c>
      <c r="B585" t="s">
        <v>1160</v>
      </c>
      <c r="C585" t="s">
        <v>1211</v>
      </c>
    </row>
    <row r="586" spans="1:3" x14ac:dyDescent="0.25">
      <c r="A586" t="s">
        <v>1212</v>
      </c>
      <c r="B586" t="s">
        <v>1160</v>
      </c>
      <c r="C586" t="s">
        <v>1213</v>
      </c>
    </row>
    <row r="587" spans="1:3" x14ac:dyDescent="0.25">
      <c r="A587" t="s">
        <v>428</v>
      </c>
      <c r="B587" t="s">
        <v>1160</v>
      </c>
      <c r="C587" t="s">
        <v>1214</v>
      </c>
    </row>
    <row r="588" spans="1:3" x14ac:dyDescent="0.25">
      <c r="A588" t="s">
        <v>221</v>
      </c>
      <c r="B588" t="s">
        <v>1160</v>
      </c>
      <c r="C588" t="s">
        <v>1215</v>
      </c>
    </row>
    <row r="589" spans="1:3" x14ac:dyDescent="0.25">
      <c r="A589" t="s">
        <v>1216</v>
      </c>
      <c r="B589" t="s">
        <v>1160</v>
      </c>
      <c r="C589" t="s">
        <v>1217</v>
      </c>
    </row>
    <row r="590" spans="1:3" x14ac:dyDescent="0.25">
      <c r="A590" t="s">
        <v>1218</v>
      </c>
      <c r="B590" t="s">
        <v>1160</v>
      </c>
      <c r="C590" t="s">
        <v>1219</v>
      </c>
    </row>
    <row r="591" spans="1:3" x14ac:dyDescent="0.25">
      <c r="A591" t="s">
        <v>1220</v>
      </c>
      <c r="B591" t="s">
        <v>1160</v>
      </c>
      <c r="C591" t="s">
        <v>1221</v>
      </c>
    </row>
    <row r="592" spans="1:3" x14ac:dyDescent="0.25">
      <c r="A592" t="s">
        <v>1222</v>
      </c>
      <c r="B592" t="s">
        <v>1160</v>
      </c>
      <c r="C592" t="s">
        <v>1223</v>
      </c>
    </row>
    <row r="593" spans="1:3" x14ac:dyDescent="0.25">
      <c r="A593" t="s">
        <v>1224</v>
      </c>
      <c r="B593" t="s">
        <v>1160</v>
      </c>
      <c r="C593" t="s">
        <v>1225</v>
      </c>
    </row>
    <row r="594" spans="1:3" x14ac:dyDescent="0.25">
      <c r="A594" t="s">
        <v>1226</v>
      </c>
      <c r="B594" t="s">
        <v>1160</v>
      </c>
      <c r="C594" t="s">
        <v>1227</v>
      </c>
    </row>
    <row r="595" spans="1:3" x14ac:dyDescent="0.25">
      <c r="A595" t="s">
        <v>1228</v>
      </c>
      <c r="B595" t="s">
        <v>1160</v>
      </c>
      <c r="C595" t="s">
        <v>1229</v>
      </c>
    </row>
    <row r="596" spans="1:3" x14ac:dyDescent="0.25">
      <c r="A596" t="s">
        <v>1230</v>
      </c>
      <c r="B596" t="s">
        <v>1160</v>
      </c>
      <c r="C596" t="s">
        <v>1231</v>
      </c>
    </row>
    <row r="597" spans="1:3" x14ac:dyDescent="0.25">
      <c r="A597" t="s">
        <v>1232</v>
      </c>
      <c r="B597" t="s">
        <v>1160</v>
      </c>
      <c r="C597" t="s">
        <v>1233</v>
      </c>
    </row>
    <row r="598" spans="1:3" x14ac:dyDescent="0.25">
      <c r="A598" t="s">
        <v>1234</v>
      </c>
      <c r="B598" t="s">
        <v>1160</v>
      </c>
      <c r="C598" t="s">
        <v>1235</v>
      </c>
    </row>
    <row r="599" spans="1:3" x14ac:dyDescent="0.25">
      <c r="A599" t="s">
        <v>261</v>
      </c>
      <c r="B599" t="s">
        <v>1160</v>
      </c>
      <c r="C599" t="s">
        <v>1236</v>
      </c>
    </row>
    <row r="600" spans="1:3" x14ac:dyDescent="0.25">
      <c r="A600" t="s">
        <v>609</v>
      </c>
      <c r="B600" t="s">
        <v>1238</v>
      </c>
      <c r="C600" t="s">
        <v>1239</v>
      </c>
    </row>
    <row r="601" spans="1:3" x14ac:dyDescent="0.25">
      <c r="A601" t="s">
        <v>1240</v>
      </c>
      <c r="B601" t="s">
        <v>1238</v>
      </c>
      <c r="C601" t="s">
        <v>1241</v>
      </c>
    </row>
    <row r="602" spans="1:3" x14ac:dyDescent="0.25">
      <c r="A602" t="s">
        <v>1242</v>
      </c>
      <c r="B602" t="s">
        <v>1238</v>
      </c>
      <c r="C602" t="s">
        <v>1243</v>
      </c>
    </row>
    <row r="603" spans="1:3" x14ac:dyDescent="0.25">
      <c r="A603" t="s">
        <v>368</v>
      </c>
      <c r="B603" t="s">
        <v>1238</v>
      </c>
      <c r="C603" t="s">
        <v>1244</v>
      </c>
    </row>
    <row r="604" spans="1:3" x14ac:dyDescent="0.25">
      <c r="A604" t="s">
        <v>1245</v>
      </c>
      <c r="B604" t="s">
        <v>1238</v>
      </c>
      <c r="C604" t="s">
        <v>1246</v>
      </c>
    </row>
    <row r="605" spans="1:3" x14ac:dyDescent="0.25">
      <c r="A605" t="s">
        <v>1247</v>
      </c>
      <c r="B605" t="s">
        <v>1238</v>
      </c>
      <c r="C605" t="s">
        <v>1248</v>
      </c>
    </row>
    <row r="606" spans="1:3" x14ac:dyDescent="0.25">
      <c r="A606" t="s">
        <v>147</v>
      </c>
      <c r="B606" t="s">
        <v>1238</v>
      </c>
      <c r="C606" t="s">
        <v>1249</v>
      </c>
    </row>
    <row r="607" spans="1:3" x14ac:dyDescent="0.25">
      <c r="A607" t="s">
        <v>373</v>
      </c>
      <c r="B607" t="s">
        <v>1238</v>
      </c>
      <c r="C607" t="s">
        <v>1250</v>
      </c>
    </row>
    <row r="608" spans="1:3" x14ac:dyDescent="0.25">
      <c r="A608" t="s">
        <v>1251</v>
      </c>
      <c r="B608" t="s">
        <v>1238</v>
      </c>
      <c r="C608" t="s">
        <v>1252</v>
      </c>
    </row>
    <row r="609" spans="1:3" x14ac:dyDescent="0.25">
      <c r="A609" t="s">
        <v>1253</v>
      </c>
      <c r="B609" t="s">
        <v>1238</v>
      </c>
      <c r="C609" t="s">
        <v>1254</v>
      </c>
    </row>
    <row r="610" spans="1:3" x14ac:dyDescent="0.25">
      <c r="A610" t="s">
        <v>1255</v>
      </c>
      <c r="B610" t="s">
        <v>1238</v>
      </c>
      <c r="C610" t="s">
        <v>1256</v>
      </c>
    </row>
    <row r="611" spans="1:3" x14ac:dyDescent="0.25">
      <c r="A611" t="s">
        <v>377</v>
      </c>
      <c r="B611" t="s">
        <v>1238</v>
      </c>
      <c r="C611" t="s">
        <v>1257</v>
      </c>
    </row>
    <row r="612" spans="1:3" x14ac:dyDescent="0.25">
      <c r="A612" t="s">
        <v>159</v>
      </c>
      <c r="B612" t="s">
        <v>1238</v>
      </c>
      <c r="C612" t="s">
        <v>1258</v>
      </c>
    </row>
    <row r="613" spans="1:3" x14ac:dyDescent="0.25">
      <c r="A613" t="s">
        <v>1259</v>
      </c>
      <c r="B613" t="s">
        <v>1238</v>
      </c>
      <c r="C613" t="s">
        <v>1260</v>
      </c>
    </row>
    <row r="614" spans="1:3" x14ac:dyDescent="0.25">
      <c r="A614" t="s">
        <v>1261</v>
      </c>
      <c r="B614" t="s">
        <v>1238</v>
      </c>
      <c r="C614" t="s">
        <v>1262</v>
      </c>
    </row>
    <row r="615" spans="1:3" x14ac:dyDescent="0.25">
      <c r="A615" t="s">
        <v>941</v>
      </c>
      <c r="B615" t="s">
        <v>1238</v>
      </c>
      <c r="C615" t="s">
        <v>1263</v>
      </c>
    </row>
    <row r="616" spans="1:3" x14ac:dyDescent="0.25">
      <c r="A616" t="s">
        <v>389</v>
      </c>
      <c r="B616" t="s">
        <v>1238</v>
      </c>
      <c r="C616" t="s">
        <v>1264</v>
      </c>
    </row>
    <row r="617" spans="1:3" x14ac:dyDescent="0.25">
      <c r="A617" t="s">
        <v>1265</v>
      </c>
      <c r="B617" t="s">
        <v>1238</v>
      </c>
      <c r="C617" t="s">
        <v>1266</v>
      </c>
    </row>
    <row r="618" spans="1:3" x14ac:dyDescent="0.25">
      <c r="A618" t="s">
        <v>181</v>
      </c>
      <c r="B618" t="s">
        <v>1238</v>
      </c>
      <c r="C618" t="s">
        <v>1267</v>
      </c>
    </row>
    <row r="619" spans="1:3" x14ac:dyDescent="0.25">
      <c r="A619" t="s">
        <v>1268</v>
      </c>
      <c r="B619" t="s">
        <v>1238</v>
      </c>
      <c r="C619" t="s">
        <v>1269</v>
      </c>
    </row>
    <row r="620" spans="1:3" x14ac:dyDescent="0.25">
      <c r="A620" t="s">
        <v>646</v>
      </c>
      <c r="B620" t="s">
        <v>1238</v>
      </c>
      <c r="C620" t="s">
        <v>1270</v>
      </c>
    </row>
    <row r="621" spans="1:3" x14ac:dyDescent="0.25">
      <c r="A621" t="s">
        <v>1271</v>
      </c>
      <c r="B621" t="s">
        <v>1238</v>
      </c>
      <c r="C621" t="s">
        <v>1272</v>
      </c>
    </row>
    <row r="622" spans="1:3" x14ac:dyDescent="0.25">
      <c r="A622" t="s">
        <v>1273</v>
      </c>
      <c r="B622" t="s">
        <v>1238</v>
      </c>
      <c r="C622" t="s">
        <v>1274</v>
      </c>
    </row>
    <row r="623" spans="1:3" x14ac:dyDescent="0.25">
      <c r="A623" t="s">
        <v>1275</v>
      </c>
      <c r="B623" t="s">
        <v>1238</v>
      </c>
      <c r="C623" t="s">
        <v>1276</v>
      </c>
    </row>
    <row r="624" spans="1:3" x14ac:dyDescent="0.25">
      <c r="A624" t="s">
        <v>966</v>
      </c>
      <c r="B624" t="s">
        <v>1238</v>
      </c>
      <c r="C624" t="s">
        <v>1277</v>
      </c>
    </row>
    <row r="625" spans="1:3" x14ac:dyDescent="0.25">
      <c r="A625" t="s">
        <v>189</v>
      </c>
      <c r="B625" t="s">
        <v>1238</v>
      </c>
      <c r="C625" t="s">
        <v>1278</v>
      </c>
    </row>
    <row r="626" spans="1:3" x14ac:dyDescent="0.25">
      <c r="A626" t="s">
        <v>1279</v>
      </c>
      <c r="B626" t="s">
        <v>1238</v>
      </c>
      <c r="C626" t="s">
        <v>1280</v>
      </c>
    </row>
    <row r="627" spans="1:3" x14ac:dyDescent="0.25">
      <c r="A627" t="s">
        <v>191</v>
      </c>
      <c r="B627" t="s">
        <v>1238</v>
      </c>
      <c r="C627" t="s">
        <v>1281</v>
      </c>
    </row>
    <row r="628" spans="1:3" x14ac:dyDescent="0.25">
      <c r="A628" t="s">
        <v>403</v>
      </c>
      <c r="B628" t="s">
        <v>1238</v>
      </c>
      <c r="C628" t="s">
        <v>1282</v>
      </c>
    </row>
    <row r="629" spans="1:3" x14ac:dyDescent="0.25">
      <c r="A629" t="s">
        <v>1283</v>
      </c>
      <c r="B629" t="s">
        <v>1238</v>
      </c>
      <c r="C629" t="s">
        <v>1284</v>
      </c>
    </row>
    <row r="630" spans="1:3" x14ac:dyDescent="0.25">
      <c r="A630" t="s">
        <v>195</v>
      </c>
      <c r="B630" t="s">
        <v>1238</v>
      </c>
      <c r="C630" t="s">
        <v>1285</v>
      </c>
    </row>
    <row r="631" spans="1:3" x14ac:dyDescent="0.25">
      <c r="A631" t="s">
        <v>1286</v>
      </c>
      <c r="B631" t="s">
        <v>1238</v>
      </c>
      <c r="C631" t="s">
        <v>1287</v>
      </c>
    </row>
    <row r="632" spans="1:3" x14ac:dyDescent="0.25">
      <c r="A632" t="s">
        <v>799</v>
      </c>
      <c r="B632" t="s">
        <v>1238</v>
      </c>
      <c r="C632" t="s">
        <v>1288</v>
      </c>
    </row>
    <row r="633" spans="1:3" x14ac:dyDescent="0.25">
      <c r="A633" t="s">
        <v>999</v>
      </c>
      <c r="B633" t="s">
        <v>1238</v>
      </c>
      <c r="C633" t="s">
        <v>1289</v>
      </c>
    </row>
    <row r="634" spans="1:3" x14ac:dyDescent="0.25">
      <c r="A634" t="s">
        <v>1290</v>
      </c>
      <c r="B634" t="s">
        <v>1238</v>
      </c>
      <c r="C634" t="s">
        <v>1291</v>
      </c>
    </row>
    <row r="635" spans="1:3" x14ac:dyDescent="0.25">
      <c r="A635" t="s">
        <v>1292</v>
      </c>
      <c r="B635" t="s">
        <v>1238</v>
      </c>
      <c r="C635" t="s">
        <v>1293</v>
      </c>
    </row>
    <row r="636" spans="1:3" x14ac:dyDescent="0.25">
      <c r="A636" t="s">
        <v>199</v>
      </c>
      <c r="B636" t="s">
        <v>1238</v>
      </c>
      <c r="C636" t="s">
        <v>1294</v>
      </c>
    </row>
    <row r="637" spans="1:3" x14ac:dyDescent="0.25">
      <c r="A637" t="s">
        <v>1295</v>
      </c>
      <c r="B637" t="s">
        <v>1238</v>
      </c>
      <c r="C637" t="s">
        <v>1296</v>
      </c>
    </row>
    <row r="638" spans="1:3" x14ac:dyDescent="0.25">
      <c r="A638" t="s">
        <v>203</v>
      </c>
      <c r="B638" t="s">
        <v>1238</v>
      </c>
      <c r="C638" t="s">
        <v>1297</v>
      </c>
    </row>
    <row r="639" spans="1:3" x14ac:dyDescent="0.25">
      <c r="A639" t="s">
        <v>1014</v>
      </c>
      <c r="B639" t="s">
        <v>1238</v>
      </c>
      <c r="C639" t="s">
        <v>1298</v>
      </c>
    </row>
    <row r="640" spans="1:3" x14ac:dyDescent="0.25">
      <c r="A640" t="s">
        <v>205</v>
      </c>
      <c r="B640" t="s">
        <v>1238</v>
      </c>
      <c r="C640" t="s">
        <v>1299</v>
      </c>
    </row>
    <row r="641" spans="1:3" x14ac:dyDescent="0.25">
      <c r="A641" t="s">
        <v>1300</v>
      </c>
      <c r="B641" t="s">
        <v>1238</v>
      </c>
      <c r="C641" t="s">
        <v>1301</v>
      </c>
    </row>
    <row r="642" spans="1:3" x14ac:dyDescent="0.25">
      <c r="A642" t="s">
        <v>1302</v>
      </c>
      <c r="B642" t="s">
        <v>1238</v>
      </c>
      <c r="C642" t="s">
        <v>1303</v>
      </c>
    </row>
    <row r="643" spans="1:3" x14ac:dyDescent="0.25">
      <c r="A643" t="s">
        <v>422</v>
      </c>
      <c r="B643" t="s">
        <v>1238</v>
      </c>
      <c r="C643" t="s">
        <v>1304</v>
      </c>
    </row>
    <row r="644" spans="1:3" x14ac:dyDescent="0.25">
      <c r="A644" t="s">
        <v>1305</v>
      </c>
      <c r="B644" t="s">
        <v>1238</v>
      </c>
      <c r="C644" t="s">
        <v>1306</v>
      </c>
    </row>
    <row r="645" spans="1:3" x14ac:dyDescent="0.25">
      <c r="A645" t="s">
        <v>1307</v>
      </c>
      <c r="B645" t="s">
        <v>1238</v>
      </c>
      <c r="C645" t="s">
        <v>1308</v>
      </c>
    </row>
    <row r="646" spans="1:3" x14ac:dyDescent="0.25">
      <c r="A646" t="s">
        <v>1309</v>
      </c>
      <c r="B646" t="s">
        <v>1238</v>
      </c>
      <c r="C646" t="s">
        <v>1310</v>
      </c>
    </row>
    <row r="647" spans="1:3" x14ac:dyDescent="0.25">
      <c r="A647" t="s">
        <v>1311</v>
      </c>
      <c r="B647" t="s">
        <v>1238</v>
      </c>
      <c r="C647" t="s">
        <v>1312</v>
      </c>
    </row>
    <row r="648" spans="1:3" x14ac:dyDescent="0.25">
      <c r="A648" t="s">
        <v>526</v>
      </c>
      <c r="B648" t="s">
        <v>1238</v>
      </c>
      <c r="C648" t="s">
        <v>1313</v>
      </c>
    </row>
    <row r="649" spans="1:3" x14ac:dyDescent="0.25">
      <c r="A649" t="s">
        <v>1314</v>
      </c>
      <c r="B649" t="s">
        <v>1238</v>
      </c>
      <c r="C649" t="s">
        <v>1315</v>
      </c>
    </row>
    <row r="650" spans="1:3" x14ac:dyDescent="0.25">
      <c r="A650" t="s">
        <v>211</v>
      </c>
      <c r="B650" t="s">
        <v>1238</v>
      </c>
      <c r="C650" t="s">
        <v>1316</v>
      </c>
    </row>
    <row r="651" spans="1:3" x14ac:dyDescent="0.25">
      <c r="A651" t="s">
        <v>213</v>
      </c>
      <c r="B651" t="s">
        <v>1238</v>
      </c>
      <c r="C651" t="s">
        <v>1317</v>
      </c>
    </row>
    <row r="652" spans="1:3" x14ac:dyDescent="0.25">
      <c r="A652" t="s">
        <v>1318</v>
      </c>
      <c r="B652" t="s">
        <v>1238</v>
      </c>
      <c r="C652" t="s">
        <v>1319</v>
      </c>
    </row>
    <row r="653" spans="1:3" x14ac:dyDescent="0.25">
      <c r="A653" t="s">
        <v>432</v>
      </c>
      <c r="B653" t="s">
        <v>1238</v>
      </c>
      <c r="C653" t="s">
        <v>1320</v>
      </c>
    </row>
    <row r="654" spans="1:3" x14ac:dyDescent="0.25">
      <c r="A654" t="s">
        <v>1321</v>
      </c>
      <c r="B654" t="s">
        <v>1238</v>
      </c>
      <c r="C654" t="s">
        <v>1322</v>
      </c>
    </row>
    <row r="655" spans="1:3" x14ac:dyDescent="0.25">
      <c r="A655" t="s">
        <v>1323</v>
      </c>
      <c r="B655" t="s">
        <v>1238</v>
      </c>
      <c r="C655" t="s">
        <v>1324</v>
      </c>
    </row>
    <row r="656" spans="1:3" x14ac:dyDescent="0.25">
      <c r="A656" t="s">
        <v>1325</v>
      </c>
      <c r="B656" t="s">
        <v>1238</v>
      </c>
      <c r="C656" t="s">
        <v>1326</v>
      </c>
    </row>
    <row r="657" spans="1:3" x14ac:dyDescent="0.25">
      <c r="A657" t="s">
        <v>219</v>
      </c>
      <c r="B657" t="s">
        <v>1238</v>
      </c>
      <c r="C657" t="s">
        <v>1327</v>
      </c>
    </row>
    <row r="658" spans="1:3" x14ac:dyDescent="0.25">
      <c r="A658" t="s">
        <v>1328</v>
      </c>
      <c r="B658" t="s">
        <v>1238</v>
      </c>
      <c r="C658" t="s">
        <v>1329</v>
      </c>
    </row>
    <row r="659" spans="1:3" x14ac:dyDescent="0.25">
      <c r="A659" t="s">
        <v>221</v>
      </c>
      <c r="B659" t="s">
        <v>1238</v>
      </c>
      <c r="C659" t="s">
        <v>1330</v>
      </c>
    </row>
    <row r="660" spans="1:3" x14ac:dyDescent="0.25">
      <c r="A660" t="s">
        <v>225</v>
      </c>
      <c r="B660" t="s">
        <v>1238</v>
      </c>
      <c r="C660" t="s">
        <v>1331</v>
      </c>
    </row>
    <row r="661" spans="1:3" x14ac:dyDescent="0.25">
      <c r="A661" t="s">
        <v>227</v>
      </c>
      <c r="B661" t="s">
        <v>1238</v>
      </c>
      <c r="C661" t="s">
        <v>1332</v>
      </c>
    </row>
    <row r="662" spans="1:3" x14ac:dyDescent="0.25">
      <c r="A662" t="s">
        <v>1333</v>
      </c>
      <c r="B662" t="s">
        <v>1238</v>
      </c>
      <c r="C662" t="s">
        <v>1334</v>
      </c>
    </row>
    <row r="663" spans="1:3" x14ac:dyDescent="0.25">
      <c r="A663" t="s">
        <v>1335</v>
      </c>
      <c r="B663" t="s">
        <v>1238</v>
      </c>
      <c r="C663" t="s">
        <v>1336</v>
      </c>
    </row>
    <row r="664" spans="1:3" x14ac:dyDescent="0.25">
      <c r="A664" t="s">
        <v>1337</v>
      </c>
      <c r="B664" t="s">
        <v>1238</v>
      </c>
      <c r="C664" t="s">
        <v>1338</v>
      </c>
    </row>
    <row r="665" spans="1:3" x14ac:dyDescent="0.25">
      <c r="A665" t="s">
        <v>1339</v>
      </c>
      <c r="B665" t="s">
        <v>1238</v>
      </c>
      <c r="C665" t="s">
        <v>1340</v>
      </c>
    </row>
    <row r="666" spans="1:3" x14ac:dyDescent="0.25">
      <c r="A666" t="s">
        <v>231</v>
      </c>
      <c r="B666" t="s">
        <v>1238</v>
      </c>
      <c r="C666" t="s">
        <v>1341</v>
      </c>
    </row>
    <row r="667" spans="1:3" x14ac:dyDescent="0.25">
      <c r="A667" t="s">
        <v>233</v>
      </c>
      <c r="B667" t="s">
        <v>1238</v>
      </c>
      <c r="C667" t="s">
        <v>1342</v>
      </c>
    </row>
    <row r="668" spans="1:3" x14ac:dyDescent="0.25">
      <c r="A668" t="s">
        <v>235</v>
      </c>
      <c r="B668" t="s">
        <v>1238</v>
      </c>
      <c r="C668" t="s">
        <v>1343</v>
      </c>
    </row>
    <row r="669" spans="1:3" x14ac:dyDescent="0.25">
      <c r="A669" t="s">
        <v>1344</v>
      </c>
      <c r="B669" t="s">
        <v>1238</v>
      </c>
      <c r="C669" t="s">
        <v>1345</v>
      </c>
    </row>
    <row r="670" spans="1:3" x14ac:dyDescent="0.25">
      <c r="A670" t="s">
        <v>1346</v>
      </c>
      <c r="B670" t="s">
        <v>1238</v>
      </c>
      <c r="C670" t="s">
        <v>1347</v>
      </c>
    </row>
    <row r="671" spans="1:3" x14ac:dyDescent="0.25">
      <c r="A671" t="s">
        <v>1348</v>
      </c>
      <c r="B671" t="s">
        <v>1238</v>
      </c>
      <c r="C671" t="s">
        <v>1349</v>
      </c>
    </row>
    <row r="672" spans="1:3" x14ac:dyDescent="0.25">
      <c r="A672" t="s">
        <v>237</v>
      </c>
      <c r="B672" t="s">
        <v>1238</v>
      </c>
      <c r="C672" t="s">
        <v>1350</v>
      </c>
    </row>
    <row r="673" spans="1:3" x14ac:dyDescent="0.25">
      <c r="A673" t="s">
        <v>1351</v>
      </c>
      <c r="B673" t="s">
        <v>1238</v>
      </c>
      <c r="C673" t="s">
        <v>1352</v>
      </c>
    </row>
    <row r="674" spans="1:3" x14ac:dyDescent="0.25">
      <c r="A674" t="s">
        <v>241</v>
      </c>
      <c r="B674" t="s">
        <v>1238</v>
      </c>
      <c r="C674" t="s">
        <v>1353</v>
      </c>
    </row>
    <row r="675" spans="1:3" x14ac:dyDescent="0.25">
      <c r="A675" t="s">
        <v>458</v>
      </c>
      <c r="B675" t="s">
        <v>1238</v>
      </c>
      <c r="C675" t="s">
        <v>1354</v>
      </c>
    </row>
    <row r="676" spans="1:3" x14ac:dyDescent="0.25">
      <c r="A676" t="s">
        <v>462</v>
      </c>
      <c r="B676" t="s">
        <v>1238</v>
      </c>
      <c r="C676" t="s">
        <v>1355</v>
      </c>
    </row>
    <row r="677" spans="1:3" x14ac:dyDescent="0.25">
      <c r="A677" t="s">
        <v>851</v>
      </c>
      <c r="B677" t="s">
        <v>1238</v>
      </c>
      <c r="C677" t="s">
        <v>1356</v>
      </c>
    </row>
    <row r="678" spans="1:3" x14ac:dyDescent="0.25">
      <c r="A678" t="s">
        <v>243</v>
      </c>
      <c r="B678" t="s">
        <v>1238</v>
      </c>
      <c r="C678" t="s">
        <v>1357</v>
      </c>
    </row>
    <row r="679" spans="1:3" x14ac:dyDescent="0.25">
      <c r="A679" t="s">
        <v>1358</v>
      </c>
      <c r="B679" t="s">
        <v>1238</v>
      </c>
      <c r="C679" t="s">
        <v>1359</v>
      </c>
    </row>
    <row r="680" spans="1:3" x14ac:dyDescent="0.25">
      <c r="A680" t="s">
        <v>1360</v>
      </c>
      <c r="B680" t="s">
        <v>1238</v>
      </c>
      <c r="C680" t="s">
        <v>1361</v>
      </c>
    </row>
    <row r="681" spans="1:3" x14ac:dyDescent="0.25">
      <c r="A681" t="s">
        <v>247</v>
      </c>
      <c r="B681" t="s">
        <v>1238</v>
      </c>
      <c r="C681" t="s">
        <v>1362</v>
      </c>
    </row>
    <row r="682" spans="1:3" x14ac:dyDescent="0.25">
      <c r="A682" t="s">
        <v>467</v>
      </c>
      <c r="B682" t="s">
        <v>1238</v>
      </c>
      <c r="C682" t="s">
        <v>1363</v>
      </c>
    </row>
    <row r="683" spans="1:3" x14ac:dyDescent="0.25">
      <c r="A683" t="s">
        <v>1364</v>
      </c>
      <c r="B683" t="s">
        <v>1238</v>
      </c>
      <c r="C683" t="s">
        <v>1365</v>
      </c>
    </row>
    <row r="684" spans="1:3" x14ac:dyDescent="0.25">
      <c r="A684" t="s">
        <v>1366</v>
      </c>
      <c r="B684" t="s">
        <v>1238</v>
      </c>
      <c r="C684" t="s">
        <v>1367</v>
      </c>
    </row>
    <row r="685" spans="1:3" x14ac:dyDescent="0.25">
      <c r="A685" t="s">
        <v>469</v>
      </c>
      <c r="B685" t="s">
        <v>1238</v>
      </c>
      <c r="C685" t="s">
        <v>1368</v>
      </c>
    </row>
    <row r="686" spans="1:3" x14ac:dyDescent="0.25">
      <c r="A686" t="s">
        <v>249</v>
      </c>
      <c r="B686" t="s">
        <v>1238</v>
      </c>
      <c r="C686" t="s">
        <v>1369</v>
      </c>
    </row>
    <row r="687" spans="1:3" x14ac:dyDescent="0.25">
      <c r="A687" t="s">
        <v>1370</v>
      </c>
      <c r="B687" t="s">
        <v>1238</v>
      </c>
      <c r="C687" t="s">
        <v>1371</v>
      </c>
    </row>
    <row r="688" spans="1:3" x14ac:dyDescent="0.25">
      <c r="A688" t="s">
        <v>1372</v>
      </c>
      <c r="B688" t="s">
        <v>1238</v>
      </c>
      <c r="C688" t="s">
        <v>1373</v>
      </c>
    </row>
    <row r="689" spans="1:3" x14ac:dyDescent="0.25">
      <c r="A689" t="s">
        <v>1374</v>
      </c>
      <c r="B689" t="s">
        <v>1238</v>
      </c>
      <c r="C689" t="s">
        <v>1375</v>
      </c>
    </row>
    <row r="690" spans="1:3" x14ac:dyDescent="0.25">
      <c r="A690" t="s">
        <v>481</v>
      </c>
      <c r="B690" t="s">
        <v>1238</v>
      </c>
      <c r="C690" t="s">
        <v>1376</v>
      </c>
    </row>
    <row r="691" spans="1:3" x14ac:dyDescent="0.25">
      <c r="A691" t="s">
        <v>1377</v>
      </c>
      <c r="B691" t="s">
        <v>1238</v>
      </c>
      <c r="C691" t="s">
        <v>1378</v>
      </c>
    </row>
    <row r="692" spans="1:3" x14ac:dyDescent="0.25">
      <c r="A692" t="s">
        <v>1379</v>
      </c>
      <c r="B692" t="s">
        <v>1238</v>
      </c>
      <c r="C692" t="s">
        <v>1380</v>
      </c>
    </row>
    <row r="693" spans="1:3" x14ac:dyDescent="0.25">
      <c r="A693" t="s">
        <v>1127</v>
      </c>
      <c r="B693" t="s">
        <v>1238</v>
      </c>
      <c r="C693" t="s">
        <v>1381</v>
      </c>
    </row>
    <row r="694" spans="1:3" x14ac:dyDescent="0.25">
      <c r="A694" t="s">
        <v>261</v>
      </c>
      <c r="B694" t="s">
        <v>1238</v>
      </c>
      <c r="C694" t="s">
        <v>1382</v>
      </c>
    </row>
    <row r="695" spans="1:3" x14ac:dyDescent="0.25">
      <c r="A695" t="s">
        <v>1130</v>
      </c>
      <c r="B695" t="s">
        <v>1238</v>
      </c>
      <c r="C695" t="s">
        <v>1383</v>
      </c>
    </row>
    <row r="696" spans="1:3" x14ac:dyDescent="0.25">
      <c r="A696" t="s">
        <v>486</v>
      </c>
      <c r="B696" t="s">
        <v>1238</v>
      </c>
      <c r="C696" t="s">
        <v>1384</v>
      </c>
    </row>
    <row r="697" spans="1:3" x14ac:dyDescent="0.25">
      <c r="A697" t="s">
        <v>1385</v>
      </c>
      <c r="B697" t="s">
        <v>1238</v>
      </c>
      <c r="C697" t="s">
        <v>1386</v>
      </c>
    </row>
    <row r="698" spans="1:3" x14ac:dyDescent="0.25">
      <c r="A698" t="s">
        <v>1387</v>
      </c>
      <c r="B698" t="s">
        <v>1238</v>
      </c>
      <c r="C698" t="s">
        <v>1388</v>
      </c>
    </row>
    <row r="699" spans="1:3" x14ac:dyDescent="0.25">
      <c r="A699" t="s">
        <v>1389</v>
      </c>
      <c r="B699" t="s">
        <v>1238</v>
      </c>
      <c r="C699" t="s">
        <v>1390</v>
      </c>
    </row>
    <row r="700" spans="1:3" x14ac:dyDescent="0.25">
      <c r="A700" t="s">
        <v>1391</v>
      </c>
      <c r="B700" t="s">
        <v>1238</v>
      </c>
      <c r="C700" t="s">
        <v>1392</v>
      </c>
    </row>
    <row r="701" spans="1:3" x14ac:dyDescent="0.25">
      <c r="A701" t="s">
        <v>1393</v>
      </c>
      <c r="B701" t="s">
        <v>1238</v>
      </c>
      <c r="C701" t="s">
        <v>1394</v>
      </c>
    </row>
    <row r="702" spans="1:3" x14ac:dyDescent="0.25">
      <c r="A702" t="s">
        <v>609</v>
      </c>
      <c r="B702" t="s">
        <v>1396</v>
      </c>
      <c r="C702" t="s">
        <v>1397</v>
      </c>
    </row>
    <row r="703" spans="1:3" x14ac:dyDescent="0.25">
      <c r="A703" t="s">
        <v>1398</v>
      </c>
      <c r="B703" t="s">
        <v>1396</v>
      </c>
      <c r="C703" t="s">
        <v>1399</v>
      </c>
    </row>
    <row r="704" spans="1:3" x14ac:dyDescent="0.25">
      <c r="A704" t="s">
        <v>1400</v>
      </c>
      <c r="B704" t="s">
        <v>1396</v>
      </c>
      <c r="C704" t="s">
        <v>1401</v>
      </c>
    </row>
    <row r="705" spans="1:3" x14ac:dyDescent="0.25">
      <c r="A705" t="s">
        <v>366</v>
      </c>
      <c r="B705" t="s">
        <v>1396</v>
      </c>
      <c r="C705" t="s">
        <v>1402</v>
      </c>
    </row>
    <row r="706" spans="1:3" x14ac:dyDescent="0.25">
      <c r="A706" t="s">
        <v>1403</v>
      </c>
      <c r="B706" t="s">
        <v>1396</v>
      </c>
      <c r="C706" t="s">
        <v>1404</v>
      </c>
    </row>
    <row r="707" spans="1:3" x14ac:dyDescent="0.25">
      <c r="A707" t="s">
        <v>368</v>
      </c>
      <c r="B707" t="s">
        <v>1396</v>
      </c>
      <c r="C707" t="s">
        <v>1405</v>
      </c>
    </row>
    <row r="708" spans="1:3" x14ac:dyDescent="0.25">
      <c r="A708" t="s">
        <v>1245</v>
      </c>
      <c r="B708" t="s">
        <v>1396</v>
      </c>
      <c r="C708" t="s">
        <v>1406</v>
      </c>
    </row>
    <row r="709" spans="1:3" x14ac:dyDescent="0.25">
      <c r="A709" t="s">
        <v>373</v>
      </c>
      <c r="B709" t="s">
        <v>1396</v>
      </c>
      <c r="C709" t="s">
        <v>1407</v>
      </c>
    </row>
    <row r="710" spans="1:3" x14ac:dyDescent="0.25">
      <c r="A710" t="s">
        <v>1251</v>
      </c>
      <c r="B710" t="s">
        <v>1396</v>
      </c>
      <c r="C710" t="s">
        <v>1408</v>
      </c>
    </row>
    <row r="711" spans="1:3" x14ac:dyDescent="0.25">
      <c r="A711" t="s">
        <v>377</v>
      </c>
      <c r="B711" t="s">
        <v>1396</v>
      </c>
      <c r="C711" t="s">
        <v>1409</v>
      </c>
    </row>
    <row r="712" spans="1:3" x14ac:dyDescent="0.25">
      <c r="A712" t="s">
        <v>159</v>
      </c>
      <c r="B712" t="s">
        <v>1396</v>
      </c>
      <c r="C712" t="s">
        <v>1410</v>
      </c>
    </row>
    <row r="713" spans="1:3" x14ac:dyDescent="0.25">
      <c r="A713" t="s">
        <v>1259</v>
      </c>
      <c r="B713" t="s">
        <v>1396</v>
      </c>
      <c r="C713" t="s">
        <v>1411</v>
      </c>
    </row>
    <row r="714" spans="1:3" x14ac:dyDescent="0.25">
      <c r="A714" t="s">
        <v>389</v>
      </c>
      <c r="B714" t="s">
        <v>1396</v>
      </c>
      <c r="C714" t="s">
        <v>1412</v>
      </c>
    </row>
    <row r="715" spans="1:3" x14ac:dyDescent="0.25">
      <c r="A715" t="s">
        <v>1413</v>
      </c>
      <c r="B715" t="s">
        <v>1396</v>
      </c>
      <c r="C715" t="s">
        <v>1414</v>
      </c>
    </row>
    <row r="716" spans="1:3" x14ac:dyDescent="0.25">
      <c r="A716" t="s">
        <v>1415</v>
      </c>
      <c r="B716" t="s">
        <v>1396</v>
      </c>
      <c r="C716" t="s">
        <v>1416</v>
      </c>
    </row>
    <row r="717" spans="1:3" x14ac:dyDescent="0.25">
      <c r="A717" t="s">
        <v>952</v>
      </c>
      <c r="B717" t="s">
        <v>1396</v>
      </c>
      <c r="C717" t="s">
        <v>1417</v>
      </c>
    </row>
    <row r="718" spans="1:3" x14ac:dyDescent="0.25">
      <c r="A718" t="s">
        <v>181</v>
      </c>
      <c r="B718" t="s">
        <v>1396</v>
      </c>
      <c r="C718" t="s">
        <v>1418</v>
      </c>
    </row>
    <row r="719" spans="1:3" x14ac:dyDescent="0.25">
      <c r="A719" t="s">
        <v>1419</v>
      </c>
      <c r="B719" t="s">
        <v>1396</v>
      </c>
      <c r="C719" t="s">
        <v>1420</v>
      </c>
    </row>
    <row r="720" spans="1:3" x14ac:dyDescent="0.25">
      <c r="A720" t="s">
        <v>1421</v>
      </c>
      <c r="B720" t="s">
        <v>1396</v>
      </c>
      <c r="C720" t="s">
        <v>1422</v>
      </c>
    </row>
    <row r="721" spans="1:3" x14ac:dyDescent="0.25">
      <c r="A721" t="s">
        <v>1423</v>
      </c>
      <c r="B721" t="s">
        <v>1396</v>
      </c>
      <c r="C721" t="s">
        <v>1424</v>
      </c>
    </row>
    <row r="722" spans="1:3" x14ac:dyDescent="0.25">
      <c r="A722" t="s">
        <v>189</v>
      </c>
      <c r="B722" t="s">
        <v>1396</v>
      </c>
      <c r="C722" t="s">
        <v>1425</v>
      </c>
    </row>
    <row r="723" spans="1:3" x14ac:dyDescent="0.25">
      <c r="A723" t="s">
        <v>976</v>
      </c>
      <c r="B723" t="s">
        <v>1396</v>
      </c>
      <c r="C723" t="s">
        <v>1426</v>
      </c>
    </row>
    <row r="724" spans="1:3" x14ac:dyDescent="0.25">
      <c r="A724" t="s">
        <v>1427</v>
      </c>
      <c r="B724" t="s">
        <v>1396</v>
      </c>
      <c r="C724" t="s">
        <v>1428</v>
      </c>
    </row>
    <row r="725" spans="1:3" x14ac:dyDescent="0.25">
      <c r="A725" t="s">
        <v>191</v>
      </c>
      <c r="B725" t="s">
        <v>1396</v>
      </c>
      <c r="C725" t="s">
        <v>1429</v>
      </c>
    </row>
    <row r="726" spans="1:3" x14ac:dyDescent="0.25">
      <c r="A726" t="s">
        <v>403</v>
      </c>
      <c r="B726" t="s">
        <v>1396</v>
      </c>
      <c r="C726" t="s">
        <v>1430</v>
      </c>
    </row>
    <row r="727" spans="1:3" x14ac:dyDescent="0.25">
      <c r="A727" t="s">
        <v>1431</v>
      </c>
      <c r="B727" t="s">
        <v>1396</v>
      </c>
      <c r="C727" t="s">
        <v>1432</v>
      </c>
    </row>
    <row r="728" spans="1:3" x14ac:dyDescent="0.25">
      <c r="A728" t="s">
        <v>407</v>
      </c>
      <c r="B728" t="s">
        <v>1396</v>
      </c>
      <c r="C728" t="s">
        <v>1433</v>
      </c>
    </row>
    <row r="729" spans="1:3" x14ac:dyDescent="0.25">
      <c r="A729" t="s">
        <v>195</v>
      </c>
      <c r="B729" t="s">
        <v>1396</v>
      </c>
      <c r="C729" t="s">
        <v>1434</v>
      </c>
    </row>
    <row r="730" spans="1:3" x14ac:dyDescent="0.25">
      <c r="A730" t="s">
        <v>799</v>
      </c>
      <c r="B730" t="s">
        <v>1396</v>
      </c>
      <c r="C730" t="s">
        <v>1435</v>
      </c>
    </row>
    <row r="731" spans="1:3" x14ac:dyDescent="0.25">
      <c r="A731" t="s">
        <v>999</v>
      </c>
      <c r="B731" t="s">
        <v>1396</v>
      </c>
      <c r="C731" t="s">
        <v>1436</v>
      </c>
    </row>
    <row r="732" spans="1:3" x14ac:dyDescent="0.25">
      <c r="A732" t="s">
        <v>1437</v>
      </c>
      <c r="B732" t="s">
        <v>1396</v>
      </c>
      <c r="C732" t="s">
        <v>1438</v>
      </c>
    </row>
    <row r="733" spans="1:3" x14ac:dyDescent="0.25">
      <c r="A733" t="s">
        <v>1439</v>
      </c>
      <c r="B733" t="s">
        <v>1396</v>
      </c>
      <c r="C733" t="s">
        <v>1440</v>
      </c>
    </row>
    <row r="734" spans="1:3" x14ac:dyDescent="0.25">
      <c r="A734" t="s">
        <v>199</v>
      </c>
      <c r="B734" t="s">
        <v>1396</v>
      </c>
      <c r="C734" t="s">
        <v>1441</v>
      </c>
    </row>
    <row r="735" spans="1:3" x14ac:dyDescent="0.25">
      <c r="A735" t="s">
        <v>414</v>
      </c>
      <c r="B735" t="s">
        <v>1396</v>
      </c>
      <c r="C735" t="s">
        <v>1442</v>
      </c>
    </row>
    <row r="736" spans="1:3" x14ac:dyDescent="0.25">
      <c r="A736" t="s">
        <v>1443</v>
      </c>
      <c r="B736" t="s">
        <v>1396</v>
      </c>
      <c r="C736" t="s">
        <v>1444</v>
      </c>
    </row>
    <row r="737" spans="1:3" x14ac:dyDescent="0.25">
      <c r="A737" t="s">
        <v>203</v>
      </c>
      <c r="B737" t="s">
        <v>1396</v>
      </c>
      <c r="C737" t="s">
        <v>1445</v>
      </c>
    </row>
    <row r="738" spans="1:3" x14ac:dyDescent="0.25">
      <c r="A738" t="s">
        <v>1014</v>
      </c>
      <c r="B738" t="s">
        <v>1396</v>
      </c>
      <c r="C738" t="s">
        <v>1446</v>
      </c>
    </row>
    <row r="739" spans="1:3" x14ac:dyDescent="0.25">
      <c r="A739" t="s">
        <v>1447</v>
      </c>
      <c r="B739" t="s">
        <v>1396</v>
      </c>
      <c r="C739" t="s">
        <v>1448</v>
      </c>
    </row>
    <row r="740" spans="1:3" x14ac:dyDescent="0.25">
      <c r="A740" t="s">
        <v>205</v>
      </c>
      <c r="B740" t="s">
        <v>1396</v>
      </c>
      <c r="C740" t="s">
        <v>1449</v>
      </c>
    </row>
    <row r="741" spans="1:3" x14ac:dyDescent="0.25">
      <c r="A741" t="s">
        <v>1450</v>
      </c>
      <c r="B741" t="s">
        <v>1396</v>
      </c>
      <c r="C741" t="s">
        <v>1451</v>
      </c>
    </row>
    <row r="742" spans="1:3" x14ac:dyDescent="0.25">
      <c r="A742" t="s">
        <v>422</v>
      </c>
      <c r="B742" t="s">
        <v>1396</v>
      </c>
      <c r="C742" t="s">
        <v>1452</v>
      </c>
    </row>
    <row r="743" spans="1:3" x14ac:dyDescent="0.25">
      <c r="A743" t="s">
        <v>1311</v>
      </c>
      <c r="B743" t="s">
        <v>1396</v>
      </c>
      <c r="C743" t="s">
        <v>1453</v>
      </c>
    </row>
    <row r="744" spans="1:3" x14ac:dyDescent="0.25">
      <c r="A744" t="s">
        <v>1454</v>
      </c>
      <c r="B744" t="s">
        <v>1396</v>
      </c>
      <c r="C744" t="s">
        <v>1455</v>
      </c>
    </row>
    <row r="745" spans="1:3" x14ac:dyDescent="0.25">
      <c r="A745" t="s">
        <v>1456</v>
      </c>
      <c r="B745" t="s">
        <v>1396</v>
      </c>
      <c r="C745" t="s">
        <v>1457</v>
      </c>
    </row>
    <row r="746" spans="1:3" x14ac:dyDescent="0.25">
      <c r="A746" t="s">
        <v>526</v>
      </c>
      <c r="B746" t="s">
        <v>1396</v>
      </c>
      <c r="C746" t="s">
        <v>1458</v>
      </c>
    </row>
    <row r="747" spans="1:3" x14ac:dyDescent="0.25">
      <c r="A747" t="s">
        <v>1459</v>
      </c>
      <c r="B747" t="s">
        <v>1396</v>
      </c>
      <c r="C747" t="s">
        <v>1460</v>
      </c>
    </row>
    <row r="748" spans="1:3" x14ac:dyDescent="0.25">
      <c r="A748" t="s">
        <v>211</v>
      </c>
      <c r="B748" t="s">
        <v>1396</v>
      </c>
      <c r="C748" t="s">
        <v>1461</v>
      </c>
    </row>
    <row r="749" spans="1:3" x14ac:dyDescent="0.25">
      <c r="A749" t="s">
        <v>221</v>
      </c>
      <c r="B749" t="s">
        <v>1396</v>
      </c>
      <c r="C749" t="s">
        <v>1462</v>
      </c>
    </row>
    <row r="750" spans="1:3" x14ac:dyDescent="0.25">
      <c r="A750" t="s">
        <v>225</v>
      </c>
      <c r="B750" t="s">
        <v>1396</v>
      </c>
      <c r="C750" t="s">
        <v>1463</v>
      </c>
    </row>
    <row r="751" spans="1:3" x14ac:dyDescent="0.25">
      <c r="A751" t="s">
        <v>227</v>
      </c>
      <c r="B751" t="s">
        <v>1396</v>
      </c>
      <c r="C751" t="s">
        <v>1464</v>
      </c>
    </row>
    <row r="752" spans="1:3" x14ac:dyDescent="0.25">
      <c r="A752" t="s">
        <v>830</v>
      </c>
      <c r="B752" t="s">
        <v>1396</v>
      </c>
      <c r="C752" t="s">
        <v>1465</v>
      </c>
    </row>
    <row r="753" spans="1:3" x14ac:dyDescent="0.25">
      <c r="A753" t="s">
        <v>1466</v>
      </c>
      <c r="B753" t="s">
        <v>1396</v>
      </c>
      <c r="C753" t="s">
        <v>1467</v>
      </c>
    </row>
    <row r="754" spans="1:3" x14ac:dyDescent="0.25">
      <c r="A754" t="s">
        <v>231</v>
      </c>
      <c r="B754" t="s">
        <v>1396</v>
      </c>
      <c r="C754" t="s">
        <v>1468</v>
      </c>
    </row>
    <row r="755" spans="1:3" x14ac:dyDescent="0.25">
      <c r="A755" t="s">
        <v>233</v>
      </c>
      <c r="B755" t="s">
        <v>1396</v>
      </c>
      <c r="C755" t="s">
        <v>1469</v>
      </c>
    </row>
    <row r="756" spans="1:3" x14ac:dyDescent="0.25">
      <c r="A756" t="s">
        <v>235</v>
      </c>
      <c r="B756" t="s">
        <v>1396</v>
      </c>
      <c r="C756" t="s">
        <v>1470</v>
      </c>
    </row>
    <row r="757" spans="1:3" x14ac:dyDescent="0.25">
      <c r="A757" t="s">
        <v>446</v>
      </c>
      <c r="B757" t="s">
        <v>1396</v>
      </c>
      <c r="C757" t="s">
        <v>1471</v>
      </c>
    </row>
    <row r="758" spans="1:3" x14ac:dyDescent="0.25">
      <c r="A758" t="s">
        <v>1472</v>
      </c>
      <c r="B758" t="s">
        <v>1396</v>
      </c>
      <c r="C758" t="s">
        <v>1473</v>
      </c>
    </row>
    <row r="759" spans="1:3" x14ac:dyDescent="0.25">
      <c r="A759" t="s">
        <v>1474</v>
      </c>
      <c r="B759" t="s">
        <v>1396</v>
      </c>
      <c r="C759" t="s">
        <v>1475</v>
      </c>
    </row>
    <row r="760" spans="1:3" x14ac:dyDescent="0.25">
      <c r="A760" t="s">
        <v>551</v>
      </c>
      <c r="B760" t="s">
        <v>1396</v>
      </c>
      <c r="C760" t="s">
        <v>1476</v>
      </c>
    </row>
    <row r="761" spans="1:3" x14ac:dyDescent="0.25">
      <c r="A761" t="s">
        <v>1477</v>
      </c>
      <c r="B761" t="s">
        <v>1396</v>
      </c>
      <c r="C761" t="s">
        <v>1478</v>
      </c>
    </row>
    <row r="762" spans="1:3" x14ac:dyDescent="0.25">
      <c r="A762" t="s">
        <v>1479</v>
      </c>
      <c r="B762" t="s">
        <v>1396</v>
      </c>
      <c r="C762" t="s">
        <v>1480</v>
      </c>
    </row>
    <row r="763" spans="1:3" x14ac:dyDescent="0.25">
      <c r="A763" t="s">
        <v>237</v>
      </c>
      <c r="B763" t="s">
        <v>1396</v>
      </c>
      <c r="C763" t="s">
        <v>1481</v>
      </c>
    </row>
    <row r="764" spans="1:3" x14ac:dyDescent="0.25">
      <c r="A764" t="s">
        <v>241</v>
      </c>
      <c r="B764" t="s">
        <v>1396</v>
      </c>
      <c r="C764" t="s">
        <v>1482</v>
      </c>
    </row>
    <row r="765" spans="1:3" x14ac:dyDescent="0.25">
      <c r="A765" t="s">
        <v>1483</v>
      </c>
      <c r="B765" t="s">
        <v>1396</v>
      </c>
      <c r="C765" t="s">
        <v>1484</v>
      </c>
    </row>
    <row r="766" spans="1:3" x14ac:dyDescent="0.25">
      <c r="A766" t="s">
        <v>1485</v>
      </c>
      <c r="B766" t="s">
        <v>1396</v>
      </c>
      <c r="C766" t="s">
        <v>1486</v>
      </c>
    </row>
    <row r="767" spans="1:3" x14ac:dyDescent="0.25">
      <c r="A767" t="s">
        <v>462</v>
      </c>
      <c r="B767" t="s">
        <v>1396</v>
      </c>
      <c r="C767" t="s">
        <v>1487</v>
      </c>
    </row>
    <row r="768" spans="1:3" x14ac:dyDescent="0.25">
      <c r="A768" t="s">
        <v>851</v>
      </c>
      <c r="B768" t="s">
        <v>1396</v>
      </c>
      <c r="C768" t="s">
        <v>1488</v>
      </c>
    </row>
    <row r="769" spans="1:3" x14ac:dyDescent="0.25">
      <c r="A769" t="s">
        <v>243</v>
      </c>
      <c r="B769" t="s">
        <v>1396</v>
      </c>
      <c r="C769" t="s">
        <v>1489</v>
      </c>
    </row>
    <row r="770" spans="1:3" x14ac:dyDescent="0.25">
      <c r="A770" t="s">
        <v>1490</v>
      </c>
      <c r="B770" t="s">
        <v>1396</v>
      </c>
      <c r="C770" t="s">
        <v>1491</v>
      </c>
    </row>
    <row r="771" spans="1:3" x14ac:dyDescent="0.25">
      <c r="A771" t="s">
        <v>1492</v>
      </c>
      <c r="B771" t="s">
        <v>1396</v>
      </c>
      <c r="C771" t="s">
        <v>1493</v>
      </c>
    </row>
    <row r="772" spans="1:3" x14ac:dyDescent="0.25">
      <c r="A772" t="s">
        <v>1494</v>
      </c>
      <c r="B772" t="s">
        <v>1396</v>
      </c>
      <c r="C772" t="s">
        <v>1495</v>
      </c>
    </row>
    <row r="773" spans="1:3" x14ac:dyDescent="0.25">
      <c r="A773" t="s">
        <v>469</v>
      </c>
      <c r="B773" t="s">
        <v>1396</v>
      </c>
      <c r="C773" t="s">
        <v>1496</v>
      </c>
    </row>
    <row r="774" spans="1:3" x14ac:dyDescent="0.25">
      <c r="A774" t="s">
        <v>249</v>
      </c>
      <c r="B774" t="s">
        <v>1396</v>
      </c>
      <c r="C774" t="s">
        <v>1497</v>
      </c>
    </row>
    <row r="775" spans="1:3" x14ac:dyDescent="0.25">
      <c r="A775" t="s">
        <v>1498</v>
      </c>
      <c r="B775" t="s">
        <v>1396</v>
      </c>
      <c r="C775" t="s">
        <v>1499</v>
      </c>
    </row>
    <row r="776" spans="1:3" x14ac:dyDescent="0.25">
      <c r="A776" t="s">
        <v>1500</v>
      </c>
      <c r="B776" t="s">
        <v>1396</v>
      </c>
      <c r="C776" t="s">
        <v>1501</v>
      </c>
    </row>
    <row r="777" spans="1:3" x14ac:dyDescent="0.25">
      <c r="A777" t="s">
        <v>1502</v>
      </c>
      <c r="B777" t="s">
        <v>1396</v>
      </c>
      <c r="C777" t="s">
        <v>1503</v>
      </c>
    </row>
    <row r="778" spans="1:3" x14ac:dyDescent="0.25">
      <c r="A778" t="s">
        <v>1504</v>
      </c>
      <c r="B778" t="s">
        <v>1396</v>
      </c>
      <c r="C778" t="s">
        <v>1505</v>
      </c>
    </row>
    <row r="779" spans="1:3" x14ac:dyDescent="0.25">
      <c r="A779" t="s">
        <v>1506</v>
      </c>
      <c r="B779" t="s">
        <v>1396</v>
      </c>
      <c r="C779" t="s">
        <v>1507</v>
      </c>
    </row>
    <row r="780" spans="1:3" x14ac:dyDescent="0.25">
      <c r="A780" t="s">
        <v>1508</v>
      </c>
      <c r="B780" t="s">
        <v>1396</v>
      </c>
      <c r="C780" t="s">
        <v>1509</v>
      </c>
    </row>
    <row r="781" spans="1:3" x14ac:dyDescent="0.25">
      <c r="A781" t="s">
        <v>1510</v>
      </c>
      <c r="B781" t="s">
        <v>1396</v>
      </c>
      <c r="C781" t="s">
        <v>1511</v>
      </c>
    </row>
    <row r="782" spans="1:3" x14ac:dyDescent="0.25">
      <c r="A782" t="s">
        <v>481</v>
      </c>
      <c r="B782" t="s">
        <v>1396</v>
      </c>
      <c r="C782" t="s">
        <v>1512</v>
      </c>
    </row>
    <row r="783" spans="1:3" x14ac:dyDescent="0.25">
      <c r="A783" t="s">
        <v>1513</v>
      </c>
      <c r="B783" t="s">
        <v>1396</v>
      </c>
      <c r="C783" t="s">
        <v>1514</v>
      </c>
    </row>
    <row r="784" spans="1:3" x14ac:dyDescent="0.25">
      <c r="A784" t="s">
        <v>1515</v>
      </c>
      <c r="B784" t="s">
        <v>1396</v>
      </c>
      <c r="C784" t="s">
        <v>1516</v>
      </c>
    </row>
    <row r="785" spans="1:3" x14ac:dyDescent="0.25">
      <c r="A785" t="s">
        <v>1517</v>
      </c>
      <c r="B785" t="s">
        <v>1396</v>
      </c>
      <c r="C785" t="s">
        <v>1518</v>
      </c>
    </row>
    <row r="786" spans="1:3" x14ac:dyDescent="0.25">
      <c r="A786" t="s">
        <v>1379</v>
      </c>
      <c r="B786" t="s">
        <v>1396</v>
      </c>
      <c r="C786" t="s">
        <v>1519</v>
      </c>
    </row>
    <row r="787" spans="1:3" x14ac:dyDescent="0.25">
      <c r="A787" t="s">
        <v>1127</v>
      </c>
      <c r="B787" t="s">
        <v>1396</v>
      </c>
      <c r="C787" t="s">
        <v>1520</v>
      </c>
    </row>
    <row r="788" spans="1:3" x14ac:dyDescent="0.25">
      <c r="A788" t="s">
        <v>1521</v>
      </c>
      <c r="B788" t="s">
        <v>1396</v>
      </c>
      <c r="C788" t="s">
        <v>1522</v>
      </c>
    </row>
    <row r="789" spans="1:3" x14ac:dyDescent="0.25">
      <c r="A789" t="s">
        <v>261</v>
      </c>
      <c r="B789" t="s">
        <v>1396</v>
      </c>
      <c r="C789" t="s">
        <v>1523</v>
      </c>
    </row>
    <row r="790" spans="1:3" x14ac:dyDescent="0.25">
      <c r="A790" t="s">
        <v>1130</v>
      </c>
      <c r="B790" t="s">
        <v>1396</v>
      </c>
      <c r="C790" t="s">
        <v>1524</v>
      </c>
    </row>
    <row r="791" spans="1:3" x14ac:dyDescent="0.25">
      <c r="A791" t="s">
        <v>1525</v>
      </c>
      <c r="B791" t="s">
        <v>1396</v>
      </c>
      <c r="C791" t="s">
        <v>1526</v>
      </c>
    </row>
    <row r="792" spans="1:3" x14ac:dyDescent="0.25">
      <c r="A792" t="s">
        <v>486</v>
      </c>
      <c r="B792" t="s">
        <v>1396</v>
      </c>
      <c r="C792" t="s">
        <v>1527</v>
      </c>
    </row>
    <row r="793" spans="1:3" x14ac:dyDescent="0.25">
      <c r="A793" t="s">
        <v>1528</v>
      </c>
      <c r="B793" t="s">
        <v>1396</v>
      </c>
      <c r="C793" t="s">
        <v>1529</v>
      </c>
    </row>
    <row r="794" spans="1:3" x14ac:dyDescent="0.25">
      <c r="A794" t="s">
        <v>1531</v>
      </c>
      <c r="B794" t="s">
        <v>1532</v>
      </c>
      <c r="C794" t="s">
        <v>1533</v>
      </c>
    </row>
    <row r="795" spans="1:3" x14ac:dyDescent="0.25">
      <c r="A795" t="s">
        <v>609</v>
      </c>
      <c r="B795" t="s">
        <v>1532</v>
      </c>
      <c r="C795" t="s">
        <v>1534</v>
      </c>
    </row>
    <row r="796" spans="1:3" x14ac:dyDescent="0.25">
      <c r="A796" t="s">
        <v>1535</v>
      </c>
      <c r="B796" t="s">
        <v>1532</v>
      </c>
      <c r="C796" t="s">
        <v>1536</v>
      </c>
    </row>
    <row r="797" spans="1:3" x14ac:dyDescent="0.25">
      <c r="A797" t="s">
        <v>1537</v>
      </c>
      <c r="B797" t="s">
        <v>1532</v>
      </c>
      <c r="C797" t="s">
        <v>1538</v>
      </c>
    </row>
    <row r="798" spans="1:3" x14ac:dyDescent="0.25">
      <c r="A798" t="s">
        <v>1539</v>
      </c>
      <c r="B798" t="s">
        <v>1532</v>
      </c>
      <c r="C798" t="s">
        <v>1540</v>
      </c>
    </row>
    <row r="799" spans="1:3" x14ac:dyDescent="0.25">
      <c r="A799" t="s">
        <v>366</v>
      </c>
      <c r="B799" t="s">
        <v>1532</v>
      </c>
      <c r="C799" t="s">
        <v>1541</v>
      </c>
    </row>
    <row r="800" spans="1:3" x14ac:dyDescent="0.25">
      <c r="A800" t="s">
        <v>1542</v>
      </c>
      <c r="B800" t="s">
        <v>1532</v>
      </c>
      <c r="C800" t="s">
        <v>1543</v>
      </c>
    </row>
    <row r="801" spans="1:3" x14ac:dyDescent="0.25">
      <c r="A801" t="s">
        <v>368</v>
      </c>
      <c r="B801" t="s">
        <v>1532</v>
      </c>
      <c r="C801" t="s">
        <v>1544</v>
      </c>
    </row>
    <row r="802" spans="1:3" x14ac:dyDescent="0.25">
      <c r="A802" t="s">
        <v>1545</v>
      </c>
      <c r="B802" t="s">
        <v>1532</v>
      </c>
      <c r="C802" t="s">
        <v>1546</v>
      </c>
    </row>
    <row r="803" spans="1:3" x14ac:dyDescent="0.25">
      <c r="A803" t="s">
        <v>1547</v>
      </c>
      <c r="B803" t="s">
        <v>1532</v>
      </c>
      <c r="C803" t="s">
        <v>1548</v>
      </c>
    </row>
    <row r="804" spans="1:3" x14ac:dyDescent="0.25">
      <c r="A804" t="s">
        <v>1549</v>
      </c>
      <c r="B804" t="s">
        <v>1532</v>
      </c>
      <c r="C804" t="s">
        <v>1550</v>
      </c>
    </row>
    <row r="805" spans="1:3" x14ac:dyDescent="0.25">
      <c r="A805" t="s">
        <v>145</v>
      </c>
      <c r="B805" t="s">
        <v>1532</v>
      </c>
      <c r="C805" t="s">
        <v>1551</v>
      </c>
    </row>
    <row r="806" spans="1:3" x14ac:dyDescent="0.25">
      <c r="A806" t="s">
        <v>147</v>
      </c>
      <c r="B806" t="s">
        <v>1532</v>
      </c>
      <c r="C806" t="s">
        <v>1552</v>
      </c>
    </row>
    <row r="807" spans="1:3" x14ac:dyDescent="0.25">
      <c r="A807" t="s">
        <v>373</v>
      </c>
      <c r="B807" t="s">
        <v>1532</v>
      </c>
      <c r="C807" t="s">
        <v>1553</v>
      </c>
    </row>
    <row r="808" spans="1:3" x14ac:dyDescent="0.25">
      <c r="A808" t="s">
        <v>1251</v>
      </c>
      <c r="B808" t="s">
        <v>1532</v>
      </c>
      <c r="C808" t="s">
        <v>1554</v>
      </c>
    </row>
    <row r="809" spans="1:3" x14ac:dyDescent="0.25">
      <c r="A809" t="s">
        <v>1555</v>
      </c>
      <c r="B809" t="s">
        <v>1532</v>
      </c>
      <c r="C809" t="s">
        <v>1556</v>
      </c>
    </row>
    <row r="810" spans="1:3" x14ac:dyDescent="0.25">
      <c r="A810" t="s">
        <v>1557</v>
      </c>
      <c r="B810" t="s">
        <v>1532</v>
      </c>
      <c r="C810" t="s">
        <v>1558</v>
      </c>
    </row>
    <row r="811" spans="1:3" x14ac:dyDescent="0.25">
      <c r="A811" t="s">
        <v>151</v>
      </c>
      <c r="B811" t="s">
        <v>1532</v>
      </c>
      <c r="C811" t="s">
        <v>1559</v>
      </c>
    </row>
    <row r="812" spans="1:3" x14ac:dyDescent="0.25">
      <c r="A812" t="s">
        <v>1560</v>
      </c>
      <c r="B812" t="s">
        <v>1532</v>
      </c>
      <c r="C812" t="s">
        <v>1561</v>
      </c>
    </row>
    <row r="813" spans="1:3" x14ac:dyDescent="0.25">
      <c r="A813" t="s">
        <v>157</v>
      </c>
      <c r="B813" t="s">
        <v>1532</v>
      </c>
      <c r="C813" t="s">
        <v>1562</v>
      </c>
    </row>
    <row r="814" spans="1:3" x14ac:dyDescent="0.25">
      <c r="A814" t="s">
        <v>159</v>
      </c>
      <c r="B814" t="s">
        <v>1532</v>
      </c>
      <c r="C814" t="s">
        <v>1563</v>
      </c>
    </row>
    <row r="815" spans="1:3" x14ac:dyDescent="0.25">
      <c r="A815" t="s">
        <v>931</v>
      </c>
      <c r="B815" t="s">
        <v>1532</v>
      </c>
      <c r="C815" t="s">
        <v>1564</v>
      </c>
    </row>
    <row r="816" spans="1:3" x14ac:dyDescent="0.25">
      <c r="A816" t="s">
        <v>1259</v>
      </c>
      <c r="B816" t="s">
        <v>1532</v>
      </c>
      <c r="C816" t="s">
        <v>1565</v>
      </c>
    </row>
    <row r="817" spans="1:3" x14ac:dyDescent="0.25">
      <c r="A817" t="s">
        <v>389</v>
      </c>
      <c r="B817" t="s">
        <v>1532</v>
      </c>
      <c r="C817" t="s">
        <v>1566</v>
      </c>
    </row>
    <row r="818" spans="1:3" x14ac:dyDescent="0.25">
      <c r="A818" t="s">
        <v>179</v>
      </c>
      <c r="B818" t="s">
        <v>1532</v>
      </c>
      <c r="C818" t="s">
        <v>1567</v>
      </c>
    </row>
    <row r="819" spans="1:3" x14ac:dyDescent="0.25">
      <c r="A819" t="s">
        <v>1568</v>
      </c>
      <c r="B819" t="s">
        <v>1532</v>
      </c>
      <c r="C819" t="s">
        <v>1569</v>
      </c>
    </row>
    <row r="820" spans="1:3" x14ac:dyDescent="0.25">
      <c r="A820" t="s">
        <v>952</v>
      </c>
      <c r="B820" t="s">
        <v>1532</v>
      </c>
      <c r="C820" t="s">
        <v>1570</v>
      </c>
    </row>
    <row r="821" spans="1:3" x14ac:dyDescent="0.25">
      <c r="A821" t="s">
        <v>1419</v>
      </c>
      <c r="B821" t="s">
        <v>1532</v>
      </c>
      <c r="C821" t="s">
        <v>1571</v>
      </c>
    </row>
    <row r="822" spans="1:3" x14ac:dyDescent="0.25">
      <c r="A822" t="s">
        <v>1572</v>
      </c>
      <c r="B822" t="s">
        <v>1532</v>
      </c>
      <c r="C822" t="s">
        <v>1573</v>
      </c>
    </row>
    <row r="823" spans="1:3" x14ac:dyDescent="0.25">
      <c r="A823" t="s">
        <v>1574</v>
      </c>
      <c r="B823" t="s">
        <v>1532</v>
      </c>
      <c r="C823" t="s">
        <v>1575</v>
      </c>
    </row>
    <row r="824" spans="1:3" x14ac:dyDescent="0.25">
      <c r="A824" t="s">
        <v>1576</v>
      </c>
      <c r="B824" t="s">
        <v>1532</v>
      </c>
      <c r="C824" t="s">
        <v>1577</v>
      </c>
    </row>
    <row r="825" spans="1:3" x14ac:dyDescent="0.25">
      <c r="A825" t="s">
        <v>1578</v>
      </c>
      <c r="B825" t="s">
        <v>1532</v>
      </c>
      <c r="C825" t="s">
        <v>1579</v>
      </c>
    </row>
    <row r="826" spans="1:3" x14ac:dyDescent="0.25">
      <c r="A826" t="s">
        <v>189</v>
      </c>
      <c r="B826" t="s">
        <v>1532</v>
      </c>
      <c r="C826" t="s">
        <v>1580</v>
      </c>
    </row>
    <row r="827" spans="1:3" x14ac:dyDescent="0.25">
      <c r="A827" t="s">
        <v>976</v>
      </c>
      <c r="B827" t="s">
        <v>1532</v>
      </c>
      <c r="C827" t="s">
        <v>1581</v>
      </c>
    </row>
    <row r="828" spans="1:3" x14ac:dyDescent="0.25">
      <c r="A828" t="s">
        <v>191</v>
      </c>
      <c r="B828" t="s">
        <v>1532</v>
      </c>
      <c r="C828" t="s">
        <v>1582</v>
      </c>
    </row>
    <row r="829" spans="1:3" x14ac:dyDescent="0.25">
      <c r="A829" t="s">
        <v>654</v>
      </c>
      <c r="B829" t="s">
        <v>1532</v>
      </c>
      <c r="C829" t="s">
        <v>1583</v>
      </c>
    </row>
    <row r="830" spans="1:3" x14ac:dyDescent="0.25">
      <c r="A830" t="s">
        <v>195</v>
      </c>
      <c r="B830" t="s">
        <v>1532</v>
      </c>
      <c r="C830" t="s">
        <v>1584</v>
      </c>
    </row>
    <row r="831" spans="1:3" x14ac:dyDescent="0.25">
      <c r="A831" t="s">
        <v>1286</v>
      </c>
      <c r="B831" t="s">
        <v>1532</v>
      </c>
      <c r="C831" t="s">
        <v>1585</v>
      </c>
    </row>
    <row r="832" spans="1:3" x14ac:dyDescent="0.25">
      <c r="A832" t="s">
        <v>1586</v>
      </c>
      <c r="B832" t="s">
        <v>1532</v>
      </c>
      <c r="C832" t="s">
        <v>1587</v>
      </c>
    </row>
    <row r="833" spans="1:3" x14ac:dyDescent="0.25">
      <c r="A833" t="s">
        <v>799</v>
      </c>
      <c r="B833" t="s">
        <v>1532</v>
      </c>
      <c r="C833" t="s">
        <v>1588</v>
      </c>
    </row>
    <row r="834" spans="1:3" x14ac:dyDescent="0.25">
      <c r="A834" t="s">
        <v>999</v>
      </c>
      <c r="B834" t="s">
        <v>1532</v>
      </c>
      <c r="C834" t="s">
        <v>1589</v>
      </c>
    </row>
    <row r="835" spans="1:3" x14ac:dyDescent="0.25">
      <c r="A835" t="s">
        <v>1290</v>
      </c>
      <c r="B835" t="s">
        <v>1532</v>
      </c>
      <c r="C835" t="s">
        <v>1590</v>
      </c>
    </row>
    <row r="836" spans="1:3" x14ac:dyDescent="0.25">
      <c r="A836" t="s">
        <v>1437</v>
      </c>
      <c r="B836" t="s">
        <v>1532</v>
      </c>
      <c r="C836" t="s">
        <v>1591</v>
      </c>
    </row>
    <row r="837" spans="1:3" x14ac:dyDescent="0.25">
      <c r="A837" t="s">
        <v>199</v>
      </c>
      <c r="B837" t="s">
        <v>1532</v>
      </c>
      <c r="C837" t="s">
        <v>1592</v>
      </c>
    </row>
    <row r="838" spans="1:3" x14ac:dyDescent="0.25">
      <c r="A838" t="s">
        <v>414</v>
      </c>
      <c r="B838" t="s">
        <v>1532</v>
      </c>
      <c r="C838" t="s">
        <v>1593</v>
      </c>
    </row>
    <row r="839" spans="1:3" x14ac:dyDescent="0.25">
      <c r="A839" t="s">
        <v>516</v>
      </c>
      <c r="B839" t="s">
        <v>1532</v>
      </c>
      <c r="C839" t="s">
        <v>1594</v>
      </c>
    </row>
    <row r="840" spans="1:3" x14ac:dyDescent="0.25">
      <c r="A840" t="s">
        <v>1595</v>
      </c>
      <c r="B840" t="s">
        <v>1532</v>
      </c>
      <c r="C840" t="s">
        <v>1596</v>
      </c>
    </row>
    <row r="841" spans="1:3" x14ac:dyDescent="0.25">
      <c r="A841" t="s">
        <v>1597</v>
      </c>
      <c r="B841" t="s">
        <v>1532</v>
      </c>
      <c r="C841" t="s">
        <v>1598</v>
      </c>
    </row>
    <row r="842" spans="1:3" x14ac:dyDescent="0.25">
      <c r="A842" t="s">
        <v>203</v>
      </c>
      <c r="B842" t="s">
        <v>1532</v>
      </c>
      <c r="C842" t="s">
        <v>1599</v>
      </c>
    </row>
    <row r="843" spans="1:3" x14ac:dyDescent="0.25">
      <c r="A843" t="s">
        <v>1014</v>
      </c>
      <c r="B843" t="s">
        <v>1532</v>
      </c>
      <c r="C843" t="s">
        <v>1600</v>
      </c>
    </row>
    <row r="844" spans="1:3" x14ac:dyDescent="0.25">
      <c r="A844" t="s">
        <v>205</v>
      </c>
      <c r="B844" t="s">
        <v>1532</v>
      </c>
      <c r="C844" t="s">
        <v>1601</v>
      </c>
    </row>
    <row r="845" spans="1:3" x14ac:dyDescent="0.25">
      <c r="A845" t="s">
        <v>422</v>
      </c>
      <c r="B845" t="s">
        <v>1532</v>
      </c>
      <c r="C845" t="s">
        <v>1602</v>
      </c>
    </row>
    <row r="846" spans="1:3" x14ac:dyDescent="0.25">
      <c r="A846" t="s">
        <v>1022</v>
      </c>
      <c r="B846" t="s">
        <v>1532</v>
      </c>
      <c r="C846" t="s">
        <v>1603</v>
      </c>
    </row>
    <row r="847" spans="1:3" x14ac:dyDescent="0.25">
      <c r="A847" t="s">
        <v>1604</v>
      </c>
      <c r="B847" t="s">
        <v>1532</v>
      </c>
      <c r="C847" t="s">
        <v>1605</v>
      </c>
    </row>
    <row r="848" spans="1:3" x14ac:dyDescent="0.25">
      <c r="A848" t="s">
        <v>1606</v>
      </c>
      <c r="B848" t="s">
        <v>1532</v>
      </c>
      <c r="C848" t="s">
        <v>1607</v>
      </c>
    </row>
    <row r="849" spans="1:3" x14ac:dyDescent="0.25">
      <c r="A849" t="s">
        <v>213</v>
      </c>
      <c r="B849" t="s">
        <v>1532</v>
      </c>
      <c r="C849" t="s">
        <v>1608</v>
      </c>
    </row>
    <row r="850" spans="1:3" x14ac:dyDescent="0.25">
      <c r="A850" t="s">
        <v>1609</v>
      </c>
      <c r="B850" t="s">
        <v>1532</v>
      </c>
      <c r="C850" t="s">
        <v>1610</v>
      </c>
    </row>
    <row r="851" spans="1:3" x14ac:dyDescent="0.25">
      <c r="A851" t="s">
        <v>1611</v>
      </c>
      <c r="B851" t="s">
        <v>1532</v>
      </c>
      <c r="C851" t="s">
        <v>1612</v>
      </c>
    </row>
    <row r="852" spans="1:3" x14ac:dyDescent="0.25">
      <c r="A852" t="s">
        <v>1613</v>
      </c>
      <c r="B852" t="s">
        <v>1532</v>
      </c>
      <c r="C852" t="s">
        <v>1614</v>
      </c>
    </row>
    <row r="853" spans="1:3" x14ac:dyDescent="0.25">
      <c r="A853" t="s">
        <v>1615</v>
      </c>
      <c r="B853" t="s">
        <v>1532</v>
      </c>
      <c r="C853" t="s">
        <v>1616</v>
      </c>
    </row>
    <row r="854" spans="1:3" x14ac:dyDescent="0.25">
      <c r="A854" t="s">
        <v>221</v>
      </c>
      <c r="B854" t="s">
        <v>1532</v>
      </c>
      <c r="C854" t="s">
        <v>1617</v>
      </c>
    </row>
    <row r="855" spans="1:3" x14ac:dyDescent="0.25">
      <c r="A855" t="s">
        <v>1618</v>
      </c>
      <c r="B855" t="s">
        <v>1532</v>
      </c>
      <c r="C855" t="s">
        <v>1619</v>
      </c>
    </row>
    <row r="856" spans="1:3" x14ac:dyDescent="0.25">
      <c r="A856" t="s">
        <v>225</v>
      </c>
      <c r="B856" t="s">
        <v>1532</v>
      </c>
      <c r="C856" t="s">
        <v>1620</v>
      </c>
    </row>
    <row r="857" spans="1:3" x14ac:dyDescent="0.25">
      <c r="A857" t="s">
        <v>227</v>
      </c>
      <c r="B857" t="s">
        <v>1532</v>
      </c>
      <c r="C857" t="s">
        <v>1621</v>
      </c>
    </row>
    <row r="858" spans="1:3" x14ac:dyDescent="0.25">
      <c r="A858" t="s">
        <v>1622</v>
      </c>
      <c r="B858" t="s">
        <v>1532</v>
      </c>
      <c r="C858" t="s">
        <v>1623</v>
      </c>
    </row>
    <row r="859" spans="1:3" x14ac:dyDescent="0.25">
      <c r="A859" t="s">
        <v>1047</v>
      </c>
      <c r="B859" t="s">
        <v>1532</v>
      </c>
      <c r="C859" t="s">
        <v>1624</v>
      </c>
    </row>
    <row r="860" spans="1:3" x14ac:dyDescent="0.25">
      <c r="A860" t="s">
        <v>1625</v>
      </c>
      <c r="B860" t="s">
        <v>1532</v>
      </c>
      <c r="C860" t="s">
        <v>1626</v>
      </c>
    </row>
    <row r="861" spans="1:3" x14ac:dyDescent="0.25">
      <c r="A861" t="s">
        <v>231</v>
      </c>
      <c r="B861" t="s">
        <v>1532</v>
      </c>
      <c r="C861" t="s">
        <v>1627</v>
      </c>
    </row>
    <row r="862" spans="1:3" x14ac:dyDescent="0.25">
      <c r="A862" t="s">
        <v>233</v>
      </c>
      <c r="B862" t="s">
        <v>1532</v>
      </c>
      <c r="C862" t="s">
        <v>1628</v>
      </c>
    </row>
    <row r="863" spans="1:3" x14ac:dyDescent="0.25">
      <c r="A863" t="s">
        <v>1629</v>
      </c>
      <c r="B863" t="s">
        <v>1532</v>
      </c>
      <c r="C863" t="s">
        <v>1630</v>
      </c>
    </row>
    <row r="864" spans="1:3" x14ac:dyDescent="0.25">
      <c r="A864" t="s">
        <v>1631</v>
      </c>
      <c r="B864" t="s">
        <v>1532</v>
      </c>
      <c r="C864" t="s">
        <v>1632</v>
      </c>
    </row>
    <row r="865" spans="1:3" x14ac:dyDescent="0.25">
      <c r="A865" t="s">
        <v>842</v>
      </c>
      <c r="B865" t="s">
        <v>1532</v>
      </c>
      <c r="C865" t="s">
        <v>1633</v>
      </c>
    </row>
    <row r="866" spans="1:3" x14ac:dyDescent="0.25">
      <c r="A866" t="s">
        <v>1634</v>
      </c>
      <c r="B866" t="s">
        <v>1532</v>
      </c>
      <c r="C866" t="s">
        <v>1635</v>
      </c>
    </row>
    <row r="867" spans="1:3" x14ac:dyDescent="0.25">
      <c r="A867" t="s">
        <v>1636</v>
      </c>
      <c r="B867" t="s">
        <v>1532</v>
      </c>
      <c r="C867" t="s">
        <v>1637</v>
      </c>
    </row>
    <row r="868" spans="1:3" x14ac:dyDescent="0.25">
      <c r="A868" t="s">
        <v>1638</v>
      </c>
      <c r="B868" t="s">
        <v>1532</v>
      </c>
      <c r="C868" t="s">
        <v>1639</v>
      </c>
    </row>
    <row r="869" spans="1:3" x14ac:dyDescent="0.25">
      <c r="A869" t="s">
        <v>1640</v>
      </c>
      <c r="B869" t="s">
        <v>1532</v>
      </c>
      <c r="C869" t="s">
        <v>1641</v>
      </c>
    </row>
    <row r="870" spans="1:3" x14ac:dyDescent="0.25">
      <c r="A870" t="s">
        <v>456</v>
      </c>
      <c r="B870" t="s">
        <v>1532</v>
      </c>
      <c r="C870" t="s">
        <v>1642</v>
      </c>
    </row>
    <row r="871" spans="1:3" x14ac:dyDescent="0.25">
      <c r="A871" t="s">
        <v>1643</v>
      </c>
      <c r="B871" t="s">
        <v>1532</v>
      </c>
      <c r="C871" t="s">
        <v>1644</v>
      </c>
    </row>
    <row r="872" spans="1:3" x14ac:dyDescent="0.25">
      <c r="A872" t="s">
        <v>1645</v>
      </c>
      <c r="B872" t="s">
        <v>1532</v>
      </c>
      <c r="C872" t="s">
        <v>1646</v>
      </c>
    </row>
    <row r="873" spans="1:3" x14ac:dyDescent="0.25">
      <c r="A873" t="s">
        <v>1647</v>
      </c>
      <c r="B873" t="s">
        <v>1532</v>
      </c>
      <c r="C873" t="s">
        <v>1648</v>
      </c>
    </row>
    <row r="874" spans="1:3" x14ac:dyDescent="0.25">
      <c r="A874" t="s">
        <v>1649</v>
      </c>
      <c r="B874" t="s">
        <v>1532</v>
      </c>
      <c r="C874" t="s">
        <v>1650</v>
      </c>
    </row>
    <row r="875" spans="1:3" x14ac:dyDescent="0.25">
      <c r="A875" t="s">
        <v>469</v>
      </c>
      <c r="B875" t="s">
        <v>1532</v>
      </c>
      <c r="C875" t="s">
        <v>1651</v>
      </c>
    </row>
    <row r="876" spans="1:3" x14ac:dyDescent="0.25">
      <c r="A876" t="s">
        <v>249</v>
      </c>
      <c r="B876" t="s">
        <v>1532</v>
      </c>
      <c r="C876" t="s">
        <v>1652</v>
      </c>
    </row>
    <row r="877" spans="1:3" x14ac:dyDescent="0.25">
      <c r="A877" t="s">
        <v>1653</v>
      </c>
      <c r="B877" t="s">
        <v>1532</v>
      </c>
      <c r="C877" t="s">
        <v>1654</v>
      </c>
    </row>
    <row r="878" spans="1:3" x14ac:dyDescent="0.25">
      <c r="A878" t="s">
        <v>1655</v>
      </c>
      <c r="B878" t="s">
        <v>1532</v>
      </c>
      <c r="C878" t="s">
        <v>1656</v>
      </c>
    </row>
    <row r="879" spans="1:3" x14ac:dyDescent="0.25">
      <c r="A879" t="s">
        <v>1657</v>
      </c>
      <c r="B879" t="s">
        <v>1532</v>
      </c>
      <c r="C879" t="s">
        <v>1658</v>
      </c>
    </row>
    <row r="880" spans="1:3" x14ac:dyDescent="0.25">
      <c r="A880" t="s">
        <v>866</v>
      </c>
      <c r="B880" t="s">
        <v>1532</v>
      </c>
      <c r="C880" t="s">
        <v>1659</v>
      </c>
    </row>
    <row r="881" spans="1:3" x14ac:dyDescent="0.25">
      <c r="A881" t="s">
        <v>481</v>
      </c>
      <c r="B881" t="s">
        <v>1532</v>
      </c>
      <c r="C881" t="s">
        <v>1660</v>
      </c>
    </row>
    <row r="882" spans="1:3" x14ac:dyDescent="0.25">
      <c r="A882" t="s">
        <v>483</v>
      </c>
      <c r="B882" t="s">
        <v>1532</v>
      </c>
      <c r="C882" t="s">
        <v>1661</v>
      </c>
    </row>
    <row r="883" spans="1:3" x14ac:dyDescent="0.25">
      <c r="A883" t="s">
        <v>1662</v>
      </c>
      <c r="B883" t="s">
        <v>1532</v>
      </c>
      <c r="C883" t="s">
        <v>1663</v>
      </c>
    </row>
    <row r="884" spans="1:3" x14ac:dyDescent="0.25">
      <c r="A884" t="s">
        <v>1127</v>
      </c>
      <c r="B884" t="s">
        <v>1532</v>
      </c>
      <c r="C884" t="s">
        <v>1664</v>
      </c>
    </row>
    <row r="885" spans="1:3" x14ac:dyDescent="0.25">
      <c r="A885" t="s">
        <v>261</v>
      </c>
      <c r="B885" t="s">
        <v>1532</v>
      </c>
      <c r="C885" t="s">
        <v>1665</v>
      </c>
    </row>
    <row r="886" spans="1:3" x14ac:dyDescent="0.25">
      <c r="A886" t="s">
        <v>1130</v>
      </c>
      <c r="B886" t="s">
        <v>1532</v>
      </c>
      <c r="C886" t="s">
        <v>1666</v>
      </c>
    </row>
    <row r="887" spans="1:3" x14ac:dyDescent="0.25">
      <c r="A887" t="s">
        <v>1132</v>
      </c>
      <c r="B887" t="s">
        <v>1532</v>
      </c>
      <c r="C887" t="s">
        <v>1667</v>
      </c>
    </row>
    <row r="888" spans="1:3" x14ac:dyDescent="0.25">
      <c r="A888" t="s">
        <v>1391</v>
      </c>
      <c r="B888" t="s">
        <v>1532</v>
      </c>
      <c r="C888" t="s">
        <v>1668</v>
      </c>
    </row>
    <row r="889" spans="1:3" x14ac:dyDescent="0.25">
      <c r="A889" t="s">
        <v>1669</v>
      </c>
      <c r="B889" t="s">
        <v>1532</v>
      </c>
      <c r="C889" t="s">
        <v>1670</v>
      </c>
    </row>
    <row r="890" spans="1:3" x14ac:dyDescent="0.25">
      <c r="A890" t="s">
        <v>1671</v>
      </c>
      <c r="B890" t="s">
        <v>1532</v>
      </c>
      <c r="C890" t="s">
        <v>1672</v>
      </c>
    </row>
    <row r="891" spans="1:3" x14ac:dyDescent="0.25">
      <c r="A891" t="s">
        <v>1144</v>
      </c>
      <c r="B891" t="s">
        <v>1532</v>
      </c>
      <c r="C891" t="s">
        <v>1673</v>
      </c>
    </row>
    <row r="892" spans="1:3" x14ac:dyDescent="0.25">
      <c r="A892" t="s">
        <v>1674</v>
      </c>
      <c r="B892" t="s">
        <v>1532</v>
      </c>
      <c r="C892" t="s">
        <v>1675</v>
      </c>
    </row>
    <row r="893" spans="1:3" x14ac:dyDescent="0.25">
      <c r="A893" t="s">
        <v>1398</v>
      </c>
      <c r="B893" t="s">
        <v>1677</v>
      </c>
      <c r="C893" t="s">
        <v>1678</v>
      </c>
    </row>
    <row r="894" spans="1:3" x14ac:dyDescent="0.25">
      <c r="A894" t="s">
        <v>1679</v>
      </c>
      <c r="B894" t="s">
        <v>1677</v>
      </c>
      <c r="C894" t="s">
        <v>1680</v>
      </c>
    </row>
    <row r="895" spans="1:3" x14ac:dyDescent="0.25">
      <c r="A895" t="s">
        <v>1681</v>
      </c>
      <c r="B895" t="s">
        <v>1677</v>
      </c>
      <c r="C895" t="s">
        <v>1682</v>
      </c>
    </row>
    <row r="896" spans="1:3" x14ac:dyDescent="0.25">
      <c r="A896" t="s">
        <v>1683</v>
      </c>
      <c r="B896" t="s">
        <v>1677</v>
      </c>
      <c r="C896" t="s">
        <v>1684</v>
      </c>
    </row>
    <row r="897" spans="1:3" x14ac:dyDescent="0.25">
      <c r="A897" t="s">
        <v>1685</v>
      </c>
      <c r="B897" t="s">
        <v>1677</v>
      </c>
      <c r="C897" t="s">
        <v>1686</v>
      </c>
    </row>
    <row r="898" spans="1:3" x14ac:dyDescent="0.25">
      <c r="A898" t="s">
        <v>1687</v>
      </c>
      <c r="B898" t="s">
        <v>1677</v>
      </c>
      <c r="C898" t="s">
        <v>1688</v>
      </c>
    </row>
    <row r="899" spans="1:3" x14ac:dyDescent="0.25">
      <c r="A899" t="s">
        <v>1245</v>
      </c>
      <c r="B899" t="s">
        <v>1677</v>
      </c>
      <c r="C899" t="s">
        <v>1689</v>
      </c>
    </row>
    <row r="900" spans="1:3" x14ac:dyDescent="0.25">
      <c r="A900" t="s">
        <v>145</v>
      </c>
      <c r="B900" t="s">
        <v>1677</v>
      </c>
      <c r="C900" t="s">
        <v>1690</v>
      </c>
    </row>
    <row r="901" spans="1:3" x14ac:dyDescent="0.25">
      <c r="A901" t="s">
        <v>1691</v>
      </c>
      <c r="B901" t="s">
        <v>1677</v>
      </c>
      <c r="C901" t="s">
        <v>1692</v>
      </c>
    </row>
    <row r="902" spans="1:3" x14ac:dyDescent="0.25">
      <c r="A902" t="s">
        <v>1693</v>
      </c>
      <c r="B902" t="s">
        <v>1677</v>
      </c>
      <c r="C902" t="s">
        <v>1694</v>
      </c>
    </row>
    <row r="903" spans="1:3" x14ac:dyDescent="0.25">
      <c r="A903" t="s">
        <v>151</v>
      </c>
      <c r="B903" t="s">
        <v>1677</v>
      </c>
      <c r="C903" t="s">
        <v>1695</v>
      </c>
    </row>
    <row r="904" spans="1:3" x14ac:dyDescent="0.25">
      <c r="A904" t="s">
        <v>628</v>
      </c>
      <c r="B904" t="s">
        <v>1677</v>
      </c>
      <c r="C904" t="s">
        <v>1696</v>
      </c>
    </row>
    <row r="905" spans="1:3" x14ac:dyDescent="0.25">
      <c r="A905" t="s">
        <v>377</v>
      </c>
      <c r="B905" t="s">
        <v>1677</v>
      </c>
      <c r="C905" t="s">
        <v>1697</v>
      </c>
    </row>
    <row r="906" spans="1:3" x14ac:dyDescent="0.25">
      <c r="A906" t="s">
        <v>159</v>
      </c>
      <c r="B906" t="s">
        <v>1677</v>
      </c>
      <c r="C906" t="s">
        <v>1698</v>
      </c>
    </row>
    <row r="907" spans="1:3" x14ac:dyDescent="0.25">
      <c r="A907" t="s">
        <v>1699</v>
      </c>
      <c r="B907" t="s">
        <v>1677</v>
      </c>
      <c r="C907" t="s">
        <v>1700</v>
      </c>
    </row>
    <row r="908" spans="1:3" x14ac:dyDescent="0.25">
      <c r="A908" t="s">
        <v>1701</v>
      </c>
      <c r="B908" t="s">
        <v>1677</v>
      </c>
      <c r="C908" t="s">
        <v>1702</v>
      </c>
    </row>
    <row r="909" spans="1:3" x14ac:dyDescent="0.25">
      <c r="A909" t="s">
        <v>1703</v>
      </c>
      <c r="B909" t="s">
        <v>1677</v>
      </c>
      <c r="C909" t="s">
        <v>1704</v>
      </c>
    </row>
    <row r="910" spans="1:3" x14ac:dyDescent="0.25">
      <c r="A910" t="s">
        <v>1705</v>
      </c>
      <c r="B910" t="s">
        <v>1677</v>
      </c>
      <c r="C910" t="s">
        <v>1706</v>
      </c>
    </row>
    <row r="911" spans="1:3" x14ac:dyDescent="0.25">
      <c r="A911" t="s">
        <v>389</v>
      </c>
      <c r="B911" t="s">
        <v>1677</v>
      </c>
      <c r="C911" t="s">
        <v>1707</v>
      </c>
    </row>
    <row r="912" spans="1:3" x14ac:dyDescent="0.25">
      <c r="A912" t="s">
        <v>952</v>
      </c>
      <c r="B912" t="s">
        <v>1677</v>
      </c>
      <c r="C912" t="s">
        <v>1708</v>
      </c>
    </row>
    <row r="913" spans="1:3" x14ac:dyDescent="0.25">
      <c r="A913" t="s">
        <v>1574</v>
      </c>
      <c r="B913" t="s">
        <v>1677</v>
      </c>
      <c r="C913" t="s">
        <v>1709</v>
      </c>
    </row>
    <row r="914" spans="1:3" x14ac:dyDescent="0.25">
      <c r="A914" t="s">
        <v>1710</v>
      </c>
      <c r="B914" t="s">
        <v>1677</v>
      </c>
      <c r="C914" t="s">
        <v>1711</v>
      </c>
    </row>
    <row r="915" spans="1:3" x14ac:dyDescent="0.25">
      <c r="A915" t="s">
        <v>646</v>
      </c>
      <c r="B915" t="s">
        <v>1677</v>
      </c>
      <c r="C915" t="s">
        <v>1712</v>
      </c>
    </row>
    <row r="916" spans="1:3" x14ac:dyDescent="0.25">
      <c r="A916" t="s">
        <v>1275</v>
      </c>
      <c r="B916" t="s">
        <v>1677</v>
      </c>
      <c r="C916" t="s">
        <v>1713</v>
      </c>
    </row>
    <row r="917" spans="1:3" x14ac:dyDescent="0.25">
      <c r="A917" t="s">
        <v>1714</v>
      </c>
      <c r="B917" t="s">
        <v>1677</v>
      </c>
      <c r="C917" t="s">
        <v>1715</v>
      </c>
    </row>
    <row r="918" spans="1:3" x14ac:dyDescent="0.25">
      <c r="A918" t="s">
        <v>1716</v>
      </c>
      <c r="B918" t="s">
        <v>1677</v>
      </c>
      <c r="C918" t="s">
        <v>1717</v>
      </c>
    </row>
    <row r="919" spans="1:3" x14ac:dyDescent="0.25">
      <c r="A919" t="s">
        <v>1718</v>
      </c>
      <c r="B919" t="s">
        <v>1677</v>
      </c>
      <c r="C919" t="s">
        <v>1719</v>
      </c>
    </row>
    <row r="920" spans="1:3" x14ac:dyDescent="0.25">
      <c r="A920" t="s">
        <v>1720</v>
      </c>
      <c r="B920" t="s">
        <v>1677</v>
      </c>
      <c r="C920" t="s">
        <v>1721</v>
      </c>
    </row>
    <row r="921" spans="1:3" x14ac:dyDescent="0.25">
      <c r="A921" t="s">
        <v>1279</v>
      </c>
      <c r="B921" t="s">
        <v>1677</v>
      </c>
      <c r="C921" t="s">
        <v>1722</v>
      </c>
    </row>
    <row r="922" spans="1:3" x14ac:dyDescent="0.25">
      <c r="A922" t="s">
        <v>191</v>
      </c>
      <c r="B922" t="s">
        <v>1677</v>
      </c>
      <c r="C922" t="s">
        <v>1723</v>
      </c>
    </row>
    <row r="923" spans="1:3" x14ac:dyDescent="0.25">
      <c r="A923" t="s">
        <v>1724</v>
      </c>
      <c r="B923" t="s">
        <v>1677</v>
      </c>
      <c r="C923" t="s">
        <v>1725</v>
      </c>
    </row>
    <row r="924" spans="1:3" x14ac:dyDescent="0.25">
      <c r="A924" t="s">
        <v>1726</v>
      </c>
      <c r="B924" t="s">
        <v>1677</v>
      </c>
      <c r="C924" t="s">
        <v>1727</v>
      </c>
    </row>
    <row r="925" spans="1:3" x14ac:dyDescent="0.25">
      <c r="A925" t="s">
        <v>337</v>
      </c>
      <c r="B925" t="s">
        <v>1677</v>
      </c>
      <c r="C925" t="s">
        <v>1728</v>
      </c>
    </row>
    <row r="926" spans="1:3" x14ac:dyDescent="0.25">
      <c r="A926" t="s">
        <v>407</v>
      </c>
      <c r="B926" t="s">
        <v>1677</v>
      </c>
      <c r="C926" t="s">
        <v>1729</v>
      </c>
    </row>
    <row r="927" spans="1:3" x14ac:dyDescent="0.25">
      <c r="A927" t="s">
        <v>1730</v>
      </c>
      <c r="B927" t="s">
        <v>1677</v>
      </c>
      <c r="C927" t="s">
        <v>1731</v>
      </c>
    </row>
    <row r="928" spans="1:3" x14ac:dyDescent="0.25">
      <c r="A928" t="s">
        <v>1732</v>
      </c>
      <c r="B928" t="s">
        <v>1677</v>
      </c>
      <c r="C928" t="s">
        <v>1733</v>
      </c>
    </row>
    <row r="929" spans="1:3" x14ac:dyDescent="0.25">
      <c r="A929" t="s">
        <v>1734</v>
      </c>
      <c r="B929" t="s">
        <v>1677</v>
      </c>
      <c r="C929" t="s">
        <v>1735</v>
      </c>
    </row>
    <row r="930" spans="1:3" x14ac:dyDescent="0.25">
      <c r="A930" t="s">
        <v>799</v>
      </c>
      <c r="B930" t="s">
        <v>1677</v>
      </c>
      <c r="C930" t="s">
        <v>1736</v>
      </c>
    </row>
    <row r="931" spans="1:3" x14ac:dyDescent="0.25">
      <c r="A931" t="s">
        <v>1737</v>
      </c>
      <c r="B931" t="s">
        <v>1677</v>
      </c>
      <c r="C931" t="s">
        <v>1738</v>
      </c>
    </row>
    <row r="932" spans="1:3" x14ac:dyDescent="0.25">
      <c r="A932" t="s">
        <v>1739</v>
      </c>
      <c r="B932" t="s">
        <v>1677</v>
      </c>
      <c r="C932" t="s">
        <v>1740</v>
      </c>
    </row>
    <row r="933" spans="1:3" x14ac:dyDescent="0.25">
      <c r="A933" t="s">
        <v>1741</v>
      </c>
      <c r="B933" t="s">
        <v>1677</v>
      </c>
      <c r="C933" t="s">
        <v>1742</v>
      </c>
    </row>
    <row r="934" spans="1:3" x14ac:dyDescent="0.25">
      <c r="A934" t="s">
        <v>1743</v>
      </c>
      <c r="B934" t="s">
        <v>1677</v>
      </c>
      <c r="C934" t="s">
        <v>1744</v>
      </c>
    </row>
    <row r="935" spans="1:3" x14ac:dyDescent="0.25">
      <c r="A935" t="s">
        <v>203</v>
      </c>
      <c r="B935" t="s">
        <v>1677</v>
      </c>
      <c r="C935" t="s">
        <v>1745</v>
      </c>
    </row>
    <row r="936" spans="1:3" x14ac:dyDescent="0.25">
      <c r="A936" t="s">
        <v>205</v>
      </c>
      <c r="B936" t="s">
        <v>1677</v>
      </c>
      <c r="C936" t="s">
        <v>1746</v>
      </c>
    </row>
    <row r="937" spans="1:3" x14ac:dyDescent="0.25">
      <c r="A937" t="s">
        <v>1747</v>
      </c>
      <c r="B937" t="s">
        <v>1677</v>
      </c>
      <c r="C937" t="s">
        <v>1748</v>
      </c>
    </row>
    <row r="938" spans="1:3" x14ac:dyDescent="0.25">
      <c r="A938" t="s">
        <v>422</v>
      </c>
      <c r="B938" t="s">
        <v>1677</v>
      </c>
      <c r="C938" t="s">
        <v>1749</v>
      </c>
    </row>
    <row r="939" spans="1:3" x14ac:dyDescent="0.25">
      <c r="A939" t="s">
        <v>1750</v>
      </c>
      <c r="B939" t="s">
        <v>1677</v>
      </c>
      <c r="C939" t="s">
        <v>1751</v>
      </c>
    </row>
    <row r="940" spans="1:3" x14ac:dyDescent="0.25">
      <c r="A940" t="s">
        <v>1752</v>
      </c>
      <c r="B940" t="s">
        <v>1677</v>
      </c>
      <c r="C940" t="s">
        <v>1753</v>
      </c>
    </row>
    <row r="941" spans="1:3" x14ac:dyDescent="0.25">
      <c r="A941" t="s">
        <v>670</v>
      </c>
      <c r="B941" t="s">
        <v>1677</v>
      </c>
      <c r="C941" t="s">
        <v>1754</v>
      </c>
    </row>
    <row r="942" spans="1:3" x14ac:dyDescent="0.25">
      <c r="A942" t="s">
        <v>1755</v>
      </c>
      <c r="B942" t="s">
        <v>1677</v>
      </c>
      <c r="C942" t="s">
        <v>1756</v>
      </c>
    </row>
    <row r="943" spans="1:3" x14ac:dyDescent="0.25">
      <c r="A943" t="s">
        <v>1757</v>
      </c>
      <c r="B943" t="s">
        <v>1677</v>
      </c>
      <c r="C943" t="s">
        <v>1758</v>
      </c>
    </row>
    <row r="944" spans="1:3" x14ac:dyDescent="0.25">
      <c r="A944" t="s">
        <v>1759</v>
      </c>
      <c r="B944" t="s">
        <v>1677</v>
      </c>
      <c r="C944" t="s">
        <v>1760</v>
      </c>
    </row>
    <row r="945" spans="1:3" x14ac:dyDescent="0.25">
      <c r="A945" t="s">
        <v>428</v>
      </c>
      <c r="B945" t="s">
        <v>1677</v>
      </c>
      <c r="C945" t="s">
        <v>1761</v>
      </c>
    </row>
    <row r="946" spans="1:3" x14ac:dyDescent="0.25">
      <c r="A946" t="s">
        <v>1609</v>
      </c>
      <c r="B946" t="s">
        <v>1677</v>
      </c>
      <c r="C946" t="s">
        <v>1762</v>
      </c>
    </row>
    <row r="947" spans="1:3" x14ac:dyDescent="0.25">
      <c r="A947" t="s">
        <v>432</v>
      </c>
      <c r="B947" t="s">
        <v>1677</v>
      </c>
      <c r="C947" t="s">
        <v>1763</v>
      </c>
    </row>
    <row r="948" spans="1:3" x14ac:dyDescent="0.25">
      <c r="A948" t="s">
        <v>1615</v>
      </c>
      <c r="B948" t="s">
        <v>1677</v>
      </c>
      <c r="C948" t="s">
        <v>1764</v>
      </c>
    </row>
    <row r="949" spans="1:3" x14ac:dyDescent="0.25">
      <c r="A949" t="s">
        <v>1765</v>
      </c>
      <c r="B949" t="s">
        <v>1677</v>
      </c>
      <c r="C949" t="s">
        <v>1766</v>
      </c>
    </row>
    <row r="950" spans="1:3" x14ac:dyDescent="0.25">
      <c r="A950" t="s">
        <v>225</v>
      </c>
      <c r="B950" t="s">
        <v>1677</v>
      </c>
      <c r="C950" t="s">
        <v>1767</v>
      </c>
    </row>
    <row r="951" spans="1:3" x14ac:dyDescent="0.25">
      <c r="A951" t="s">
        <v>227</v>
      </c>
      <c r="B951" t="s">
        <v>1677</v>
      </c>
      <c r="C951" t="s">
        <v>1768</v>
      </c>
    </row>
    <row r="952" spans="1:3" x14ac:dyDescent="0.25">
      <c r="A952" t="s">
        <v>1769</v>
      </c>
      <c r="B952" t="s">
        <v>1677</v>
      </c>
      <c r="C952" t="s">
        <v>1770</v>
      </c>
    </row>
    <row r="953" spans="1:3" x14ac:dyDescent="0.25">
      <c r="A953" t="s">
        <v>1466</v>
      </c>
      <c r="B953" t="s">
        <v>1677</v>
      </c>
      <c r="C953" t="s">
        <v>1771</v>
      </c>
    </row>
    <row r="954" spans="1:3" x14ac:dyDescent="0.25">
      <c r="A954" t="s">
        <v>1047</v>
      </c>
      <c r="B954" t="s">
        <v>1677</v>
      </c>
      <c r="C954" t="s">
        <v>1772</v>
      </c>
    </row>
    <row r="955" spans="1:3" x14ac:dyDescent="0.25">
      <c r="A955" t="s">
        <v>233</v>
      </c>
      <c r="B955" t="s">
        <v>1677</v>
      </c>
      <c r="C955" t="s">
        <v>1773</v>
      </c>
    </row>
    <row r="956" spans="1:3" x14ac:dyDescent="0.25">
      <c r="A956" t="s">
        <v>1774</v>
      </c>
      <c r="B956" t="s">
        <v>1677</v>
      </c>
      <c r="C956" t="s">
        <v>1775</v>
      </c>
    </row>
    <row r="957" spans="1:3" x14ac:dyDescent="0.25">
      <c r="A957" t="s">
        <v>1776</v>
      </c>
      <c r="B957" t="s">
        <v>1677</v>
      </c>
      <c r="C957" t="s">
        <v>1777</v>
      </c>
    </row>
    <row r="958" spans="1:3" x14ac:dyDescent="0.25">
      <c r="A958" t="s">
        <v>1778</v>
      </c>
      <c r="B958" t="s">
        <v>1677</v>
      </c>
      <c r="C958" t="s">
        <v>1779</v>
      </c>
    </row>
    <row r="959" spans="1:3" x14ac:dyDescent="0.25">
      <c r="A959" t="s">
        <v>1780</v>
      </c>
      <c r="B959" t="s">
        <v>1677</v>
      </c>
      <c r="C959" t="s">
        <v>1781</v>
      </c>
    </row>
    <row r="960" spans="1:3" x14ac:dyDescent="0.25">
      <c r="A960" t="s">
        <v>1782</v>
      </c>
      <c r="B960" t="s">
        <v>1677</v>
      </c>
      <c r="C960" t="s">
        <v>1783</v>
      </c>
    </row>
    <row r="961" spans="1:3" x14ac:dyDescent="0.25">
      <c r="A961" t="s">
        <v>1784</v>
      </c>
      <c r="B961" t="s">
        <v>1677</v>
      </c>
      <c r="C961" t="s">
        <v>1785</v>
      </c>
    </row>
    <row r="962" spans="1:3" x14ac:dyDescent="0.25">
      <c r="A962" t="s">
        <v>1786</v>
      </c>
      <c r="B962" t="s">
        <v>1677</v>
      </c>
      <c r="C962" t="s">
        <v>1787</v>
      </c>
    </row>
    <row r="963" spans="1:3" x14ac:dyDescent="0.25">
      <c r="A963" t="s">
        <v>1788</v>
      </c>
      <c r="B963" t="s">
        <v>1677</v>
      </c>
      <c r="C963" t="s">
        <v>1789</v>
      </c>
    </row>
    <row r="964" spans="1:3" x14ac:dyDescent="0.25">
      <c r="A964" t="s">
        <v>1790</v>
      </c>
      <c r="B964" t="s">
        <v>1677</v>
      </c>
      <c r="C964" t="s">
        <v>1791</v>
      </c>
    </row>
    <row r="965" spans="1:3" x14ac:dyDescent="0.25">
      <c r="A965" t="s">
        <v>1792</v>
      </c>
      <c r="B965" t="s">
        <v>1677</v>
      </c>
      <c r="C965" t="s">
        <v>1793</v>
      </c>
    </row>
    <row r="966" spans="1:3" x14ac:dyDescent="0.25">
      <c r="A966" t="s">
        <v>451</v>
      </c>
      <c r="B966" t="s">
        <v>1677</v>
      </c>
      <c r="C966" t="s">
        <v>1794</v>
      </c>
    </row>
    <row r="967" spans="1:3" x14ac:dyDescent="0.25">
      <c r="A967" t="s">
        <v>1795</v>
      </c>
      <c r="B967" t="s">
        <v>1677</v>
      </c>
      <c r="C967" t="s">
        <v>1796</v>
      </c>
    </row>
    <row r="968" spans="1:3" x14ac:dyDescent="0.25">
      <c r="A968" t="s">
        <v>1797</v>
      </c>
      <c r="B968" t="s">
        <v>1677</v>
      </c>
      <c r="C968" t="s">
        <v>1798</v>
      </c>
    </row>
    <row r="969" spans="1:3" x14ac:dyDescent="0.25">
      <c r="A969" t="s">
        <v>1799</v>
      </c>
      <c r="B969" t="s">
        <v>1677</v>
      </c>
      <c r="C969" t="s">
        <v>1800</v>
      </c>
    </row>
    <row r="970" spans="1:3" x14ac:dyDescent="0.25">
      <c r="A970" t="s">
        <v>1801</v>
      </c>
      <c r="B970" t="s">
        <v>1677</v>
      </c>
      <c r="C970" t="s">
        <v>1802</v>
      </c>
    </row>
    <row r="971" spans="1:3" x14ac:dyDescent="0.25">
      <c r="A971" t="s">
        <v>1803</v>
      </c>
      <c r="B971" t="s">
        <v>1677</v>
      </c>
      <c r="C971" t="s">
        <v>1804</v>
      </c>
    </row>
    <row r="972" spans="1:3" x14ac:dyDescent="0.25">
      <c r="A972" t="s">
        <v>1805</v>
      </c>
      <c r="B972" t="s">
        <v>1677</v>
      </c>
      <c r="C972" t="s">
        <v>1806</v>
      </c>
    </row>
    <row r="973" spans="1:3" x14ac:dyDescent="0.25">
      <c r="A973" t="s">
        <v>1807</v>
      </c>
      <c r="B973" t="s">
        <v>1677</v>
      </c>
      <c r="C973" t="s">
        <v>1808</v>
      </c>
    </row>
    <row r="974" spans="1:3" x14ac:dyDescent="0.25">
      <c r="A974" t="s">
        <v>1809</v>
      </c>
      <c r="B974" t="s">
        <v>1677</v>
      </c>
      <c r="C974" t="s">
        <v>1810</v>
      </c>
    </row>
    <row r="975" spans="1:3" x14ac:dyDescent="0.25">
      <c r="A975" t="s">
        <v>1492</v>
      </c>
      <c r="B975" t="s">
        <v>1677</v>
      </c>
      <c r="C975" t="s">
        <v>1811</v>
      </c>
    </row>
    <row r="976" spans="1:3" x14ac:dyDescent="0.25">
      <c r="A976" t="s">
        <v>245</v>
      </c>
      <c r="B976" t="s">
        <v>1677</v>
      </c>
      <c r="C976" t="s">
        <v>1812</v>
      </c>
    </row>
    <row r="977" spans="1:3" x14ac:dyDescent="0.25">
      <c r="A977" t="s">
        <v>467</v>
      </c>
      <c r="B977" t="s">
        <v>1677</v>
      </c>
      <c r="C977" t="s">
        <v>1813</v>
      </c>
    </row>
    <row r="978" spans="1:3" x14ac:dyDescent="0.25">
      <c r="A978" t="s">
        <v>469</v>
      </c>
      <c r="B978" t="s">
        <v>1677</v>
      </c>
      <c r="C978" t="s">
        <v>1814</v>
      </c>
    </row>
    <row r="979" spans="1:3" x14ac:dyDescent="0.25">
      <c r="A979" t="s">
        <v>719</v>
      </c>
      <c r="B979" t="s">
        <v>1677</v>
      </c>
      <c r="C979" t="s">
        <v>1815</v>
      </c>
    </row>
    <row r="980" spans="1:3" x14ac:dyDescent="0.25">
      <c r="A980" t="s">
        <v>1816</v>
      </c>
      <c r="B980" t="s">
        <v>1677</v>
      </c>
      <c r="C980" t="s">
        <v>1817</v>
      </c>
    </row>
    <row r="981" spans="1:3" x14ac:dyDescent="0.25">
      <c r="A981" t="s">
        <v>1818</v>
      </c>
      <c r="B981" t="s">
        <v>1677</v>
      </c>
      <c r="C981" t="s">
        <v>1819</v>
      </c>
    </row>
    <row r="982" spans="1:3" x14ac:dyDescent="0.25">
      <c r="A982" t="s">
        <v>1820</v>
      </c>
      <c r="B982" t="s">
        <v>1677</v>
      </c>
      <c r="C982" t="s">
        <v>1821</v>
      </c>
    </row>
    <row r="983" spans="1:3" x14ac:dyDescent="0.25">
      <c r="A983" t="s">
        <v>1822</v>
      </c>
      <c r="B983" t="s">
        <v>1677</v>
      </c>
      <c r="C983" t="s">
        <v>1823</v>
      </c>
    </row>
    <row r="984" spans="1:3" x14ac:dyDescent="0.25">
      <c r="A984" t="s">
        <v>1824</v>
      </c>
      <c r="B984" t="s">
        <v>1677</v>
      </c>
      <c r="C984" t="s">
        <v>1825</v>
      </c>
    </row>
    <row r="985" spans="1:3" x14ac:dyDescent="0.25">
      <c r="A985" t="s">
        <v>1826</v>
      </c>
      <c r="B985" t="s">
        <v>1677</v>
      </c>
      <c r="C985" t="s">
        <v>1827</v>
      </c>
    </row>
    <row r="986" spans="1:3" x14ac:dyDescent="0.25">
      <c r="A986" t="s">
        <v>1828</v>
      </c>
      <c r="B986" t="s">
        <v>1677</v>
      </c>
      <c r="C986" t="s">
        <v>1829</v>
      </c>
    </row>
    <row r="987" spans="1:3" x14ac:dyDescent="0.25">
      <c r="A987" t="s">
        <v>1830</v>
      </c>
      <c r="B987" t="s">
        <v>1677</v>
      </c>
      <c r="C987" t="s">
        <v>1831</v>
      </c>
    </row>
    <row r="988" spans="1:3" x14ac:dyDescent="0.25">
      <c r="A988" t="s">
        <v>1832</v>
      </c>
      <c r="B988" t="s">
        <v>1677</v>
      </c>
      <c r="C988" t="s">
        <v>1833</v>
      </c>
    </row>
    <row r="989" spans="1:3" x14ac:dyDescent="0.25">
      <c r="A989" t="s">
        <v>1104</v>
      </c>
      <c r="B989" t="s">
        <v>1677</v>
      </c>
      <c r="C989" t="s">
        <v>1834</v>
      </c>
    </row>
    <row r="990" spans="1:3" x14ac:dyDescent="0.25">
      <c r="A990" t="s">
        <v>1835</v>
      </c>
      <c r="B990" t="s">
        <v>1677</v>
      </c>
      <c r="C990" t="s">
        <v>1836</v>
      </c>
    </row>
    <row r="991" spans="1:3" x14ac:dyDescent="0.25">
      <c r="A991" t="s">
        <v>1837</v>
      </c>
      <c r="B991" t="s">
        <v>1677</v>
      </c>
      <c r="C991" t="s">
        <v>1838</v>
      </c>
    </row>
    <row r="992" spans="1:3" x14ac:dyDescent="0.25">
      <c r="A992" t="s">
        <v>1839</v>
      </c>
      <c r="B992" t="s">
        <v>1677</v>
      </c>
      <c r="C992" t="s">
        <v>1840</v>
      </c>
    </row>
    <row r="993" spans="1:3" x14ac:dyDescent="0.25">
      <c r="A993" t="s">
        <v>261</v>
      </c>
      <c r="B993" t="s">
        <v>1677</v>
      </c>
      <c r="C993" t="s">
        <v>1841</v>
      </c>
    </row>
    <row r="994" spans="1:3" x14ac:dyDescent="0.25">
      <c r="A994" t="s">
        <v>1842</v>
      </c>
      <c r="B994" t="s">
        <v>1677</v>
      </c>
      <c r="C994" t="s">
        <v>1843</v>
      </c>
    </row>
    <row r="995" spans="1:3" x14ac:dyDescent="0.25">
      <c r="A995" t="s">
        <v>1844</v>
      </c>
      <c r="B995" t="s">
        <v>1677</v>
      </c>
      <c r="C995" t="s">
        <v>1845</v>
      </c>
    </row>
    <row r="996" spans="1:3" x14ac:dyDescent="0.25">
      <c r="A996" t="s">
        <v>1846</v>
      </c>
      <c r="B996" t="s">
        <v>1677</v>
      </c>
      <c r="C996" t="s">
        <v>1847</v>
      </c>
    </row>
    <row r="997" spans="1:3" x14ac:dyDescent="0.25">
      <c r="A997" t="s">
        <v>1848</v>
      </c>
      <c r="B997" t="s">
        <v>1677</v>
      </c>
      <c r="C997" t="s">
        <v>1849</v>
      </c>
    </row>
    <row r="998" spans="1:3" x14ac:dyDescent="0.25">
      <c r="A998" t="s">
        <v>1531</v>
      </c>
      <c r="B998" t="s">
        <v>1851</v>
      </c>
      <c r="C998" t="s">
        <v>1852</v>
      </c>
    </row>
    <row r="999" spans="1:3" x14ac:dyDescent="0.25">
      <c r="A999" t="s">
        <v>1398</v>
      </c>
      <c r="B999" t="s">
        <v>1851</v>
      </c>
      <c r="C999" t="s">
        <v>1853</v>
      </c>
    </row>
    <row r="1000" spans="1:3" x14ac:dyDescent="0.25">
      <c r="A1000" t="s">
        <v>1679</v>
      </c>
      <c r="B1000" t="s">
        <v>1851</v>
      </c>
      <c r="C1000" t="s">
        <v>1854</v>
      </c>
    </row>
    <row r="1001" spans="1:3" x14ac:dyDescent="0.25">
      <c r="A1001" t="s">
        <v>1855</v>
      </c>
      <c r="B1001" t="s">
        <v>1851</v>
      </c>
      <c r="C1001" t="s">
        <v>1856</v>
      </c>
    </row>
    <row r="1002" spans="1:3" x14ac:dyDescent="0.25">
      <c r="A1002" t="s">
        <v>1857</v>
      </c>
      <c r="B1002" t="s">
        <v>1851</v>
      </c>
      <c r="C1002" t="s">
        <v>1858</v>
      </c>
    </row>
    <row r="1003" spans="1:3" x14ac:dyDescent="0.25">
      <c r="A1003" t="s">
        <v>1859</v>
      </c>
      <c r="B1003" t="s">
        <v>1851</v>
      </c>
      <c r="C1003" t="s">
        <v>1860</v>
      </c>
    </row>
    <row r="1004" spans="1:3" x14ac:dyDescent="0.25">
      <c r="A1004" t="s">
        <v>1861</v>
      </c>
      <c r="B1004" t="s">
        <v>1851</v>
      </c>
      <c r="C1004" t="s">
        <v>1862</v>
      </c>
    </row>
    <row r="1005" spans="1:3" x14ac:dyDescent="0.25">
      <c r="A1005" t="s">
        <v>368</v>
      </c>
      <c r="B1005" t="s">
        <v>1851</v>
      </c>
      <c r="C1005" t="s">
        <v>1863</v>
      </c>
    </row>
    <row r="1006" spans="1:3" x14ac:dyDescent="0.25">
      <c r="A1006" t="s">
        <v>1687</v>
      </c>
      <c r="B1006" t="s">
        <v>1851</v>
      </c>
      <c r="C1006" t="s">
        <v>1864</v>
      </c>
    </row>
    <row r="1007" spans="1:3" x14ac:dyDescent="0.25">
      <c r="A1007" t="s">
        <v>1865</v>
      </c>
      <c r="B1007" t="s">
        <v>1851</v>
      </c>
      <c r="C1007" t="s">
        <v>1866</v>
      </c>
    </row>
    <row r="1008" spans="1:3" x14ac:dyDescent="0.25">
      <c r="A1008" t="s">
        <v>1867</v>
      </c>
      <c r="B1008" t="s">
        <v>1851</v>
      </c>
      <c r="C1008" t="s">
        <v>1868</v>
      </c>
    </row>
    <row r="1009" spans="1:3" x14ac:dyDescent="0.25">
      <c r="A1009" t="s">
        <v>1869</v>
      </c>
      <c r="B1009" t="s">
        <v>1851</v>
      </c>
      <c r="C1009" t="s">
        <v>1870</v>
      </c>
    </row>
    <row r="1010" spans="1:3" x14ac:dyDescent="0.25">
      <c r="A1010" t="s">
        <v>1871</v>
      </c>
      <c r="B1010" t="s">
        <v>1851</v>
      </c>
      <c r="C1010" t="s">
        <v>1872</v>
      </c>
    </row>
    <row r="1011" spans="1:3" x14ac:dyDescent="0.25">
      <c r="A1011" t="s">
        <v>1873</v>
      </c>
      <c r="B1011" t="s">
        <v>1851</v>
      </c>
      <c r="C1011" t="s">
        <v>1874</v>
      </c>
    </row>
    <row r="1012" spans="1:3" x14ac:dyDescent="0.25">
      <c r="A1012" t="s">
        <v>1875</v>
      </c>
      <c r="B1012" t="s">
        <v>1851</v>
      </c>
      <c r="C1012" t="s">
        <v>1876</v>
      </c>
    </row>
    <row r="1013" spans="1:3" x14ac:dyDescent="0.25">
      <c r="A1013" t="s">
        <v>145</v>
      </c>
      <c r="B1013" t="s">
        <v>1851</v>
      </c>
      <c r="C1013" t="s">
        <v>1877</v>
      </c>
    </row>
    <row r="1014" spans="1:3" x14ac:dyDescent="0.25">
      <c r="A1014" t="s">
        <v>1878</v>
      </c>
      <c r="B1014" t="s">
        <v>1851</v>
      </c>
      <c r="C1014" t="s">
        <v>1879</v>
      </c>
    </row>
    <row r="1015" spans="1:3" x14ac:dyDescent="0.25">
      <c r="A1015" t="s">
        <v>1880</v>
      </c>
      <c r="B1015" t="s">
        <v>1851</v>
      </c>
      <c r="C1015" t="s">
        <v>1881</v>
      </c>
    </row>
    <row r="1016" spans="1:3" x14ac:dyDescent="0.25">
      <c r="A1016" t="s">
        <v>1882</v>
      </c>
      <c r="B1016" t="s">
        <v>1851</v>
      </c>
      <c r="C1016" t="s">
        <v>1883</v>
      </c>
    </row>
    <row r="1017" spans="1:3" x14ac:dyDescent="0.25">
      <c r="A1017" t="s">
        <v>1884</v>
      </c>
      <c r="B1017" t="s">
        <v>1851</v>
      </c>
      <c r="C1017" t="s">
        <v>1885</v>
      </c>
    </row>
    <row r="1018" spans="1:3" x14ac:dyDescent="0.25">
      <c r="A1018" t="s">
        <v>373</v>
      </c>
      <c r="B1018" t="s">
        <v>1851</v>
      </c>
      <c r="C1018" t="s">
        <v>1886</v>
      </c>
    </row>
    <row r="1019" spans="1:3" x14ac:dyDescent="0.25">
      <c r="A1019" t="s">
        <v>1887</v>
      </c>
      <c r="B1019" t="s">
        <v>1851</v>
      </c>
      <c r="C1019" t="s">
        <v>1888</v>
      </c>
    </row>
    <row r="1020" spans="1:3" x14ac:dyDescent="0.25">
      <c r="A1020" t="s">
        <v>1889</v>
      </c>
      <c r="B1020" t="s">
        <v>1851</v>
      </c>
      <c r="C1020" t="s">
        <v>1890</v>
      </c>
    </row>
    <row r="1021" spans="1:3" x14ac:dyDescent="0.25">
      <c r="A1021" t="s">
        <v>1255</v>
      </c>
      <c r="B1021" t="s">
        <v>1851</v>
      </c>
      <c r="C1021" t="s">
        <v>1891</v>
      </c>
    </row>
    <row r="1022" spans="1:3" x14ac:dyDescent="0.25">
      <c r="A1022" t="s">
        <v>377</v>
      </c>
      <c r="B1022" t="s">
        <v>1851</v>
      </c>
      <c r="C1022" t="s">
        <v>1892</v>
      </c>
    </row>
    <row r="1023" spans="1:3" x14ac:dyDescent="0.25">
      <c r="A1023" t="s">
        <v>159</v>
      </c>
      <c r="B1023" t="s">
        <v>1851</v>
      </c>
      <c r="C1023" t="s">
        <v>1893</v>
      </c>
    </row>
    <row r="1024" spans="1:3" x14ac:dyDescent="0.25">
      <c r="A1024" t="s">
        <v>1259</v>
      </c>
      <c r="B1024" t="s">
        <v>1851</v>
      </c>
      <c r="C1024" t="s">
        <v>1894</v>
      </c>
    </row>
    <row r="1025" spans="1:3" x14ac:dyDescent="0.25">
      <c r="A1025" t="s">
        <v>391</v>
      </c>
      <c r="B1025" t="s">
        <v>1851</v>
      </c>
      <c r="C1025" t="s">
        <v>1895</v>
      </c>
    </row>
    <row r="1026" spans="1:3" x14ac:dyDescent="0.25">
      <c r="A1026" t="s">
        <v>1265</v>
      </c>
      <c r="B1026" t="s">
        <v>1851</v>
      </c>
      <c r="C1026" t="s">
        <v>1896</v>
      </c>
    </row>
    <row r="1027" spans="1:3" x14ac:dyDescent="0.25">
      <c r="A1027" t="s">
        <v>1413</v>
      </c>
      <c r="B1027" t="s">
        <v>1851</v>
      </c>
      <c r="C1027" t="s">
        <v>1897</v>
      </c>
    </row>
    <row r="1028" spans="1:3" x14ac:dyDescent="0.25">
      <c r="A1028" t="s">
        <v>1898</v>
      </c>
      <c r="B1028" t="s">
        <v>1851</v>
      </c>
      <c r="C1028" t="s">
        <v>1899</v>
      </c>
    </row>
    <row r="1029" spans="1:3" x14ac:dyDescent="0.25">
      <c r="A1029" t="s">
        <v>1900</v>
      </c>
      <c r="B1029" t="s">
        <v>1851</v>
      </c>
      <c r="C1029" t="s">
        <v>1901</v>
      </c>
    </row>
    <row r="1030" spans="1:3" x14ac:dyDescent="0.25">
      <c r="A1030" t="s">
        <v>1902</v>
      </c>
      <c r="B1030" t="s">
        <v>1851</v>
      </c>
      <c r="C1030" t="s">
        <v>1903</v>
      </c>
    </row>
    <row r="1031" spans="1:3" x14ac:dyDescent="0.25">
      <c r="A1031" t="s">
        <v>189</v>
      </c>
      <c r="B1031" t="s">
        <v>1851</v>
      </c>
      <c r="C1031" t="s">
        <v>1904</v>
      </c>
    </row>
    <row r="1032" spans="1:3" x14ac:dyDescent="0.25">
      <c r="A1032" t="s">
        <v>1905</v>
      </c>
      <c r="B1032" t="s">
        <v>1851</v>
      </c>
      <c r="C1032" t="s">
        <v>1906</v>
      </c>
    </row>
    <row r="1033" spans="1:3" x14ac:dyDescent="0.25">
      <c r="A1033" t="s">
        <v>976</v>
      </c>
      <c r="B1033" t="s">
        <v>1851</v>
      </c>
      <c r="C1033" t="s">
        <v>1907</v>
      </c>
    </row>
    <row r="1034" spans="1:3" x14ac:dyDescent="0.25">
      <c r="A1034" t="s">
        <v>191</v>
      </c>
      <c r="B1034" t="s">
        <v>1851</v>
      </c>
      <c r="C1034" t="s">
        <v>1908</v>
      </c>
    </row>
    <row r="1035" spans="1:3" x14ac:dyDescent="0.25">
      <c r="A1035" t="s">
        <v>403</v>
      </c>
      <c r="B1035" t="s">
        <v>1851</v>
      </c>
      <c r="C1035" t="s">
        <v>1909</v>
      </c>
    </row>
    <row r="1036" spans="1:3" x14ac:dyDescent="0.25">
      <c r="A1036" t="s">
        <v>1283</v>
      </c>
      <c r="B1036" t="s">
        <v>1851</v>
      </c>
      <c r="C1036" t="s">
        <v>1910</v>
      </c>
    </row>
    <row r="1037" spans="1:3" x14ac:dyDescent="0.25">
      <c r="A1037" t="s">
        <v>1911</v>
      </c>
      <c r="B1037" t="s">
        <v>1851</v>
      </c>
      <c r="C1037" t="s">
        <v>1912</v>
      </c>
    </row>
    <row r="1038" spans="1:3" x14ac:dyDescent="0.25">
      <c r="A1038" t="s">
        <v>407</v>
      </c>
      <c r="B1038" t="s">
        <v>1851</v>
      </c>
      <c r="C1038" t="s">
        <v>1913</v>
      </c>
    </row>
    <row r="1039" spans="1:3" x14ac:dyDescent="0.25">
      <c r="A1039" t="s">
        <v>1914</v>
      </c>
      <c r="B1039" t="s">
        <v>1851</v>
      </c>
      <c r="C1039" t="s">
        <v>1915</v>
      </c>
    </row>
    <row r="1040" spans="1:3" x14ac:dyDescent="0.25">
      <c r="A1040" t="s">
        <v>1916</v>
      </c>
      <c r="B1040" t="s">
        <v>1851</v>
      </c>
      <c r="C1040" t="s">
        <v>1917</v>
      </c>
    </row>
    <row r="1041" spans="1:3" x14ac:dyDescent="0.25">
      <c r="A1041" t="s">
        <v>1918</v>
      </c>
      <c r="B1041" t="s">
        <v>1851</v>
      </c>
      <c r="C1041" t="s">
        <v>1919</v>
      </c>
    </row>
    <row r="1042" spans="1:3" x14ac:dyDescent="0.25">
      <c r="A1042" t="s">
        <v>1920</v>
      </c>
      <c r="B1042" t="s">
        <v>1851</v>
      </c>
      <c r="C1042" t="s">
        <v>1921</v>
      </c>
    </row>
    <row r="1043" spans="1:3" x14ac:dyDescent="0.25">
      <c r="A1043" t="s">
        <v>999</v>
      </c>
      <c r="B1043" t="s">
        <v>1851</v>
      </c>
      <c r="C1043" t="s">
        <v>1922</v>
      </c>
    </row>
    <row r="1044" spans="1:3" x14ac:dyDescent="0.25">
      <c r="A1044" t="s">
        <v>1290</v>
      </c>
      <c r="B1044" t="s">
        <v>1851</v>
      </c>
      <c r="C1044" t="s">
        <v>1923</v>
      </c>
    </row>
    <row r="1045" spans="1:3" x14ac:dyDescent="0.25">
      <c r="A1045" t="s">
        <v>1924</v>
      </c>
      <c r="B1045" t="s">
        <v>1851</v>
      </c>
      <c r="C1045" t="s">
        <v>1925</v>
      </c>
    </row>
    <row r="1046" spans="1:3" x14ac:dyDescent="0.25">
      <c r="A1046" t="s">
        <v>1437</v>
      </c>
      <c r="B1046" t="s">
        <v>1851</v>
      </c>
      <c r="C1046" t="s">
        <v>1926</v>
      </c>
    </row>
    <row r="1047" spans="1:3" x14ac:dyDescent="0.25">
      <c r="A1047" t="s">
        <v>1005</v>
      </c>
      <c r="B1047" t="s">
        <v>1851</v>
      </c>
      <c r="C1047" t="s">
        <v>1927</v>
      </c>
    </row>
    <row r="1048" spans="1:3" x14ac:dyDescent="0.25">
      <c r="A1048" t="s">
        <v>1292</v>
      </c>
      <c r="B1048" t="s">
        <v>1851</v>
      </c>
      <c r="C1048" t="s">
        <v>1928</v>
      </c>
    </row>
    <row r="1049" spans="1:3" x14ac:dyDescent="0.25">
      <c r="A1049" t="s">
        <v>199</v>
      </c>
      <c r="B1049" t="s">
        <v>1851</v>
      </c>
      <c r="C1049" t="s">
        <v>1929</v>
      </c>
    </row>
    <row r="1050" spans="1:3" x14ac:dyDescent="0.25">
      <c r="A1050" t="s">
        <v>1930</v>
      </c>
      <c r="B1050" t="s">
        <v>1851</v>
      </c>
      <c r="C1050" t="s">
        <v>1931</v>
      </c>
    </row>
    <row r="1051" spans="1:3" x14ac:dyDescent="0.25">
      <c r="A1051" t="s">
        <v>1932</v>
      </c>
      <c r="B1051" t="s">
        <v>1851</v>
      </c>
      <c r="C1051" t="s">
        <v>1933</v>
      </c>
    </row>
    <row r="1052" spans="1:3" x14ac:dyDescent="0.25">
      <c r="A1052" t="s">
        <v>203</v>
      </c>
      <c r="B1052" t="s">
        <v>1851</v>
      </c>
      <c r="C1052" t="s">
        <v>1934</v>
      </c>
    </row>
    <row r="1053" spans="1:3" x14ac:dyDescent="0.25">
      <c r="A1053" t="s">
        <v>205</v>
      </c>
      <c r="B1053" t="s">
        <v>1851</v>
      </c>
      <c r="C1053" t="s">
        <v>1935</v>
      </c>
    </row>
    <row r="1054" spans="1:3" x14ac:dyDescent="0.25">
      <c r="A1054" t="s">
        <v>1936</v>
      </c>
      <c r="B1054" t="s">
        <v>1851</v>
      </c>
      <c r="C1054" t="s">
        <v>1937</v>
      </c>
    </row>
    <row r="1055" spans="1:3" x14ac:dyDescent="0.25">
      <c r="A1055" t="s">
        <v>422</v>
      </c>
      <c r="B1055" t="s">
        <v>1851</v>
      </c>
      <c r="C1055" t="s">
        <v>1938</v>
      </c>
    </row>
    <row r="1056" spans="1:3" x14ac:dyDescent="0.25">
      <c r="A1056" t="s">
        <v>1939</v>
      </c>
      <c r="B1056" t="s">
        <v>1851</v>
      </c>
      <c r="C1056" t="s">
        <v>1940</v>
      </c>
    </row>
    <row r="1057" spans="1:3" x14ac:dyDescent="0.25">
      <c r="A1057" t="s">
        <v>1941</v>
      </c>
      <c r="B1057" t="s">
        <v>1851</v>
      </c>
      <c r="C1057" t="s">
        <v>1942</v>
      </c>
    </row>
    <row r="1058" spans="1:3" x14ac:dyDescent="0.25">
      <c r="A1058" t="s">
        <v>1311</v>
      </c>
      <c r="B1058" t="s">
        <v>1851</v>
      </c>
      <c r="C1058" t="s">
        <v>1943</v>
      </c>
    </row>
    <row r="1059" spans="1:3" x14ac:dyDescent="0.25">
      <c r="A1059" t="s">
        <v>1944</v>
      </c>
      <c r="B1059" t="s">
        <v>1851</v>
      </c>
      <c r="C1059" t="s">
        <v>1945</v>
      </c>
    </row>
    <row r="1060" spans="1:3" x14ac:dyDescent="0.25">
      <c r="A1060" t="s">
        <v>1946</v>
      </c>
      <c r="B1060" t="s">
        <v>1851</v>
      </c>
      <c r="C1060" t="s">
        <v>1947</v>
      </c>
    </row>
    <row r="1061" spans="1:3" x14ac:dyDescent="0.25">
      <c r="A1061" t="s">
        <v>211</v>
      </c>
      <c r="B1061" t="s">
        <v>1851</v>
      </c>
      <c r="C1061" t="s">
        <v>1948</v>
      </c>
    </row>
    <row r="1062" spans="1:3" x14ac:dyDescent="0.25">
      <c r="A1062" t="s">
        <v>213</v>
      </c>
      <c r="B1062" t="s">
        <v>1851</v>
      </c>
      <c r="C1062" t="s">
        <v>1949</v>
      </c>
    </row>
    <row r="1063" spans="1:3" x14ac:dyDescent="0.25">
      <c r="A1063" t="s">
        <v>1950</v>
      </c>
      <c r="B1063" t="s">
        <v>1851</v>
      </c>
      <c r="C1063" t="s">
        <v>1951</v>
      </c>
    </row>
    <row r="1064" spans="1:3" x14ac:dyDescent="0.25">
      <c r="A1064" t="s">
        <v>1952</v>
      </c>
      <c r="B1064" t="s">
        <v>1851</v>
      </c>
      <c r="C1064" t="s">
        <v>1953</v>
      </c>
    </row>
    <row r="1065" spans="1:3" x14ac:dyDescent="0.25">
      <c r="A1065" t="s">
        <v>1212</v>
      </c>
      <c r="B1065" t="s">
        <v>1851</v>
      </c>
      <c r="C1065" t="s">
        <v>1954</v>
      </c>
    </row>
    <row r="1066" spans="1:3" x14ac:dyDescent="0.25">
      <c r="A1066" t="s">
        <v>428</v>
      </c>
      <c r="B1066" t="s">
        <v>1851</v>
      </c>
      <c r="C1066" t="s">
        <v>1955</v>
      </c>
    </row>
    <row r="1067" spans="1:3" x14ac:dyDescent="0.25">
      <c r="A1067" t="s">
        <v>1318</v>
      </c>
      <c r="B1067" t="s">
        <v>1851</v>
      </c>
      <c r="C1067" t="s">
        <v>1956</v>
      </c>
    </row>
    <row r="1068" spans="1:3" x14ac:dyDescent="0.25">
      <c r="A1068" t="s">
        <v>432</v>
      </c>
      <c r="B1068" t="s">
        <v>1851</v>
      </c>
      <c r="C1068" t="s">
        <v>1957</v>
      </c>
    </row>
    <row r="1069" spans="1:3" x14ac:dyDescent="0.25">
      <c r="A1069" t="s">
        <v>1615</v>
      </c>
      <c r="B1069" t="s">
        <v>1851</v>
      </c>
      <c r="C1069" t="s">
        <v>1958</v>
      </c>
    </row>
    <row r="1070" spans="1:3" x14ac:dyDescent="0.25">
      <c r="A1070" t="s">
        <v>1959</v>
      </c>
      <c r="B1070" t="s">
        <v>1851</v>
      </c>
      <c r="C1070" t="s">
        <v>1960</v>
      </c>
    </row>
    <row r="1071" spans="1:3" x14ac:dyDescent="0.25">
      <c r="A1071" t="s">
        <v>1961</v>
      </c>
      <c r="B1071" t="s">
        <v>1851</v>
      </c>
      <c r="C1071" t="s">
        <v>1962</v>
      </c>
    </row>
    <row r="1072" spans="1:3" x14ac:dyDescent="0.25">
      <c r="A1072" t="s">
        <v>1325</v>
      </c>
      <c r="B1072" t="s">
        <v>1851</v>
      </c>
      <c r="C1072" t="s">
        <v>1963</v>
      </c>
    </row>
    <row r="1073" spans="1:3" x14ac:dyDescent="0.25">
      <c r="A1073" t="s">
        <v>221</v>
      </c>
      <c r="B1073" t="s">
        <v>1851</v>
      </c>
      <c r="C1073" t="s">
        <v>1964</v>
      </c>
    </row>
    <row r="1074" spans="1:3" x14ac:dyDescent="0.25">
      <c r="A1074" t="s">
        <v>1965</v>
      </c>
      <c r="B1074" t="s">
        <v>1851</v>
      </c>
      <c r="C1074" t="s">
        <v>1966</v>
      </c>
    </row>
    <row r="1075" spans="1:3" x14ac:dyDescent="0.25">
      <c r="A1075" t="s">
        <v>225</v>
      </c>
      <c r="B1075" t="s">
        <v>1851</v>
      </c>
      <c r="C1075" t="s">
        <v>1967</v>
      </c>
    </row>
    <row r="1076" spans="1:3" x14ac:dyDescent="0.25">
      <c r="A1076" t="s">
        <v>227</v>
      </c>
      <c r="B1076" t="s">
        <v>1851</v>
      </c>
      <c r="C1076" t="s">
        <v>1968</v>
      </c>
    </row>
    <row r="1077" spans="1:3" x14ac:dyDescent="0.25">
      <c r="A1077" t="s">
        <v>830</v>
      </c>
      <c r="B1077" t="s">
        <v>1851</v>
      </c>
      <c r="C1077" t="s">
        <v>1969</v>
      </c>
    </row>
    <row r="1078" spans="1:3" x14ac:dyDescent="0.25">
      <c r="A1078" t="s">
        <v>1333</v>
      </c>
      <c r="B1078" t="s">
        <v>1851</v>
      </c>
      <c r="C1078" t="s">
        <v>1970</v>
      </c>
    </row>
    <row r="1079" spans="1:3" x14ac:dyDescent="0.25">
      <c r="A1079" t="s">
        <v>1769</v>
      </c>
      <c r="B1079" t="s">
        <v>1851</v>
      </c>
      <c r="C1079" t="s">
        <v>1971</v>
      </c>
    </row>
    <row r="1080" spans="1:3" x14ac:dyDescent="0.25">
      <c r="A1080" t="s">
        <v>1972</v>
      </c>
      <c r="B1080" t="s">
        <v>1851</v>
      </c>
      <c r="C1080" t="s">
        <v>1973</v>
      </c>
    </row>
    <row r="1081" spans="1:3" x14ac:dyDescent="0.25">
      <c r="A1081" t="s">
        <v>1339</v>
      </c>
      <c r="B1081" t="s">
        <v>1851</v>
      </c>
      <c r="C1081" t="s">
        <v>1974</v>
      </c>
    </row>
    <row r="1082" spans="1:3" x14ac:dyDescent="0.25">
      <c r="A1082" t="s">
        <v>1975</v>
      </c>
      <c r="B1082" t="s">
        <v>1851</v>
      </c>
      <c r="C1082" t="s">
        <v>1976</v>
      </c>
    </row>
    <row r="1083" spans="1:3" x14ac:dyDescent="0.25">
      <c r="A1083" t="s">
        <v>231</v>
      </c>
      <c r="B1083" t="s">
        <v>1851</v>
      </c>
      <c r="C1083" t="s">
        <v>1977</v>
      </c>
    </row>
    <row r="1084" spans="1:3" x14ac:dyDescent="0.25">
      <c r="A1084" t="s">
        <v>233</v>
      </c>
      <c r="B1084" t="s">
        <v>1851</v>
      </c>
      <c r="C1084" t="s">
        <v>1978</v>
      </c>
    </row>
    <row r="1085" spans="1:3" x14ac:dyDescent="0.25">
      <c r="A1085" t="s">
        <v>235</v>
      </c>
      <c r="B1085" t="s">
        <v>1851</v>
      </c>
      <c r="C1085" t="s">
        <v>1979</v>
      </c>
    </row>
    <row r="1086" spans="1:3" x14ac:dyDescent="0.25">
      <c r="A1086" t="s">
        <v>1980</v>
      </c>
      <c r="B1086" t="s">
        <v>1851</v>
      </c>
      <c r="C1086" t="s">
        <v>1981</v>
      </c>
    </row>
    <row r="1087" spans="1:3" x14ac:dyDescent="0.25">
      <c r="A1087" t="s">
        <v>1982</v>
      </c>
      <c r="B1087" t="s">
        <v>1851</v>
      </c>
      <c r="C1087" t="s">
        <v>1983</v>
      </c>
    </row>
    <row r="1088" spans="1:3" x14ac:dyDescent="0.25">
      <c r="A1088" t="s">
        <v>1984</v>
      </c>
      <c r="B1088" t="s">
        <v>1851</v>
      </c>
      <c r="C1088" t="s">
        <v>1985</v>
      </c>
    </row>
    <row r="1089" spans="1:3" x14ac:dyDescent="0.25">
      <c r="A1089" t="s">
        <v>1474</v>
      </c>
      <c r="B1089" t="s">
        <v>1851</v>
      </c>
      <c r="C1089" t="s">
        <v>1986</v>
      </c>
    </row>
    <row r="1090" spans="1:3" x14ac:dyDescent="0.25">
      <c r="A1090" t="s">
        <v>1987</v>
      </c>
      <c r="B1090" t="s">
        <v>1851</v>
      </c>
      <c r="C1090" t="s">
        <v>1988</v>
      </c>
    </row>
    <row r="1091" spans="1:3" x14ac:dyDescent="0.25">
      <c r="A1091" t="s">
        <v>1477</v>
      </c>
      <c r="B1091" t="s">
        <v>1851</v>
      </c>
      <c r="C1091" t="s">
        <v>1989</v>
      </c>
    </row>
    <row r="1092" spans="1:3" x14ac:dyDescent="0.25">
      <c r="A1092" t="s">
        <v>1990</v>
      </c>
      <c r="B1092" t="s">
        <v>1851</v>
      </c>
      <c r="C1092" t="s">
        <v>1991</v>
      </c>
    </row>
    <row r="1093" spans="1:3" x14ac:dyDescent="0.25">
      <c r="A1093" t="s">
        <v>1992</v>
      </c>
      <c r="B1093" t="s">
        <v>1851</v>
      </c>
      <c r="C1093" t="s">
        <v>1993</v>
      </c>
    </row>
    <row r="1094" spans="1:3" x14ac:dyDescent="0.25">
      <c r="A1094" t="s">
        <v>237</v>
      </c>
      <c r="B1094" t="s">
        <v>1851</v>
      </c>
      <c r="C1094" t="s">
        <v>1994</v>
      </c>
    </row>
    <row r="1095" spans="1:3" x14ac:dyDescent="0.25">
      <c r="A1095" t="s">
        <v>241</v>
      </c>
      <c r="B1095" t="s">
        <v>1851</v>
      </c>
      <c r="C1095" t="s">
        <v>1995</v>
      </c>
    </row>
    <row r="1096" spans="1:3" x14ac:dyDescent="0.25">
      <c r="A1096" t="s">
        <v>1996</v>
      </c>
      <c r="B1096" t="s">
        <v>1851</v>
      </c>
      <c r="C1096" t="s">
        <v>1997</v>
      </c>
    </row>
    <row r="1097" spans="1:3" x14ac:dyDescent="0.25">
      <c r="A1097" t="s">
        <v>462</v>
      </c>
      <c r="B1097" t="s">
        <v>1851</v>
      </c>
      <c r="C1097" t="s">
        <v>1998</v>
      </c>
    </row>
    <row r="1098" spans="1:3" x14ac:dyDescent="0.25">
      <c r="A1098" t="s">
        <v>1999</v>
      </c>
      <c r="B1098" t="s">
        <v>1851</v>
      </c>
      <c r="C1098" t="s">
        <v>2000</v>
      </c>
    </row>
    <row r="1099" spans="1:3" x14ac:dyDescent="0.25">
      <c r="A1099" t="s">
        <v>2001</v>
      </c>
      <c r="B1099" t="s">
        <v>1851</v>
      </c>
      <c r="C1099" t="s">
        <v>2002</v>
      </c>
    </row>
    <row r="1100" spans="1:3" x14ac:dyDescent="0.25">
      <c r="A1100" t="s">
        <v>2003</v>
      </c>
      <c r="B1100" t="s">
        <v>1851</v>
      </c>
      <c r="C1100" t="s">
        <v>2004</v>
      </c>
    </row>
    <row r="1101" spans="1:3" x14ac:dyDescent="0.25">
      <c r="A1101" t="s">
        <v>245</v>
      </c>
      <c r="B1101" t="s">
        <v>1851</v>
      </c>
      <c r="C1101" t="s">
        <v>2005</v>
      </c>
    </row>
    <row r="1102" spans="1:3" x14ac:dyDescent="0.25">
      <c r="A1102" t="s">
        <v>469</v>
      </c>
      <c r="B1102" t="s">
        <v>1851</v>
      </c>
      <c r="C1102" t="s">
        <v>2006</v>
      </c>
    </row>
    <row r="1103" spans="1:3" x14ac:dyDescent="0.25">
      <c r="A1103" t="s">
        <v>249</v>
      </c>
      <c r="B1103" t="s">
        <v>1851</v>
      </c>
      <c r="C1103" t="s">
        <v>2007</v>
      </c>
    </row>
    <row r="1104" spans="1:3" x14ac:dyDescent="0.25">
      <c r="A1104" t="s">
        <v>2008</v>
      </c>
      <c r="B1104" t="s">
        <v>1851</v>
      </c>
      <c r="C1104" t="s">
        <v>2009</v>
      </c>
    </row>
    <row r="1105" spans="1:3" x14ac:dyDescent="0.25">
      <c r="A1105" t="s">
        <v>1498</v>
      </c>
      <c r="B1105" t="s">
        <v>1851</v>
      </c>
      <c r="C1105" t="s">
        <v>2010</v>
      </c>
    </row>
    <row r="1106" spans="1:3" x14ac:dyDescent="0.25">
      <c r="A1106" t="s">
        <v>866</v>
      </c>
      <c r="B1106" t="s">
        <v>1851</v>
      </c>
      <c r="C1106" t="s">
        <v>2011</v>
      </c>
    </row>
    <row r="1107" spans="1:3" x14ac:dyDescent="0.25">
      <c r="A1107" t="s">
        <v>2012</v>
      </c>
      <c r="B1107" t="s">
        <v>1851</v>
      </c>
      <c r="C1107" t="s">
        <v>2013</v>
      </c>
    </row>
    <row r="1108" spans="1:3" x14ac:dyDescent="0.25">
      <c r="A1108" t="s">
        <v>2014</v>
      </c>
      <c r="B1108" t="s">
        <v>1851</v>
      </c>
      <c r="C1108" t="s">
        <v>2015</v>
      </c>
    </row>
    <row r="1109" spans="1:3" x14ac:dyDescent="0.25">
      <c r="A1109" t="s">
        <v>2016</v>
      </c>
      <c r="B1109" t="s">
        <v>1851</v>
      </c>
      <c r="C1109" t="s">
        <v>2017</v>
      </c>
    </row>
    <row r="1110" spans="1:3" x14ac:dyDescent="0.25">
      <c r="A1110" t="s">
        <v>481</v>
      </c>
      <c r="B1110" t="s">
        <v>1851</v>
      </c>
      <c r="C1110" t="s">
        <v>2018</v>
      </c>
    </row>
    <row r="1111" spans="1:3" x14ac:dyDescent="0.25">
      <c r="A1111" t="s">
        <v>1127</v>
      </c>
      <c r="B1111" t="s">
        <v>1851</v>
      </c>
      <c r="C1111" t="s">
        <v>2019</v>
      </c>
    </row>
    <row r="1112" spans="1:3" x14ac:dyDescent="0.25">
      <c r="A1112" t="s">
        <v>261</v>
      </c>
      <c r="B1112" t="s">
        <v>1851</v>
      </c>
      <c r="C1112" t="s">
        <v>2020</v>
      </c>
    </row>
    <row r="1113" spans="1:3" x14ac:dyDescent="0.25">
      <c r="A1113" t="s">
        <v>1130</v>
      </c>
      <c r="B1113" t="s">
        <v>1851</v>
      </c>
      <c r="C1113" t="s">
        <v>2021</v>
      </c>
    </row>
    <row r="1114" spans="1:3" x14ac:dyDescent="0.25">
      <c r="A1114" t="s">
        <v>1132</v>
      </c>
      <c r="B1114" t="s">
        <v>1851</v>
      </c>
      <c r="C1114" t="s">
        <v>2022</v>
      </c>
    </row>
    <row r="1115" spans="1:3" x14ac:dyDescent="0.25">
      <c r="A1115" t="s">
        <v>1528</v>
      </c>
      <c r="B1115" t="s">
        <v>1851</v>
      </c>
      <c r="C1115" t="s">
        <v>2023</v>
      </c>
    </row>
    <row r="1116" spans="1:3" x14ac:dyDescent="0.25">
      <c r="A1116" t="s">
        <v>2024</v>
      </c>
      <c r="B1116" t="s">
        <v>1851</v>
      </c>
      <c r="C1116" t="s">
        <v>2025</v>
      </c>
    </row>
    <row r="1117" spans="1:3" x14ac:dyDescent="0.25">
      <c r="A1117" t="s">
        <v>1393</v>
      </c>
      <c r="B1117" t="s">
        <v>1851</v>
      </c>
      <c r="C1117" t="s">
        <v>2026</v>
      </c>
    </row>
    <row r="1118" spans="1:3" x14ac:dyDescent="0.25">
      <c r="A1118" t="s">
        <v>2028</v>
      </c>
      <c r="B1118" t="s">
        <v>2029</v>
      </c>
      <c r="C1118" t="s">
        <v>2030</v>
      </c>
    </row>
    <row r="1119" spans="1:3" x14ac:dyDescent="0.25">
      <c r="A1119" t="s">
        <v>1398</v>
      </c>
      <c r="B1119" t="s">
        <v>2029</v>
      </c>
      <c r="C1119" t="s">
        <v>2031</v>
      </c>
    </row>
    <row r="1120" spans="1:3" x14ac:dyDescent="0.25">
      <c r="A1120" t="s">
        <v>2032</v>
      </c>
      <c r="B1120" t="s">
        <v>2029</v>
      </c>
      <c r="C1120" t="s">
        <v>2033</v>
      </c>
    </row>
    <row r="1121" spans="1:3" x14ac:dyDescent="0.25">
      <c r="A1121" t="s">
        <v>2034</v>
      </c>
      <c r="B1121" t="s">
        <v>2029</v>
      </c>
      <c r="C1121" t="s">
        <v>2035</v>
      </c>
    </row>
    <row r="1122" spans="1:3" x14ac:dyDescent="0.25">
      <c r="A1122" t="s">
        <v>2036</v>
      </c>
      <c r="B1122" t="s">
        <v>2029</v>
      </c>
      <c r="C1122" t="s">
        <v>2037</v>
      </c>
    </row>
    <row r="1123" spans="1:3" x14ac:dyDescent="0.25">
      <c r="A1123" t="s">
        <v>2038</v>
      </c>
      <c r="B1123" t="s">
        <v>2029</v>
      </c>
      <c r="C1123" t="s">
        <v>2039</v>
      </c>
    </row>
    <row r="1124" spans="1:3" x14ac:dyDescent="0.25">
      <c r="A1124" t="s">
        <v>2040</v>
      </c>
      <c r="B1124" t="s">
        <v>2029</v>
      </c>
      <c r="C1124" t="s">
        <v>2041</v>
      </c>
    </row>
    <row r="1125" spans="1:3" x14ac:dyDescent="0.25">
      <c r="A1125" t="s">
        <v>2042</v>
      </c>
      <c r="B1125" t="s">
        <v>2029</v>
      </c>
      <c r="C1125" t="s">
        <v>2043</v>
      </c>
    </row>
    <row r="1126" spans="1:3" x14ac:dyDescent="0.25">
      <c r="A1126" t="s">
        <v>2044</v>
      </c>
      <c r="B1126" t="s">
        <v>2029</v>
      </c>
      <c r="C1126" t="s">
        <v>2045</v>
      </c>
    </row>
    <row r="1127" spans="1:3" x14ac:dyDescent="0.25">
      <c r="A1127" t="s">
        <v>2046</v>
      </c>
      <c r="B1127" t="s">
        <v>2029</v>
      </c>
      <c r="C1127" t="s">
        <v>2047</v>
      </c>
    </row>
    <row r="1128" spans="1:3" x14ac:dyDescent="0.25">
      <c r="A1128" t="s">
        <v>1878</v>
      </c>
      <c r="B1128" t="s">
        <v>2029</v>
      </c>
      <c r="C1128" t="s">
        <v>2048</v>
      </c>
    </row>
    <row r="1129" spans="1:3" x14ac:dyDescent="0.25">
      <c r="A1129" t="s">
        <v>2049</v>
      </c>
      <c r="B1129" t="s">
        <v>2029</v>
      </c>
      <c r="C1129" t="s">
        <v>2050</v>
      </c>
    </row>
    <row r="1130" spans="1:3" x14ac:dyDescent="0.25">
      <c r="A1130" t="s">
        <v>2051</v>
      </c>
      <c r="B1130" t="s">
        <v>2029</v>
      </c>
      <c r="C1130" t="s">
        <v>2052</v>
      </c>
    </row>
    <row r="1131" spans="1:3" x14ac:dyDescent="0.25">
      <c r="A1131" t="s">
        <v>2053</v>
      </c>
      <c r="B1131" t="s">
        <v>2029</v>
      </c>
      <c r="C1131" t="s">
        <v>2054</v>
      </c>
    </row>
    <row r="1132" spans="1:3" x14ac:dyDescent="0.25">
      <c r="A1132" t="s">
        <v>2055</v>
      </c>
      <c r="B1132" t="s">
        <v>2029</v>
      </c>
      <c r="C1132" t="s">
        <v>2056</v>
      </c>
    </row>
    <row r="1133" spans="1:3" x14ac:dyDescent="0.25">
      <c r="A1133" t="s">
        <v>2057</v>
      </c>
      <c r="B1133" t="s">
        <v>2029</v>
      </c>
      <c r="C1133" t="s">
        <v>2058</v>
      </c>
    </row>
    <row r="1134" spans="1:3" x14ac:dyDescent="0.25">
      <c r="A1134" t="s">
        <v>2059</v>
      </c>
      <c r="B1134" t="s">
        <v>2029</v>
      </c>
      <c r="C1134" t="s">
        <v>2060</v>
      </c>
    </row>
    <row r="1135" spans="1:3" x14ac:dyDescent="0.25">
      <c r="A1135" t="s">
        <v>2061</v>
      </c>
      <c r="B1135" t="s">
        <v>2029</v>
      </c>
      <c r="C1135" t="s">
        <v>2062</v>
      </c>
    </row>
    <row r="1136" spans="1:3" x14ac:dyDescent="0.25">
      <c r="A1136" t="s">
        <v>2063</v>
      </c>
      <c r="B1136" t="s">
        <v>2029</v>
      </c>
      <c r="C1136" t="s">
        <v>2064</v>
      </c>
    </row>
    <row r="1137" spans="1:3" x14ac:dyDescent="0.25">
      <c r="A1137" t="s">
        <v>2065</v>
      </c>
      <c r="B1137" t="s">
        <v>2029</v>
      </c>
      <c r="C1137" t="s">
        <v>2066</v>
      </c>
    </row>
    <row r="1138" spans="1:3" x14ac:dyDescent="0.25">
      <c r="A1138" t="s">
        <v>191</v>
      </c>
      <c r="B1138" t="s">
        <v>2029</v>
      </c>
      <c r="C1138" t="s">
        <v>2067</v>
      </c>
    </row>
    <row r="1139" spans="1:3" x14ac:dyDescent="0.25">
      <c r="A1139" t="s">
        <v>407</v>
      </c>
      <c r="B1139" t="s">
        <v>2029</v>
      </c>
      <c r="C1139" t="s">
        <v>2068</v>
      </c>
    </row>
    <row r="1140" spans="1:3" x14ac:dyDescent="0.25">
      <c r="A1140" t="s">
        <v>2069</v>
      </c>
      <c r="B1140" t="s">
        <v>2029</v>
      </c>
      <c r="C1140" t="s">
        <v>2070</v>
      </c>
    </row>
    <row r="1141" spans="1:3" x14ac:dyDescent="0.25">
      <c r="A1141" t="s">
        <v>2071</v>
      </c>
      <c r="B1141" t="s">
        <v>2029</v>
      </c>
      <c r="C1141" t="s">
        <v>2072</v>
      </c>
    </row>
    <row r="1142" spans="1:3" x14ac:dyDescent="0.25">
      <c r="A1142" t="s">
        <v>203</v>
      </c>
      <c r="B1142" t="s">
        <v>2029</v>
      </c>
      <c r="C1142" t="s">
        <v>2073</v>
      </c>
    </row>
    <row r="1143" spans="1:3" x14ac:dyDescent="0.25">
      <c r="A1143" t="s">
        <v>205</v>
      </c>
      <c r="B1143" t="s">
        <v>2029</v>
      </c>
      <c r="C1143" t="s">
        <v>2074</v>
      </c>
    </row>
    <row r="1144" spans="1:3" x14ac:dyDescent="0.25">
      <c r="A1144" t="s">
        <v>2075</v>
      </c>
      <c r="B1144" t="s">
        <v>2029</v>
      </c>
      <c r="C1144" t="s">
        <v>2076</v>
      </c>
    </row>
    <row r="1145" spans="1:3" x14ac:dyDescent="0.25">
      <c r="A1145" t="s">
        <v>424</v>
      </c>
      <c r="B1145" t="s">
        <v>2029</v>
      </c>
      <c r="C1145" t="s">
        <v>2077</v>
      </c>
    </row>
    <row r="1146" spans="1:3" x14ac:dyDescent="0.25">
      <c r="A1146" t="s">
        <v>2078</v>
      </c>
      <c r="B1146" t="s">
        <v>2029</v>
      </c>
      <c r="C1146" t="s">
        <v>2079</v>
      </c>
    </row>
    <row r="1147" spans="1:3" x14ac:dyDescent="0.25">
      <c r="A1147" t="s">
        <v>2080</v>
      </c>
      <c r="B1147" t="s">
        <v>2029</v>
      </c>
      <c r="C1147" t="s">
        <v>2081</v>
      </c>
    </row>
    <row r="1148" spans="1:3" x14ac:dyDescent="0.25">
      <c r="A1148" t="s">
        <v>428</v>
      </c>
      <c r="B1148" t="s">
        <v>2029</v>
      </c>
      <c r="C1148" t="s">
        <v>2082</v>
      </c>
    </row>
    <row r="1149" spans="1:3" x14ac:dyDescent="0.25">
      <c r="A1149" t="s">
        <v>1318</v>
      </c>
      <c r="B1149" t="s">
        <v>2029</v>
      </c>
      <c r="C1149" t="s">
        <v>2083</v>
      </c>
    </row>
    <row r="1150" spans="1:3" x14ac:dyDescent="0.25">
      <c r="A1150" t="s">
        <v>221</v>
      </c>
      <c r="B1150" t="s">
        <v>2029</v>
      </c>
      <c r="C1150" t="s">
        <v>2084</v>
      </c>
    </row>
    <row r="1151" spans="1:3" x14ac:dyDescent="0.25">
      <c r="A1151" t="s">
        <v>2085</v>
      </c>
      <c r="B1151" t="s">
        <v>2029</v>
      </c>
      <c r="C1151" t="s">
        <v>2086</v>
      </c>
    </row>
    <row r="1152" spans="1:3" x14ac:dyDescent="0.25">
      <c r="A1152" t="s">
        <v>2087</v>
      </c>
      <c r="B1152" t="s">
        <v>2029</v>
      </c>
      <c r="C1152" t="s">
        <v>2088</v>
      </c>
    </row>
    <row r="1153" spans="1:3" x14ac:dyDescent="0.25">
      <c r="A1153" t="s">
        <v>2089</v>
      </c>
      <c r="B1153" t="s">
        <v>2029</v>
      </c>
      <c r="C1153" t="s">
        <v>2090</v>
      </c>
    </row>
    <row r="1154" spans="1:3" x14ac:dyDescent="0.25">
      <c r="A1154" t="s">
        <v>448</v>
      </c>
      <c r="B1154" t="s">
        <v>2029</v>
      </c>
      <c r="C1154" t="s">
        <v>2091</v>
      </c>
    </row>
    <row r="1155" spans="1:3" x14ac:dyDescent="0.25">
      <c r="A1155" t="s">
        <v>2092</v>
      </c>
      <c r="B1155" t="s">
        <v>2029</v>
      </c>
      <c r="C1155" t="s">
        <v>2093</v>
      </c>
    </row>
    <row r="1156" spans="1:3" x14ac:dyDescent="0.25">
      <c r="A1156" t="s">
        <v>2094</v>
      </c>
      <c r="B1156" t="s">
        <v>2029</v>
      </c>
      <c r="C1156" t="s">
        <v>2095</v>
      </c>
    </row>
    <row r="1157" spans="1:3" x14ac:dyDescent="0.25">
      <c r="A1157" t="s">
        <v>2096</v>
      </c>
      <c r="B1157" t="s">
        <v>2029</v>
      </c>
      <c r="C1157" t="s">
        <v>2097</v>
      </c>
    </row>
    <row r="1158" spans="1:3" x14ac:dyDescent="0.25">
      <c r="A1158" t="s">
        <v>2098</v>
      </c>
      <c r="B1158" t="s">
        <v>2029</v>
      </c>
      <c r="C1158" t="s">
        <v>2099</v>
      </c>
    </row>
    <row r="1159" spans="1:3" x14ac:dyDescent="0.25">
      <c r="A1159" t="s">
        <v>1358</v>
      </c>
      <c r="B1159" t="s">
        <v>2029</v>
      </c>
      <c r="C1159" t="s">
        <v>2100</v>
      </c>
    </row>
    <row r="1160" spans="1:3" x14ac:dyDescent="0.25">
      <c r="A1160" t="s">
        <v>2101</v>
      </c>
      <c r="B1160" t="s">
        <v>2029</v>
      </c>
      <c r="C1160" t="s">
        <v>2102</v>
      </c>
    </row>
    <row r="1161" spans="1:3" x14ac:dyDescent="0.25">
      <c r="A1161" t="s">
        <v>2103</v>
      </c>
      <c r="B1161" t="s">
        <v>2029</v>
      </c>
      <c r="C1161" t="s">
        <v>2104</v>
      </c>
    </row>
    <row r="1162" spans="1:3" x14ac:dyDescent="0.25">
      <c r="A1162" t="s">
        <v>2105</v>
      </c>
      <c r="B1162" t="s">
        <v>2029</v>
      </c>
      <c r="C1162" t="s">
        <v>2106</v>
      </c>
    </row>
    <row r="1163" spans="1:3" x14ac:dyDescent="0.25">
      <c r="A1163" t="s">
        <v>2107</v>
      </c>
      <c r="B1163" t="s">
        <v>2029</v>
      </c>
      <c r="C1163" t="s">
        <v>2108</v>
      </c>
    </row>
    <row r="1164" spans="1:3" x14ac:dyDescent="0.25">
      <c r="A1164" t="s">
        <v>2109</v>
      </c>
      <c r="B1164" t="s">
        <v>2029</v>
      </c>
      <c r="C1164" t="s">
        <v>2110</v>
      </c>
    </row>
    <row r="1165" spans="1:3" x14ac:dyDescent="0.25">
      <c r="A1165" t="s">
        <v>2111</v>
      </c>
      <c r="B1165" t="s">
        <v>2029</v>
      </c>
      <c r="C1165" t="s">
        <v>2112</v>
      </c>
    </row>
    <row r="1166" spans="1:3" x14ac:dyDescent="0.25">
      <c r="A1166" t="s">
        <v>2113</v>
      </c>
      <c r="B1166" t="s">
        <v>2029</v>
      </c>
      <c r="C1166" t="s">
        <v>2114</v>
      </c>
    </row>
    <row r="1167" spans="1:3" x14ac:dyDescent="0.25">
      <c r="A1167" t="s">
        <v>2115</v>
      </c>
      <c r="B1167" t="s">
        <v>2029</v>
      </c>
      <c r="C1167" t="s">
        <v>2116</v>
      </c>
    </row>
    <row r="1168" spans="1:3" x14ac:dyDescent="0.25">
      <c r="A1168" t="s">
        <v>2117</v>
      </c>
      <c r="B1168" t="s">
        <v>2029</v>
      </c>
      <c r="C1168" t="s">
        <v>2118</v>
      </c>
    </row>
    <row r="1169" spans="1:3" x14ac:dyDescent="0.25">
      <c r="A1169" t="s">
        <v>2119</v>
      </c>
      <c r="B1169" t="s">
        <v>2029</v>
      </c>
      <c r="C1169" t="s">
        <v>2120</v>
      </c>
    </row>
    <row r="1170" spans="1:3" x14ac:dyDescent="0.25">
      <c r="A1170" t="s">
        <v>2121</v>
      </c>
      <c r="B1170" t="s">
        <v>2029</v>
      </c>
      <c r="C1170" t="s">
        <v>2122</v>
      </c>
    </row>
    <row r="1171" spans="1:3" x14ac:dyDescent="0.25">
      <c r="A1171" t="s">
        <v>2123</v>
      </c>
      <c r="B1171" t="s">
        <v>2029</v>
      </c>
      <c r="C1171" t="s">
        <v>2124</v>
      </c>
    </row>
    <row r="1172" spans="1:3" x14ac:dyDescent="0.25">
      <c r="A1172" t="s">
        <v>2125</v>
      </c>
      <c r="B1172" t="s">
        <v>2029</v>
      </c>
      <c r="C1172" t="s">
        <v>2126</v>
      </c>
    </row>
    <row r="1173" spans="1:3" x14ac:dyDescent="0.25">
      <c r="A1173" t="s">
        <v>481</v>
      </c>
      <c r="B1173" t="s">
        <v>2029</v>
      </c>
      <c r="C1173" t="s">
        <v>2127</v>
      </c>
    </row>
    <row r="1174" spans="1:3" x14ac:dyDescent="0.25">
      <c r="A1174" t="s">
        <v>1377</v>
      </c>
      <c r="B1174" t="s">
        <v>2029</v>
      </c>
      <c r="C1174" t="s">
        <v>2128</v>
      </c>
    </row>
    <row r="1175" spans="1:3" x14ac:dyDescent="0.25">
      <c r="A1175" t="s">
        <v>2129</v>
      </c>
      <c r="B1175" t="s">
        <v>2029</v>
      </c>
      <c r="C1175" t="s">
        <v>2130</v>
      </c>
    </row>
    <row r="1176" spans="1:3" x14ac:dyDescent="0.25">
      <c r="A1176" t="s">
        <v>261</v>
      </c>
      <c r="B1176" t="s">
        <v>2029</v>
      </c>
      <c r="C1176" t="s">
        <v>2131</v>
      </c>
    </row>
    <row r="1177" spans="1:3" x14ac:dyDescent="0.25">
      <c r="A1177" t="s">
        <v>1132</v>
      </c>
      <c r="B1177" t="s">
        <v>2029</v>
      </c>
      <c r="C1177" t="s">
        <v>2132</v>
      </c>
    </row>
    <row r="1178" spans="1:3" x14ac:dyDescent="0.25">
      <c r="A1178" t="s">
        <v>2133</v>
      </c>
      <c r="B1178" t="s">
        <v>2029</v>
      </c>
      <c r="C1178" t="s">
        <v>2134</v>
      </c>
    </row>
    <row r="1179" spans="1:3" x14ac:dyDescent="0.25">
      <c r="A1179" t="s">
        <v>2135</v>
      </c>
      <c r="B1179" t="s">
        <v>2029</v>
      </c>
      <c r="C1179" t="s">
        <v>2136</v>
      </c>
    </row>
    <row r="1180" spans="1:3" x14ac:dyDescent="0.25">
      <c r="A1180" t="s">
        <v>2137</v>
      </c>
      <c r="B1180" t="s">
        <v>2029</v>
      </c>
      <c r="C1180" t="s">
        <v>2138</v>
      </c>
    </row>
    <row r="1181" spans="1:3" x14ac:dyDescent="0.25">
      <c r="A1181" t="s">
        <v>2139</v>
      </c>
      <c r="B1181" t="s">
        <v>2029</v>
      </c>
      <c r="C1181" t="s">
        <v>2140</v>
      </c>
    </row>
    <row r="1182" spans="1:3" x14ac:dyDescent="0.25">
      <c r="A1182" t="s">
        <v>2142</v>
      </c>
      <c r="B1182" t="s">
        <v>2143</v>
      </c>
      <c r="C1182" t="s">
        <v>2144</v>
      </c>
    </row>
    <row r="1183" spans="1:3" x14ac:dyDescent="0.25">
      <c r="A1183" t="s">
        <v>2145</v>
      </c>
      <c r="B1183" t="s">
        <v>2143</v>
      </c>
      <c r="C1183" t="s">
        <v>2146</v>
      </c>
    </row>
    <row r="1184" spans="1:3" x14ac:dyDescent="0.25">
      <c r="A1184" t="s">
        <v>1265</v>
      </c>
      <c r="B1184" t="s">
        <v>2143</v>
      </c>
      <c r="C1184" t="s">
        <v>2147</v>
      </c>
    </row>
    <row r="1185" spans="1:3" x14ac:dyDescent="0.25">
      <c r="A1185" t="s">
        <v>191</v>
      </c>
      <c r="B1185" t="s">
        <v>2143</v>
      </c>
      <c r="C1185" t="s">
        <v>2148</v>
      </c>
    </row>
    <row r="1186" spans="1:3" x14ac:dyDescent="0.25">
      <c r="A1186" t="s">
        <v>999</v>
      </c>
      <c r="B1186" t="s">
        <v>2143</v>
      </c>
      <c r="C1186" t="s">
        <v>2149</v>
      </c>
    </row>
    <row r="1187" spans="1:3" x14ac:dyDescent="0.25">
      <c r="A1187" t="s">
        <v>2150</v>
      </c>
      <c r="B1187" t="s">
        <v>2143</v>
      </c>
      <c r="C1187" t="s">
        <v>2151</v>
      </c>
    </row>
    <row r="1188" spans="1:3" x14ac:dyDescent="0.25">
      <c r="A1188" t="s">
        <v>1311</v>
      </c>
      <c r="B1188" t="s">
        <v>2143</v>
      </c>
      <c r="C1188" t="s">
        <v>2152</v>
      </c>
    </row>
    <row r="1189" spans="1:3" x14ac:dyDescent="0.25">
      <c r="A1189" t="s">
        <v>428</v>
      </c>
      <c r="B1189" t="s">
        <v>2143</v>
      </c>
      <c r="C1189" t="s">
        <v>2153</v>
      </c>
    </row>
    <row r="1190" spans="1:3" x14ac:dyDescent="0.25">
      <c r="A1190" t="s">
        <v>2154</v>
      </c>
      <c r="B1190" t="s">
        <v>2143</v>
      </c>
      <c r="C1190" t="s">
        <v>2155</v>
      </c>
    </row>
    <row r="1191" spans="1:3" x14ac:dyDescent="0.25">
      <c r="A1191" t="s">
        <v>2156</v>
      </c>
      <c r="B1191" t="s">
        <v>2143</v>
      </c>
      <c r="C1191" t="s">
        <v>2157</v>
      </c>
    </row>
    <row r="1192" spans="1:3" x14ac:dyDescent="0.25">
      <c r="A1192" t="s">
        <v>2158</v>
      </c>
      <c r="B1192" t="s">
        <v>2143</v>
      </c>
      <c r="C1192" t="s">
        <v>2159</v>
      </c>
    </row>
    <row r="1193" spans="1:3" x14ac:dyDescent="0.25">
      <c r="A1193" t="s">
        <v>2160</v>
      </c>
      <c r="B1193" t="s">
        <v>2143</v>
      </c>
      <c r="C1193" t="s">
        <v>2161</v>
      </c>
    </row>
    <row r="1194" spans="1:3" x14ac:dyDescent="0.25">
      <c r="A1194" t="s">
        <v>2162</v>
      </c>
      <c r="B1194" t="s">
        <v>2143</v>
      </c>
      <c r="C1194" t="s">
        <v>2163</v>
      </c>
    </row>
    <row r="1195" spans="1:3" x14ac:dyDescent="0.25">
      <c r="A1195" t="s">
        <v>2164</v>
      </c>
      <c r="B1195" t="s">
        <v>2143</v>
      </c>
      <c r="C1195" t="s">
        <v>2165</v>
      </c>
    </row>
    <row r="1196" spans="1:3" x14ac:dyDescent="0.25">
      <c r="A1196" t="s">
        <v>261</v>
      </c>
      <c r="B1196" t="s">
        <v>2143</v>
      </c>
      <c r="C1196" t="s">
        <v>2166</v>
      </c>
    </row>
    <row r="1197" spans="1:3" x14ac:dyDescent="0.25">
      <c r="A1197" t="s">
        <v>2167</v>
      </c>
      <c r="B1197" t="s">
        <v>2143</v>
      </c>
      <c r="C1197" t="s">
        <v>2168</v>
      </c>
    </row>
    <row r="1198" spans="1:3" x14ac:dyDescent="0.25">
      <c r="A1198" t="s">
        <v>2170</v>
      </c>
      <c r="B1198" t="s">
        <v>2171</v>
      </c>
      <c r="C1198" t="s">
        <v>2172</v>
      </c>
    </row>
    <row r="1199" spans="1:3" x14ac:dyDescent="0.25">
      <c r="A1199" t="s">
        <v>2173</v>
      </c>
      <c r="B1199" t="s">
        <v>2171</v>
      </c>
      <c r="C1199" t="s">
        <v>2174</v>
      </c>
    </row>
    <row r="1200" spans="1:3" x14ac:dyDescent="0.25">
      <c r="A1200" t="s">
        <v>2175</v>
      </c>
      <c r="B1200" t="s">
        <v>2171</v>
      </c>
      <c r="C1200" t="s">
        <v>2176</v>
      </c>
    </row>
    <row r="1201" spans="1:3" x14ac:dyDescent="0.25">
      <c r="A1201" t="s">
        <v>2177</v>
      </c>
      <c r="B1201" t="s">
        <v>2171</v>
      </c>
      <c r="C1201" t="s">
        <v>2178</v>
      </c>
    </row>
    <row r="1202" spans="1:3" x14ac:dyDescent="0.25">
      <c r="A1202" t="s">
        <v>2179</v>
      </c>
      <c r="B1202" t="s">
        <v>2171</v>
      </c>
      <c r="C1202" t="s">
        <v>2180</v>
      </c>
    </row>
    <row r="1203" spans="1:3" x14ac:dyDescent="0.25">
      <c r="A1203" t="s">
        <v>373</v>
      </c>
      <c r="B1203" t="s">
        <v>2171</v>
      </c>
      <c r="C1203" t="s">
        <v>2181</v>
      </c>
    </row>
    <row r="1204" spans="1:3" x14ac:dyDescent="0.25">
      <c r="A1204" t="s">
        <v>2182</v>
      </c>
      <c r="B1204" t="s">
        <v>2171</v>
      </c>
      <c r="C1204" t="s">
        <v>2183</v>
      </c>
    </row>
    <row r="1205" spans="1:3" x14ac:dyDescent="0.25">
      <c r="A1205" t="s">
        <v>2184</v>
      </c>
      <c r="B1205" t="s">
        <v>2171</v>
      </c>
      <c r="C1205" t="s">
        <v>2185</v>
      </c>
    </row>
    <row r="1206" spans="1:3" x14ac:dyDescent="0.25">
      <c r="A1206" t="s">
        <v>2186</v>
      </c>
      <c r="B1206" t="s">
        <v>2171</v>
      </c>
      <c r="C1206" t="s">
        <v>2187</v>
      </c>
    </row>
    <row r="1207" spans="1:3" x14ac:dyDescent="0.25">
      <c r="A1207" t="s">
        <v>2188</v>
      </c>
      <c r="B1207" t="s">
        <v>2171</v>
      </c>
      <c r="C1207" t="s">
        <v>2189</v>
      </c>
    </row>
    <row r="1208" spans="1:3" x14ac:dyDescent="0.25">
      <c r="A1208" t="s">
        <v>2190</v>
      </c>
      <c r="B1208" t="s">
        <v>2171</v>
      </c>
      <c r="C1208" t="s">
        <v>2191</v>
      </c>
    </row>
    <row r="1209" spans="1:3" x14ac:dyDescent="0.25">
      <c r="A1209" t="s">
        <v>2192</v>
      </c>
      <c r="B1209" t="s">
        <v>2171</v>
      </c>
      <c r="C1209" t="s">
        <v>2193</v>
      </c>
    </row>
    <row r="1210" spans="1:3" x14ac:dyDescent="0.25">
      <c r="A1210" t="s">
        <v>414</v>
      </c>
      <c r="B1210" t="s">
        <v>2171</v>
      </c>
      <c r="C1210" t="s">
        <v>2194</v>
      </c>
    </row>
    <row r="1211" spans="1:3" x14ac:dyDescent="0.25">
      <c r="A1211" t="s">
        <v>748</v>
      </c>
      <c r="B1211" t="s">
        <v>2171</v>
      </c>
      <c r="C1211" t="s">
        <v>2195</v>
      </c>
    </row>
    <row r="1212" spans="1:3" x14ac:dyDescent="0.25">
      <c r="A1212" t="s">
        <v>233</v>
      </c>
      <c r="B1212" t="s">
        <v>2171</v>
      </c>
      <c r="C1212" t="s">
        <v>2196</v>
      </c>
    </row>
    <row r="1213" spans="1:3" x14ac:dyDescent="0.25">
      <c r="A1213" t="s">
        <v>2197</v>
      </c>
      <c r="B1213" t="s">
        <v>2171</v>
      </c>
      <c r="C1213" t="s">
        <v>2198</v>
      </c>
    </row>
    <row r="1214" spans="1:3" x14ac:dyDescent="0.25">
      <c r="A1214" t="s">
        <v>2199</v>
      </c>
      <c r="B1214" t="s">
        <v>2171</v>
      </c>
      <c r="C1214" t="s">
        <v>2200</v>
      </c>
    </row>
    <row r="1215" spans="1:3" x14ac:dyDescent="0.25">
      <c r="A1215" t="s">
        <v>2201</v>
      </c>
      <c r="B1215" t="s">
        <v>2171</v>
      </c>
      <c r="C1215" t="s">
        <v>2202</v>
      </c>
    </row>
    <row r="1216" spans="1:3" x14ac:dyDescent="0.25">
      <c r="A1216" t="s">
        <v>2162</v>
      </c>
      <c r="B1216" t="s">
        <v>2171</v>
      </c>
      <c r="C1216" t="s">
        <v>2203</v>
      </c>
    </row>
    <row r="1217" spans="1:3" x14ac:dyDescent="0.25">
      <c r="A1217" t="s">
        <v>1093</v>
      </c>
      <c r="B1217" t="s">
        <v>2171</v>
      </c>
      <c r="C1217" t="s">
        <v>2204</v>
      </c>
    </row>
    <row r="1218" spans="1:3" x14ac:dyDescent="0.25">
      <c r="A1218" t="s">
        <v>261</v>
      </c>
      <c r="B1218" t="s">
        <v>2171</v>
      </c>
      <c r="C1218" t="s">
        <v>2205</v>
      </c>
    </row>
    <row r="1219" spans="1:3" x14ac:dyDescent="0.25">
      <c r="A1219" t="s">
        <v>2206</v>
      </c>
      <c r="B1219" t="s">
        <v>2171</v>
      </c>
      <c r="C1219" t="s">
        <v>2207</v>
      </c>
    </row>
    <row r="1220" spans="1:3" x14ac:dyDescent="0.25">
      <c r="A1220" t="s">
        <v>2208</v>
      </c>
      <c r="B1220" t="s">
        <v>2171</v>
      </c>
      <c r="C1220" t="s">
        <v>2209</v>
      </c>
    </row>
    <row r="1221" spans="1:3" x14ac:dyDescent="0.25">
      <c r="A1221" t="s">
        <v>2210</v>
      </c>
      <c r="B1221" t="s">
        <v>2171</v>
      </c>
      <c r="C1221" t="s">
        <v>2211</v>
      </c>
    </row>
    <row r="1222" spans="1:3" x14ac:dyDescent="0.25">
      <c r="A1222" t="s">
        <v>2213</v>
      </c>
      <c r="B1222" t="s">
        <v>2214</v>
      </c>
      <c r="C1222" t="s">
        <v>2215</v>
      </c>
    </row>
    <row r="1223" spans="1:3" x14ac:dyDescent="0.25">
      <c r="A1223" t="s">
        <v>2216</v>
      </c>
      <c r="B1223" t="s">
        <v>2214</v>
      </c>
      <c r="C1223" t="s">
        <v>2217</v>
      </c>
    </row>
    <row r="1224" spans="1:3" x14ac:dyDescent="0.25">
      <c r="A1224" t="s">
        <v>2218</v>
      </c>
      <c r="B1224" t="s">
        <v>2214</v>
      </c>
      <c r="C1224" t="s">
        <v>2219</v>
      </c>
    </row>
    <row r="1225" spans="1:3" x14ac:dyDescent="0.25">
      <c r="A1225" t="s">
        <v>2220</v>
      </c>
      <c r="B1225" t="s">
        <v>2214</v>
      </c>
      <c r="C1225" t="s">
        <v>2221</v>
      </c>
    </row>
    <row r="1226" spans="1:3" x14ac:dyDescent="0.25">
      <c r="A1226" t="s">
        <v>2222</v>
      </c>
      <c r="B1226" t="s">
        <v>2214</v>
      </c>
      <c r="C1226" t="s">
        <v>2223</v>
      </c>
    </row>
    <row r="1227" spans="1:3" x14ac:dyDescent="0.25">
      <c r="A1227" t="s">
        <v>191</v>
      </c>
      <c r="B1227" t="s">
        <v>2214</v>
      </c>
      <c r="C1227" t="s">
        <v>2224</v>
      </c>
    </row>
    <row r="1228" spans="1:3" x14ac:dyDescent="0.25">
      <c r="A1228" t="s">
        <v>2225</v>
      </c>
      <c r="B1228" t="s">
        <v>2214</v>
      </c>
      <c r="C1228" t="s">
        <v>2226</v>
      </c>
    </row>
    <row r="1229" spans="1:3" x14ac:dyDescent="0.25">
      <c r="A1229" t="s">
        <v>2227</v>
      </c>
      <c r="B1229" t="s">
        <v>2214</v>
      </c>
      <c r="C1229" t="s">
        <v>2228</v>
      </c>
    </row>
    <row r="1230" spans="1:3" x14ac:dyDescent="0.25">
      <c r="A1230" t="s">
        <v>737</v>
      </c>
      <c r="B1230" t="s">
        <v>2214</v>
      </c>
      <c r="C1230" t="s">
        <v>2229</v>
      </c>
    </row>
    <row r="1231" spans="1:3" x14ac:dyDescent="0.25">
      <c r="A1231" t="s">
        <v>2230</v>
      </c>
      <c r="B1231" t="s">
        <v>2214</v>
      </c>
      <c r="C1231" t="s">
        <v>2231</v>
      </c>
    </row>
    <row r="1232" spans="1:3" x14ac:dyDescent="0.25">
      <c r="A1232" t="s">
        <v>2232</v>
      </c>
      <c r="B1232" t="s">
        <v>2214</v>
      </c>
      <c r="C1232" t="s">
        <v>2233</v>
      </c>
    </row>
    <row r="1233" spans="1:3" x14ac:dyDescent="0.25">
      <c r="A1233" t="s">
        <v>1638</v>
      </c>
      <c r="B1233" t="s">
        <v>2214</v>
      </c>
      <c r="C1233" t="s">
        <v>2234</v>
      </c>
    </row>
    <row r="1234" spans="1:3" x14ac:dyDescent="0.25">
      <c r="A1234" t="s">
        <v>2235</v>
      </c>
      <c r="B1234" t="s">
        <v>2214</v>
      </c>
      <c r="C1234" t="s">
        <v>2236</v>
      </c>
    </row>
    <row r="1235" spans="1:3" x14ac:dyDescent="0.25">
      <c r="A1235" t="s">
        <v>2208</v>
      </c>
      <c r="B1235" t="s">
        <v>2214</v>
      </c>
      <c r="C1235" t="s">
        <v>2237</v>
      </c>
    </row>
    <row r="1236" spans="1:3" x14ac:dyDescent="0.25">
      <c r="A1236" t="s">
        <v>2239</v>
      </c>
      <c r="B1236" t="s">
        <v>2240</v>
      </c>
      <c r="C1236" t="s">
        <v>2241</v>
      </c>
    </row>
    <row r="1237" spans="1:3" x14ac:dyDescent="0.25">
      <c r="A1237" t="s">
        <v>2242</v>
      </c>
      <c r="B1237" t="s">
        <v>2240</v>
      </c>
      <c r="C1237" t="s">
        <v>2243</v>
      </c>
    </row>
    <row r="1238" spans="1:3" x14ac:dyDescent="0.25">
      <c r="A1238" t="s">
        <v>2244</v>
      </c>
      <c r="B1238" t="s">
        <v>2240</v>
      </c>
      <c r="C1238" t="s">
        <v>2245</v>
      </c>
    </row>
    <row r="1239" spans="1:3" x14ac:dyDescent="0.25">
      <c r="A1239" t="s">
        <v>2246</v>
      </c>
      <c r="B1239" t="s">
        <v>2240</v>
      </c>
      <c r="C1239" t="s">
        <v>2247</v>
      </c>
    </row>
    <row r="1240" spans="1:3" x14ac:dyDescent="0.25">
      <c r="A1240" t="s">
        <v>2248</v>
      </c>
      <c r="B1240" t="s">
        <v>2240</v>
      </c>
      <c r="C1240" t="s">
        <v>2249</v>
      </c>
    </row>
    <row r="1241" spans="1:3" x14ac:dyDescent="0.25">
      <c r="A1241" t="s">
        <v>2250</v>
      </c>
      <c r="B1241" t="s">
        <v>2240</v>
      </c>
      <c r="C1241" t="s">
        <v>2251</v>
      </c>
    </row>
    <row r="1242" spans="1:3" x14ac:dyDescent="0.25">
      <c r="A1242" t="s">
        <v>2252</v>
      </c>
      <c r="B1242" t="s">
        <v>2240</v>
      </c>
      <c r="C1242" t="s">
        <v>2253</v>
      </c>
    </row>
    <row r="1243" spans="1:3" x14ac:dyDescent="0.25">
      <c r="A1243" t="s">
        <v>2254</v>
      </c>
      <c r="B1243" t="s">
        <v>2240</v>
      </c>
      <c r="C1243" t="s">
        <v>2255</v>
      </c>
    </row>
    <row r="1244" spans="1:3" x14ac:dyDescent="0.25">
      <c r="A1244" t="s">
        <v>764</v>
      </c>
      <c r="B1244" t="s">
        <v>2240</v>
      </c>
      <c r="C1244" t="s">
        <v>2256</v>
      </c>
    </row>
    <row r="1245" spans="1:3" x14ac:dyDescent="0.25">
      <c r="A1245" t="s">
        <v>2257</v>
      </c>
      <c r="B1245" t="s">
        <v>2240</v>
      </c>
      <c r="C1245" t="s">
        <v>2258</v>
      </c>
    </row>
    <row r="1246" spans="1:3" x14ac:dyDescent="0.25">
      <c r="A1246" t="s">
        <v>895</v>
      </c>
      <c r="B1246" t="s">
        <v>2240</v>
      </c>
      <c r="C1246" t="s">
        <v>2259</v>
      </c>
    </row>
    <row r="1247" spans="1:3" x14ac:dyDescent="0.25">
      <c r="A1247" t="s">
        <v>2260</v>
      </c>
      <c r="B1247" t="s">
        <v>2240</v>
      </c>
      <c r="C1247" t="s">
        <v>2261</v>
      </c>
    </row>
    <row r="1248" spans="1:3" x14ac:dyDescent="0.25">
      <c r="A1248" t="s">
        <v>147</v>
      </c>
      <c r="B1248" t="s">
        <v>2240</v>
      </c>
      <c r="C1248" t="s">
        <v>2262</v>
      </c>
    </row>
    <row r="1249" spans="1:3" x14ac:dyDescent="0.25">
      <c r="A1249" t="s">
        <v>1251</v>
      </c>
      <c r="B1249" t="s">
        <v>2240</v>
      </c>
      <c r="C1249" t="s">
        <v>2263</v>
      </c>
    </row>
    <row r="1250" spans="1:3" x14ac:dyDescent="0.25">
      <c r="A1250" t="s">
        <v>2264</v>
      </c>
      <c r="B1250" t="s">
        <v>2240</v>
      </c>
      <c r="C1250" t="s">
        <v>2265</v>
      </c>
    </row>
    <row r="1251" spans="1:3" x14ac:dyDescent="0.25">
      <c r="A1251" t="s">
        <v>2266</v>
      </c>
      <c r="B1251" t="s">
        <v>2240</v>
      </c>
      <c r="C1251" t="s">
        <v>2267</v>
      </c>
    </row>
    <row r="1252" spans="1:3" x14ac:dyDescent="0.25">
      <c r="A1252" t="s">
        <v>2268</v>
      </c>
      <c r="B1252" t="s">
        <v>2240</v>
      </c>
      <c r="C1252" t="s">
        <v>2269</v>
      </c>
    </row>
    <row r="1253" spans="1:3" x14ac:dyDescent="0.25">
      <c r="A1253" t="s">
        <v>2270</v>
      </c>
      <c r="B1253" t="s">
        <v>2240</v>
      </c>
      <c r="C1253" t="s">
        <v>2271</v>
      </c>
    </row>
    <row r="1254" spans="1:3" x14ac:dyDescent="0.25">
      <c r="A1254" t="s">
        <v>1259</v>
      </c>
      <c r="B1254" t="s">
        <v>2240</v>
      </c>
      <c r="C1254" t="s">
        <v>2272</v>
      </c>
    </row>
    <row r="1255" spans="1:3" x14ac:dyDescent="0.25">
      <c r="A1255" t="s">
        <v>389</v>
      </c>
      <c r="B1255" t="s">
        <v>2240</v>
      </c>
      <c r="C1255" t="s">
        <v>2273</v>
      </c>
    </row>
    <row r="1256" spans="1:3" x14ac:dyDescent="0.25">
      <c r="A1256" t="s">
        <v>640</v>
      </c>
      <c r="B1256" t="s">
        <v>2240</v>
      </c>
      <c r="C1256" t="s">
        <v>2274</v>
      </c>
    </row>
    <row r="1257" spans="1:3" x14ac:dyDescent="0.25">
      <c r="A1257" t="s">
        <v>1574</v>
      </c>
      <c r="B1257" t="s">
        <v>2240</v>
      </c>
      <c r="C1257" t="s">
        <v>2275</v>
      </c>
    </row>
    <row r="1258" spans="1:3" x14ac:dyDescent="0.25">
      <c r="A1258" t="s">
        <v>2276</v>
      </c>
      <c r="B1258" t="s">
        <v>2240</v>
      </c>
      <c r="C1258" t="s">
        <v>2277</v>
      </c>
    </row>
    <row r="1259" spans="1:3" x14ac:dyDescent="0.25">
      <c r="A1259" t="s">
        <v>1578</v>
      </c>
      <c r="B1259" t="s">
        <v>2240</v>
      </c>
      <c r="C1259" t="s">
        <v>2278</v>
      </c>
    </row>
    <row r="1260" spans="1:3" x14ac:dyDescent="0.25">
      <c r="A1260" t="s">
        <v>2279</v>
      </c>
      <c r="B1260" t="s">
        <v>2240</v>
      </c>
      <c r="C1260" t="s">
        <v>2280</v>
      </c>
    </row>
    <row r="1261" spans="1:3" x14ac:dyDescent="0.25">
      <c r="A1261" t="s">
        <v>2281</v>
      </c>
      <c r="B1261" t="s">
        <v>2240</v>
      </c>
      <c r="C1261" t="s">
        <v>2282</v>
      </c>
    </row>
    <row r="1262" spans="1:3" x14ac:dyDescent="0.25">
      <c r="A1262" t="s">
        <v>2283</v>
      </c>
      <c r="B1262" t="s">
        <v>2240</v>
      </c>
      <c r="C1262" t="s">
        <v>2284</v>
      </c>
    </row>
    <row r="1263" spans="1:3" x14ac:dyDescent="0.25">
      <c r="A1263" t="s">
        <v>2285</v>
      </c>
      <c r="B1263" t="s">
        <v>2240</v>
      </c>
      <c r="C1263" t="s">
        <v>2286</v>
      </c>
    </row>
    <row r="1264" spans="1:3" x14ac:dyDescent="0.25">
      <c r="A1264" t="s">
        <v>2287</v>
      </c>
      <c r="B1264" t="s">
        <v>2240</v>
      </c>
      <c r="C1264" t="s">
        <v>2288</v>
      </c>
    </row>
    <row r="1265" spans="1:3" x14ac:dyDescent="0.25">
      <c r="A1265" t="s">
        <v>2289</v>
      </c>
      <c r="B1265" t="s">
        <v>2240</v>
      </c>
      <c r="C1265" t="s">
        <v>2290</v>
      </c>
    </row>
    <row r="1266" spans="1:3" x14ac:dyDescent="0.25">
      <c r="A1266" t="s">
        <v>2291</v>
      </c>
      <c r="B1266" t="s">
        <v>2240</v>
      </c>
      <c r="C1266" t="s">
        <v>2292</v>
      </c>
    </row>
    <row r="1267" spans="1:3" x14ac:dyDescent="0.25">
      <c r="A1267" t="s">
        <v>2293</v>
      </c>
      <c r="B1267" t="s">
        <v>2240</v>
      </c>
      <c r="C1267" t="s">
        <v>2294</v>
      </c>
    </row>
    <row r="1268" spans="1:3" x14ac:dyDescent="0.25">
      <c r="A1268" t="s">
        <v>2295</v>
      </c>
      <c r="B1268" t="s">
        <v>2240</v>
      </c>
      <c r="C1268" t="s">
        <v>2296</v>
      </c>
    </row>
    <row r="1269" spans="1:3" x14ac:dyDescent="0.25">
      <c r="A1269" t="s">
        <v>2297</v>
      </c>
      <c r="B1269" t="s">
        <v>2240</v>
      </c>
      <c r="C1269" t="s">
        <v>2298</v>
      </c>
    </row>
    <row r="1270" spans="1:3" x14ac:dyDescent="0.25">
      <c r="A1270" t="s">
        <v>2299</v>
      </c>
      <c r="B1270" t="s">
        <v>2240</v>
      </c>
      <c r="C1270" t="s">
        <v>2300</v>
      </c>
    </row>
    <row r="1271" spans="1:3" x14ac:dyDescent="0.25">
      <c r="A1271" t="s">
        <v>2301</v>
      </c>
      <c r="B1271" t="s">
        <v>2240</v>
      </c>
      <c r="C1271" t="s">
        <v>2302</v>
      </c>
    </row>
    <row r="1272" spans="1:3" x14ac:dyDescent="0.25">
      <c r="A1272" t="s">
        <v>2303</v>
      </c>
      <c r="B1272" t="s">
        <v>2240</v>
      </c>
      <c r="C1272" t="s">
        <v>2304</v>
      </c>
    </row>
    <row r="1273" spans="1:3" x14ac:dyDescent="0.25">
      <c r="A1273" t="s">
        <v>203</v>
      </c>
      <c r="B1273" t="s">
        <v>2240</v>
      </c>
      <c r="C1273" t="s">
        <v>2305</v>
      </c>
    </row>
    <row r="1274" spans="1:3" x14ac:dyDescent="0.25">
      <c r="A1274" t="s">
        <v>2306</v>
      </c>
      <c r="B1274" t="s">
        <v>2240</v>
      </c>
      <c r="C1274" t="s">
        <v>2307</v>
      </c>
    </row>
    <row r="1275" spans="1:3" x14ac:dyDescent="0.25">
      <c r="A1275" t="s">
        <v>2308</v>
      </c>
      <c r="B1275" t="s">
        <v>2240</v>
      </c>
      <c r="C1275" t="s">
        <v>2309</v>
      </c>
    </row>
    <row r="1276" spans="1:3" x14ac:dyDescent="0.25">
      <c r="A1276" t="s">
        <v>748</v>
      </c>
      <c r="B1276" t="s">
        <v>2240</v>
      </c>
      <c r="C1276" t="s">
        <v>2310</v>
      </c>
    </row>
    <row r="1277" spans="1:3" x14ac:dyDescent="0.25">
      <c r="A1277" t="s">
        <v>2311</v>
      </c>
      <c r="B1277" t="s">
        <v>2240</v>
      </c>
      <c r="C1277" t="s">
        <v>2312</v>
      </c>
    </row>
    <row r="1278" spans="1:3" x14ac:dyDescent="0.25">
      <c r="A1278" t="s">
        <v>526</v>
      </c>
      <c r="B1278" t="s">
        <v>2240</v>
      </c>
      <c r="C1278" t="s">
        <v>2313</v>
      </c>
    </row>
    <row r="1279" spans="1:3" x14ac:dyDescent="0.25">
      <c r="A1279" t="s">
        <v>2314</v>
      </c>
      <c r="B1279" t="s">
        <v>2240</v>
      </c>
      <c r="C1279" t="s">
        <v>2315</v>
      </c>
    </row>
    <row r="1280" spans="1:3" x14ac:dyDescent="0.25">
      <c r="A1280" t="s">
        <v>2316</v>
      </c>
      <c r="B1280" t="s">
        <v>2240</v>
      </c>
      <c r="C1280" t="s">
        <v>2317</v>
      </c>
    </row>
    <row r="1281" spans="1:3" x14ac:dyDescent="0.25">
      <c r="A1281" t="s">
        <v>2318</v>
      </c>
      <c r="B1281" t="s">
        <v>2240</v>
      </c>
      <c r="C1281" t="s">
        <v>2319</v>
      </c>
    </row>
    <row r="1282" spans="1:3" x14ac:dyDescent="0.25">
      <c r="A1282" t="s">
        <v>1318</v>
      </c>
      <c r="B1282" t="s">
        <v>2240</v>
      </c>
      <c r="C1282" t="s">
        <v>2320</v>
      </c>
    </row>
    <row r="1283" spans="1:3" x14ac:dyDescent="0.25">
      <c r="A1283" t="s">
        <v>2321</v>
      </c>
      <c r="B1283" t="s">
        <v>2240</v>
      </c>
      <c r="C1283" t="s">
        <v>2322</v>
      </c>
    </row>
    <row r="1284" spans="1:3" x14ac:dyDescent="0.25">
      <c r="A1284" t="s">
        <v>2323</v>
      </c>
      <c r="B1284" t="s">
        <v>2240</v>
      </c>
      <c r="C1284" t="s">
        <v>2324</v>
      </c>
    </row>
    <row r="1285" spans="1:3" x14ac:dyDescent="0.25">
      <c r="A1285" t="s">
        <v>2325</v>
      </c>
      <c r="B1285" t="s">
        <v>2240</v>
      </c>
      <c r="C1285" t="s">
        <v>2326</v>
      </c>
    </row>
    <row r="1286" spans="1:3" x14ac:dyDescent="0.25">
      <c r="A1286" t="s">
        <v>2327</v>
      </c>
      <c r="B1286" t="s">
        <v>2240</v>
      </c>
      <c r="C1286" t="s">
        <v>2328</v>
      </c>
    </row>
    <row r="1287" spans="1:3" x14ac:dyDescent="0.25">
      <c r="A1287" t="s">
        <v>2329</v>
      </c>
      <c r="B1287" t="s">
        <v>2240</v>
      </c>
      <c r="C1287" t="s">
        <v>2330</v>
      </c>
    </row>
    <row r="1288" spans="1:3" x14ac:dyDescent="0.25">
      <c r="A1288" t="s">
        <v>1333</v>
      </c>
      <c r="B1288" t="s">
        <v>2240</v>
      </c>
      <c r="C1288" t="s">
        <v>2331</v>
      </c>
    </row>
    <row r="1289" spans="1:3" x14ac:dyDescent="0.25">
      <c r="A1289" t="s">
        <v>2332</v>
      </c>
      <c r="B1289" t="s">
        <v>2240</v>
      </c>
      <c r="C1289" t="s">
        <v>2333</v>
      </c>
    </row>
    <row r="1290" spans="1:3" x14ac:dyDescent="0.25">
      <c r="A1290" t="s">
        <v>2334</v>
      </c>
      <c r="B1290" t="s">
        <v>2240</v>
      </c>
      <c r="C1290" t="s">
        <v>2335</v>
      </c>
    </row>
    <row r="1291" spans="1:3" x14ac:dyDescent="0.25">
      <c r="A1291" t="s">
        <v>2336</v>
      </c>
      <c r="B1291" t="s">
        <v>2240</v>
      </c>
      <c r="C1291" t="s">
        <v>2337</v>
      </c>
    </row>
    <row r="1292" spans="1:3" x14ac:dyDescent="0.25">
      <c r="A1292" t="s">
        <v>2338</v>
      </c>
      <c r="B1292" t="s">
        <v>2240</v>
      </c>
      <c r="C1292" t="s">
        <v>2339</v>
      </c>
    </row>
    <row r="1293" spans="1:3" x14ac:dyDescent="0.25">
      <c r="A1293" t="s">
        <v>231</v>
      </c>
      <c r="B1293" t="s">
        <v>2240</v>
      </c>
      <c r="C1293" t="s">
        <v>2340</v>
      </c>
    </row>
    <row r="1294" spans="1:3" x14ac:dyDescent="0.25">
      <c r="A1294" t="s">
        <v>2341</v>
      </c>
      <c r="B1294" t="s">
        <v>2240</v>
      </c>
      <c r="C1294" t="s">
        <v>2342</v>
      </c>
    </row>
    <row r="1295" spans="1:3" x14ac:dyDescent="0.25">
      <c r="A1295" t="s">
        <v>2343</v>
      </c>
      <c r="B1295" t="s">
        <v>2240</v>
      </c>
      <c r="C1295" t="s">
        <v>2344</v>
      </c>
    </row>
    <row r="1296" spans="1:3" x14ac:dyDescent="0.25">
      <c r="A1296" t="s">
        <v>2345</v>
      </c>
      <c r="B1296" t="s">
        <v>2240</v>
      </c>
      <c r="C1296" t="s">
        <v>2346</v>
      </c>
    </row>
    <row r="1297" spans="1:3" x14ac:dyDescent="0.25">
      <c r="A1297" t="s">
        <v>2347</v>
      </c>
      <c r="B1297" t="s">
        <v>2240</v>
      </c>
      <c r="C1297" t="s">
        <v>2348</v>
      </c>
    </row>
    <row r="1298" spans="1:3" x14ac:dyDescent="0.25">
      <c r="A1298" t="s">
        <v>2349</v>
      </c>
      <c r="B1298" t="s">
        <v>2240</v>
      </c>
      <c r="C1298" t="s">
        <v>2350</v>
      </c>
    </row>
    <row r="1299" spans="1:3" x14ac:dyDescent="0.25">
      <c r="A1299" t="s">
        <v>2351</v>
      </c>
      <c r="B1299" t="s">
        <v>2240</v>
      </c>
      <c r="C1299" t="s">
        <v>2352</v>
      </c>
    </row>
    <row r="1300" spans="1:3" x14ac:dyDescent="0.25">
      <c r="A1300" t="s">
        <v>2353</v>
      </c>
      <c r="B1300" t="s">
        <v>2240</v>
      </c>
      <c r="C1300" t="s">
        <v>2354</v>
      </c>
    </row>
    <row r="1301" spans="1:3" x14ac:dyDescent="0.25">
      <c r="A1301" t="s">
        <v>2355</v>
      </c>
      <c r="B1301" t="s">
        <v>2240</v>
      </c>
      <c r="C1301" t="s">
        <v>2356</v>
      </c>
    </row>
    <row r="1302" spans="1:3" x14ac:dyDescent="0.25">
      <c r="A1302" t="s">
        <v>842</v>
      </c>
      <c r="B1302" t="s">
        <v>2240</v>
      </c>
      <c r="C1302" t="s">
        <v>2357</v>
      </c>
    </row>
    <row r="1303" spans="1:3" x14ac:dyDescent="0.25">
      <c r="A1303" t="s">
        <v>2358</v>
      </c>
      <c r="B1303" t="s">
        <v>2240</v>
      </c>
      <c r="C1303" t="s">
        <v>2359</v>
      </c>
    </row>
    <row r="1304" spans="1:3" x14ac:dyDescent="0.25">
      <c r="A1304" t="s">
        <v>2360</v>
      </c>
      <c r="B1304" t="s">
        <v>2240</v>
      </c>
      <c r="C1304" t="s">
        <v>2361</v>
      </c>
    </row>
    <row r="1305" spans="1:3" x14ac:dyDescent="0.25">
      <c r="A1305" t="s">
        <v>1790</v>
      </c>
      <c r="B1305" t="s">
        <v>2240</v>
      </c>
      <c r="C1305" t="s">
        <v>2362</v>
      </c>
    </row>
    <row r="1306" spans="1:3" x14ac:dyDescent="0.25">
      <c r="A1306" t="s">
        <v>2363</v>
      </c>
      <c r="B1306" t="s">
        <v>2240</v>
      </c>
      <c r="C1306" t="s">
        <v>2364</v>
      </c>
    </row>
    <row r="1307" spans="1:3" x14ac:dyDescent="0.25">
      <c r="A1307" t="s">
        <v>2365</v>
      </c>
      <c r="B1307" t="s">
        <v>2240</v>
      </c>
      <c r="C1307" t="s">
        <v>2366</v>
      </c>
    </row>
    <row r="1308" spans="1:3" x14ac:dyDescent="0.25">
      <c r="A1308" t="s">
        <v>2367</v>
      </c>
      <c r="B1308" t="s">
        <v>2240</v>
      </c>
      <c r="C1308" t="s">
        <v>2368</v>
      </c>
    </row>
    <row r="1309" spans="1:3" x14ac:dyDescent="0.25">
      <c r="A1309" t="s">
        <v>247</v>
      </c>
      <c r="B1309" t="s">
        <v>2240</v>
      </c>
      <c r="C1309" t="s">
        <v>2369</v>
      </c>
    </row>
    <row r="1310" spans="1:3" x14ac:dyDescent="0.25">
      <c r="A1310" t="s">
        <v>1494</v>
      </c>
      <c r="B1310" t="s">
        <v>2240</v>
      </c>
      <c r="C1310" t="s">
        <v>2370</v>
      </c>
    </row>
    <row r="1311" spans="1:3" x14ac:dyDescent="0.25">
      <c r="A1311" t="s">
        <v>2371</v>
      </c>
      <c r="B1311" t="s">
        <v>2240</v>
      </c>
      <c r="C1311" t="s">
        <v>2372</v>
      </c>
    </row>
    <row r="1312" spans="1:3" x14ac:dyDescent="0.25">
      <c r="A1312" t="s">
        <v>2373</v>
      </c>
      <c r="B1312" t="s">
        <v>2240</v>
      </c>
      <c r="C1312" t="s">
        <v>2374</v>
      </c>
    </row>
    <row r="1313" spans="1:3" x14ac:dyDescent="0.25">
      <c r="A1313" t="s">
        <v>2375</v>
      </c>
      <c r="B1313" t="s">
        <v>2240</v>
      </c>
      <c r="C1313" t="s">
        <v>2376</v>
      </c>
    </row>
    <row r="1314" spans="1:3" x14ac:dyDescent="0.25">
      <c r="A1314" t="s">
        <v>2377</v>
      </c>
      <c r="B1314" t="s">
        <v>2240</v>
      </c>
      <c r="C1314" t="s">
        <v>2378</v>
      </c>
    </row>
    <row r="1315" spans="1:3" x14ac:dyDescent="0.25">
      <c r="A1315" t="s">
        <v>483</v>
      </c>
      <c r="B1315" t="s">
        <v>2240</v>
      </c>
      <c r="C1315" t="s">
        <v>2379</v>
      </c>
    </row>
    <row r="1316" spans="1:3" x14ac:dyDescent="0.25">
      <c r="A1316" t="s">
        <v>2380</v>
      </c>
      <c r="B1316" t="s">
        <v>2240</v>
      </c>
      <c r="C1316" t="s">
        <v>2381</v>
      </c>
    </row>
    <row r="1317" spans="1:3" x14ac:dyDescent="0.25">
      <c r="A1317" t="s">
        <v>1130</v>
      </c>
      <c r="B1317" t="s">
        <v>2240</v>
      </c>
      <c r="C1317" t="s">
        <v>2382</v>
      </c>
    </row>
    <row r="1318" spans="1:3" x14ac:dyDescent="0.25">
      <c r="A1318" t="s">
        <v>2383</v>
      </c>
      <c r="B1318" t="s">
        <v>2240</v>
      </c>
      <c r="C1318" t="s">
        <v>2384</v>
      </c>
    </row>
    <row r="1319" spans="1:3" x14ac:dyDescent="0.25">
      <c r="A1319" t="s">
        <v>2386</v>
      </c>
      <c r="B1319" t="s">
        <v>2387</v>
      </c>
      <c r="C1319" t="s">
        <v>2388</v>
      </c>
    </row>
    <row r="1320" spans="1:3" x14ac:dyDescent="0.25">
      <c r="A1320" t="s">
        <v>2389</v>
      </c>
      <c r="B1320" t="s">
        <v>2387</v>
      </c>
      <c r="C1320" t="s">
        <v>2390</v>
      </c>
    </row>
    <row r="1321" spans="1:3" x14ac:dyDescent="0.25">
      <c r="A1321" t="s">
        <v>2391</v>
      </c>
      <c r="B1321" t="s">
        <v>2387</v>
      </c>
      <c r="C1321" t="s">
        <v>2392</v>
      </c>
    </row>
    <row r="1322" spans="1:3" x14ac:dyDescent="0.25">
      <c r="A1322" t="s">
        <v>2393</v>
      </c>
      <c r="B1322" t="s">
        <v>2387</v>
      </c>
      <c r="C1322" t="s">
        <v>2394</v>
      </c>
    </row>
    <row r="1323" spans="1:3" x14ac:dyDescent="0.25">
      <c r="A1323" t="s">
        <v>366</v>
      </c>
      <c r="B1323" t="s">
        <v>2387</v>
      </c>
      <c r="C1323" t="s">
        <v>2395</v>
      </c>
    </row>
    <row r="1324" spans="1:3" x14ac:dyDescent="0.25">
      <c r="A1324" t="s">
        <v>2396</v>
      </c>
      <c r="B1324" t="s">
        <v>2387</v>
      </c>
      <c r="C1324" t="s">
        <v>2397</v>
      </c>
    </row>
    <row r="1325" spans="1:3" x14ac:dyDescent="0.25">
      <c r="A1325" t="s">
        <v>2398</v>
      </c>
      <c r="B1325" t="s">
        <v>2387</v>
      </c>
      <c r="C1325" t="s">
        <v>2399</v>
      </c>
    </row>
    <row r="1326" spans="1:3" x14ac:dyDescent="0.25">
      <c r="A1326" t="s">
        <v>1245</v>
      </c>
      <c r="B1326" t="s">
        <v>2387</v>
      </c>
      <c r="C1326" t="s">
        <v>2400</v>
      </c>
    </row>
    <row r="1327" spans="1:3" x14ac:dyDescent="0.25">
      <c r="A1327" t="s">
        <v>2401</v>
      </c>
      <c r="B1327" t="s">
        <v>2387</v>
      </c>
      <c r="C1327" t="s">
        <v>2402</v>
      </c>
    </row>
    <row r="1328" spans="1:3" x14ac:dyDescent="0.25">
      <c r="A1328" t="s">
        <v>2403</v>
      </c>
      <c r="B1328" t="s">
        <v>2387</v>
      </c>
      <c r="C1328" t="s">
        <v>2404</v>
      </c>
    </row>
    <row r="1329" spans="1:3" x14ac:dyDescent="0.25">
      <c r="A1329" t="s">
        <v>1251</v>
      </c>
      <c r="B1329" t="s">
        <v>2387</v>
      </c>
      <c r="C1329" t="s">
        <v>2405</v>
      </c>
    </row>
    <row r="1330" spans="1:3" x14ac:dyDescent="0.25">
      <c r="A1330" t="s">
        <v>2268</v>
      </c>
      <c r="B1330" t="s">
        <v>2387</v>
      </c>
      <c r="C1330" t="s">
        <v>2406</v>
      </c>
    </row>
    <row r="1331" spans="1:3" x14ac:dyDescent="0.25">
      <c r="A1331" t="s">
        <v>2407</v>
      </c>
      <c r="B1331" t="s">
        <v>2387</v>
      </c>
      <c r="C1331" t="s">
        <v>2408</v>
      </c>
    </row>
    <row r="1332" spans="1:3" x14ac:dyDescent="0.25">
      <c r="A1332" t="s">
        <v>159</v>
      </c>
      <c r="B1332" t="s">
        <v>2387</v>
      </c>
      <c r="C1332" t="s">
        <v>2409</v>
      </c>
    </row>
    <row r="1333" spans="1:3" x14ac:dyDescent="0.25">
      <c r="A1333" t="s">
        <v>1191</v>
      </c>
      <c r="B1333" t="s">
        <v>2387</v>
      </c>
      <c r="C1333" t="s">
        <v>2410</v>
      </c>
    </row>
    <row r="1334" spans="1:3" x14ac:dyDescent="0.25">
      <c r="A1334" t="s">
        <v>941</v>
      </c>
      <c r="B1334" t="s">
        <v>2387</v>
      </c>
      <c r="C1334" t="s">
        <v>2411</v>
      </c>
    </row>
    <row r="1335" spans="1:3" x14ac:dyDescent="0.25">
      <c r="A1335" t="s">
        <v>2412</v>
      </c>
      <c r="B1335" t="s">
        <v>2387</v>
      </c>
      <c r="C1335" t="s">
        <v>2413</v>
      </c>
    </row>
    <row r="1336" spans="1:3" x14ac:dyDescent="0.25">
      <c r="A1336" t="s">
        <v>2414</v>
      </c>
      <c r="B1336" t="s">
        <v>2387</v>
      </c>
      <c r="C1336" t="s">
        <v>2415</v>
      </c>
    </row>
    <row r="1337" spans="1:3" x14ac:dyDescent="0.25">
      <c r="A1337" t="s">
        <v>2416</v>
      </c>
      <c r="B1337" t="s">
        <v>2387</v>
      </c>
      <c r="C1337" t="s">
        <v>2417</v>
      </c>
    </row>
    <row r="1338" spans="1:3" x14ac:dyDescent="0.25">
      <c r="A1338" t="s">
        <v>955</v>
      </c>
      <c r="B1338" t="s">
        <v>2387</v>
      </c>
      <c r="C1338" t="s">
        <v>2418</v>
      </c>
    </row>
    <row r="1339" spans="1:3" x14ac:dyDescent="0.25">
      <c r="A1339" t="s">
        <v>646</v>
      </c>
      <c r="B1339" t="s">
        <v>2387</v>
      </c>
      <c r="C1339" t="s">
        <v>2419</v>
      </c>
    </row>
    <row r="1340" spans="1:3" x14ac:dyDescent="0.25">
      <c r="A1340" t="s">
        <v>2420</v>
      </c>
      <c r="B1340" t="s">
        <v>2387</v>
      </c>
      <c r="C1340" t="s">
        <v>2421</v>
      </c>
    </row>
    <row r="1341" spans="1:3" x14ac:dyDescent="0.25">
      <c r="A1341" t="s">
        <v>2422</v>
      </c>
      <c r="B1341" t="s">
        <v>2387</v>
      </c>
      <c r="C1341" t="s">
        <v>2423</v>
      </c>
    </row>
    <row r="1342" spans="1:3" x14ac:dyDescent="0.25">
      <c r="A1342" t="s">
        <v>2424</v>
      </c>
      <c r="B1342" t="s">
        <v>2387</v>
      </c>
      <c r="C1342" t="s">
        <v>2425</v>
      </c>
    </row>
    <row r="1343" spans="1:3" x14ac:dyDescent="0.25">
      <c r="A1343" t="s">
        <v>2426</v>
      </c>
      <c r="B1343" t="s">
        <v>2387</v>
      </c>
      <c r="C1343" t="s">
        <v>2427</v>
      </c>
    </row>
    <row r="1344" spans="1:3" x14ac:dyDescent="0.25">
      <c r="A1344" t="s">
        <v>407</v>
      </c>
      <c r="B1344" t="s">
        <v>2387</v>
      </c>
      <c r="C1344" t="s">
        <v>2428</v>
      </c>
    </row>
    <row r="1345" spans="1:3" x14ac:dyDescent="0.25">
      <c r="A1345" t="s">
        <v>2429</v>
      </c>
      <c r="B1345" t="s">
        <v>2387</v>
      </c>
      <c r="C1345" t="s">
        <v>2430</v>
      </c>
    </row>
    <row r="1346" spans="1:3" x14ac:dyDescent="0.25">
      <c r="A1346" t="s">
        <v>201</v>
      </c>
      <c r="B1346" t="s">
        <v>2387</v>
      </c>
      <c r="C1346" t="s">
        <v>2431</v>
      </c>
    </row>
    <row r="1347" spans="1:3" x14ac:dyDescent="0.25">
      <c r="A1347" t="s">
        <v>2432</v>
      </c>
      <c r="B1347" t="s">
        <v>2387</v>
      </c>
      <c r="C1347" t="s">
        <v>2433</v>
      </c>
    </row>
    <row r="1348" spans="1:3" x14ac:dyDescent="0.25">
      <c r="A1348" t="s">
        <v>2434</v>
      </c>
      <c r="B1348" t="s">
        <v>2387</v>
      </c>
      <c r="C1348" t="s">
        <v>2435</v>
      </c>
    </row>
    <row r="1349" spans="1:3" x14ac:dyDescent="0.25">
      <c r="A1349" t="s">
        <v>2436</v>
      </c>
      <c r="B1349" t="s">
        <v>2387</v>
      </c>
      <c r="C1349" t="s">
        <v>2437</v>
      </c>
    </row>
    <row r="1350" spans="1:3" x14ac:dyDescent="0.25">
      <c r="A1350" t="s">
        <v>203</v>
      </c>
      <c r="B1350" t="s">
        <v>2387</v>
      </c>
      <c r="C1350" t="s">
        <v>2438</v>
      </c>
    </row>
    <row r="1351" spans="1:3" x14ac:dyDescent="0.25">
      <c r="A1351" t="s">
        <v>2439</v>
      </c>
      <c r="B1351" t="s">
        <v>2387</v>
      </c>
      <c r="C1351" t="s">
        <v>2440</v>
      </c>
    </row>
    <row r="1352" spans="1:3" x14ac:dyDescent="0.25">
      <c r="A1352" t="s">
        <v>2441</v>
      </c>
      <c r="B1352" t="s">
        <v>2387</v>
      </c>
      <c r="C1352" t="s">
        <v>2442</v>
      </c>
    </row>
    <row r="1353" spans="1:3" x14ac:dyDescent="0.25">
      <c r="A1353" t="s">
        <v>2443</v>
      </c>
      <c r="B1353" t="s">
        <v>2387</v>
      </c>
      <c r="C1353" t="s">
        <v>2444</v>
      </c>
    </row>
    <row r="1354" spans="1:3" x14ac:dyDescent="0.25">
      <c r="A1354" t="s">
        <v>2445</v>
      </c>
      <c r="B1354" t="s">
        <v>2387</v>
      </c>
      <c r="C1354" t="s">
        <v>2446</v>
      </c>
    </row>
    <row r="1355" spans="1:3" x14ac:dyDescent="0.25">
      <c r="A1355" t="s">
        <v>2447</v>
      </c>
      <c r="B1355" t="s">
        <v>2387</v>
      </c>
      <c r="C1355" t="s">
        <v>2448</v>
      </c>
    </row>
    <row r="1356" spans="1:3" x14ac:dyDescent="0.25">
      <c r="A1356" t="s">
        <v>526</v>
      </c>
      <c r="B1356" t="s">
        <v>2387</v>
      </c>
      <c r="C1356" t="s">
        <v>2449</v>
      </c>
    </row>
    <row r="1357" spans="1:3" x14ac:dyDescent="0.25">
      <c r="A1357" t="s">
        <v>2450</v>
      </c>
      <c r="B1357" t="s">
        <v>2387</v>
      </c>
      <c r="C1357" t="s">
        <v>2451</v>
      </c>
    </row>
    <row r="1358" spans="1:3" x14ac:dyDescent="0.25">
      <c r="A1358" t="s">
        <v>2452</v>
      </c>
      <c r="B1358" t="s">
        <v>2387</v>
      </c>
      <c r="C1358" t="s">
        <v>2453</v>
      </c>
    </row>
    <row r="1359" spans="1:3" x14ac:dyDescent="0.25">
      <c r="A1359" t="s">
        <v>428</v>
      </c>
      <c r="B1359" t="s">
        <v>2387</v>
      </c>
      <c r="C1359" t="s">
        <v>2454</v>
      </c>
    </row>
    <row r="1360" spans="1:3" x14ac:dyDescent="0.25">
      <c r="A1360" t="s">
        <v>1615</v>
      </c>
      <c r="B1360" t="s">
        <v>2387</v>
      </c>
      <c r="C1360" t="s">
        <v>2455</v>
      </c>
    </row>
    <row r="1361" spans="1:3" x14ac:dyDescent="0.25">
      <c r="A1361" t="s">
        <v>2456</v>
      </c>
      <c r="B1361" t="s">
        <v>2387</v>
      </c>
      <c r="C1361" t="s">
        <v>2457</v>
      </c>
    </row>
    <row r="1362" spans="1:3" x14ac:dyDescent="0.25">
      <c r="A1362" t="s">
        <v>2458</v>
      </c>
      <c r="B1362" t="s">
        <v>2387</v>
      </c>
      <c r="C1362" t="s">
        <v>2459</v>
      </c>
    </row>
    <row r="1363" spans="1:3" x14ac:dyDescent="0.25">
      <c r="A1363" t="s">
        <v>227</v>
      </c>
      <c r="B1363" t="s">
        <v>2387</v>
      </c>
      <c r="C1363" t="s">
        <v>2460</v>
      </c>
    </row>
    <row r="1364" spans="1:3" x14ac:dyDescent="0.25">
      <c r="A1364" t="s">
        <v>830</v>
      </c>
      <c r="B1364" t="s">
        <v>2387</v>
      </c>
      <c r="C1364" t="s">
        <v>2461</v>
      </c>
    </row>
    <row r="1365" spans="1:3" x14ac:dyDescent="0.25">
      <c r="A1365" t="s">
        <v>2462</v>
      </c>
      <c r="B1365" t="s">
        <v>2387</v>
      </c>
      <c r="C1365" t="s">
        <v>2463</v>
      </c>
    </row>
    <row r="1366" spans="1:3" x14ac:dyDescent="0.25">
      <c r="A1366" t="s">
        <v>2464</v>
      </c>
      <c r="B1366" t="s">
        <v>2387</v>
      </c>
      <c r="C1366" t="s">
        <v>2465</v>
      </c>
    </row>
    <row r="1367" spans="1:3" x14ac:dyDescent="0.25">
      <c r="A1367" t="s">
        <v>2466</v>
      </c>
      <c r="B1367" t="s">
        <v>2387</v>
      </c>
      <c r="C1367" t="s">
        <v>2467</v>
      </c>
    </row>
    <row r="1368" spans="1:3" x14ac:dyDescent="0.25">
      <c r="A1368" t="s">
        <v>2468</v>
      </c>
      <c r="B1368" t="s">
        <v>2387</v>
      </c>
      <c r="C1368" t="s">
        <v>2469</v>
      </c>
    </row>
    <row r="1369" spans="1:3" x14ac:dyDescent="0.25">
      <c r="A1369" t="s">
        <v>1052</v>
      </c>
      <c r="B1369" t="s">
        <v>2387</v>
      </c>
      <c r="C1369" t="s">
        <v>2470</v>
      </c>
    </row>
    <row r="1370" spans="1:3" x14ac:dyDescent="0.25">
      <c r="A1370" t="s">
        <v>2471</v>
      </c>
      <c r="B1370" t="s">
        <v>2387</v>
      </c>
      <c r="C1370" t="s">
        <v>2472</v>
      </c>
    </row>
    <row r="1371" spans="1:3" x14ac:dyDescent="0.25">
      <c r="A1371" t="s">
        <v>2473</v>
      </c>
      <c r="B1371" t="s">
        <v>2387</v>
      </c>
      <c r="C1371" t="s">
        <v>2474</v>
      </c>
    </row>
    <row r="1372" spans="1:3" x14ac:dyDescent="0.25">
      <c r="A1372" t="s">
        <v>2475</v>
      </c>
      <c r="B1372" t="s">
        <v>2387</v>
      </c>
      <c r="C1372" t="s">
        <v>2476</v>
      </c>
    </row>
    <row r="1373" spans="1:3" x14ac:dyDescent="0.25">
      <c r="A1373" t="s">
        <v>2477</v>
      </c>
      <c r="B1373" t="s">
        <v>2387</v>
      </c>
      <c r="C1373" t="s">
        <v>2478</v>
      </c>
    </row>
    <row r="1374" spans="1:3" x14ac:dyDescent="0.25">
      <c r="A1374" t="s">
        <v>2479</v>
      </c>
      <c r="B1374" t="s">
        <v>2387</v>
      </c>
      <c r="C1374" t="s">
        <v>2480</v>
      </c>
    </row>
    <row r="1375" spans="1:3" x14ac:dyDescent="0.25">
      <c r="A1375" t="s">
        <v>2481</v>
      </c>
      <c r="B1375" t="s">
        <v>2387</v>
      </c>
      <c r="C1375" t="s">
        <v>2482</v>
      </c>
    </row>
    <row r="1376" spans="1:3" x14ac:dyDescent="0.25">
      <c r="A1376" t="s">
        <v>2483</v>
      </c>
      <c r="B1376" t="s">
        <v>2387</v>
      </c>
      <c r="C1376" t="s">
        <v>2484</v>
      </c>
    </row>
    <row r="1377" spans="1:3" x14ac:dyDescent="0.25">
      <c r="A1377" t="s">
        <v>2485</v>
      </c>
      <c r="B1377" t="s">
        <v>2387</v>
      </c>
      <c r="C1377" t="s">
        <v>2486</v>
      </c>
    </row>
    <row r="1378" spans="1:3" x14ac:dyDescent="0.25">
      <c r="A1378" t="s">
        <v>456</v>
      </c>
      <c r="B1378" t="s">
        <v>2387</v>
      </c>
      <c r="C1378" t="s">
        <v>2487</v>
      </c>
    </row>
    <row r="1379" spans="1:3" x14ac:dyDescent="0.25">
      <c r="A1379" t="s">
        <v>458</v>
      </c>
      <c r="B1379" t="s">
        <v>2387</v>
      </c>
      <c r="C1379" t="s">
        <v>2488</v>
      </c>
    </row>
    <row r="1380" spans="1:3" x14ac:dyDescent="0.25">
      <c r="A1380" t="s">
        <v>2489</v>
      </c>
      <c r="B1380" t="s">
        <v>2387</v>
      </c>
      <c r="C1380" t="s">
        <v>2490</v>
      </c>
    </row>
    <row r="1381" spans="1:3" x14ac:dyDescent="0.25">
      <c r="A1381" t="s">
        <v>2491</v>
      </c>
      <c r="B1381" t="s">
        <v>2387</v>
      </c>
      <c r="C1381" t="s">
        <v>2492</v>
      </c>
    </row>
    <row r="1382" spans="1:3" x14ac:dyDescent="0.25">
      <c r="A1382" t="s">
        <v>2493</v>
      </c>
      <c r="B1382" t="s">
        <v>2387</v>
      </c>
      <c r="C1382" t="s">
        <v>2494</v>
      </c>
    </row>
    <row r="1383" spans="1:3" x14ac:dyDescent="0.25">
      <c r="A1383" t="s">
        <v>2495</v>
      </c>
      <c r="B1383" t="s">
        <v>2387</v>
      </c>
      <c r="C1383" t="s">
        <v>2496</v>
      </c>
    </row>
    <row r="1384" spans="1:3" x14ac:dyDescent="0.25">
      <c r="A1384" t="s">
        <v>1805</v>
      </c>
      <c r="B1384" t="s">
        <v>2387</v>
      </c>
      <c r="C1384" t="s">
        <v>2497</v>
      </c>
    </row>
    <row r="1385" spans="1:3" x14ac:dyDescent="0.25">
      <c r="A1385" t="s">
        <v>2498</v>
      </c>
      <c r="B1385" t="s">
        <v>2387</v>
      </c>
      <c r="C1385" t="s">
        <v>2499</v>
      </c>
    </row>
    <row r="1386" spans="1:3" x14ac:dyDescent="0.25">
      <c r="A1386" t="s">
        <v>2500</v>
      </c>
      <c r="B1386" t="s">
        <v>2387</v>
      </c>
      <c r="C1386" t="s">
        <v>2501</v>
      </c>
    </row>
    <row r="1387" spans="1:3" x14ac:dyDescent="0.25">
      <c r="A1387" t="s">
        <v>2502</v>
      </c>
      <c r="B1387" t="s">
        <v>2387</v>
      </c>
      <c r="C1387" t="s">
        <v>2503</v>
      </c>
    </row>
    <row r="1388" spans="1:3" x14ac:dyDescent="0.25">
      <c r="A1388" t="s">
        <v>469</v>
      </c>
      <c r="B1388" t="s">
        <v>2387</v>
      </c>
      <c r="C1388" t="s">
        <v>2504</v>
      </c>
    </row>
    <row r="1389" spans="1:3" x14ac:dyDescent="0.25">
      <c r="A1389" t="s">
        <v>2505</v>
      </c>
      <c r="B1389" t="s">
        <v>2387</v>
      </c>
      <c r="C1389" t="s">
        <v>2506</v>
      </c>
    </row>
    <row r="1390" spans="1:3" x14ac:dyDescent="0.25">
      <c r="A1390" t="s">
        <v>2507</v>
      </c>
      <c r="B1390" t="s">
        <v>2387</v>
      </c>
      <c r="C1390" t="s">
        <v>2508</v>
      </c>
    </row>
    <row r="1391" spans="1:3" x14ac:dyDescent="0.25">
      <c r="A1391" t="s">
        <v>2509</v>
      </c>
      <c r="B1391" t="s">
        <v>2387</v>
      </c>
      <c r="C1391" t="s">
        <v>2510</v>
      </c>
    </row>
    <row r="1392" spans="1:3" x14ac:dyDescent="0.25">
      <c r="A1392" t="s">
        <v>2511</v>
      </c>
      <c r="B1392" t="s">
        <v>2387</v>
      </c>
      <c r="C1392" t="s">
        <v>2512</v>
      </c>
    </row>
    <row r="1393" spans="1:3" x14ac:dyDescent="0.25">
      <c r="A1393" t="s">
        <v>1830</v>
      </c>
      <c r="B1393" t="s">
        <v>2387</v>
      </c>
      <c r="C1393" t="s">
        <v>2513</v>
      </c>
    </row>
    <row r="1394" spans="1:3" x14ac:dyDescent="0.25">
      <c r="A1394" t="s">
        <v>2514</v>
      </c>
      <c r="B1394" t="s">
        <v>2387</v>
      </c>
      <c r="C1394" t="s">
        <v>2515</v>
      </c>
    </row>
    <row r="1395" spans="1:3" x14ac:dyDescent="0.25">
      <c r="A1395" t="s">
        <v>2012</v>
      </c>
      <c r="B1395" t="s">
        <v>2387</v>
      </c>
      <c r="C1395" t="s">
        <v>2516</v>
      </c>
    </row>
    <row r="1396" spans="1:3" x14ac:dyDescent="0.25">
      <c r="A1396" t="s">
        <v>2517</v>
      </c>
      <c r="B1396" t="s">
        <v>2387</v>
      </c>
      <c r="C1396" t="s">
        <v>2518</v>
      </c>
    </row>
    <row r="1397" spans="1:3" x14ac:dyDescent="0.25">
      <c r="A1397" t="s">
        <v>2519</v>
      </c>
      <c r="B1397" t="s">
        <v>2387</v>
      </c>
      <c r="C1397" t="s">
        <v>2520</v>
      </c>
    </row>
    <row r="1398" spans="1:3" x14ac:dyDescent="0.25">
      <c r="A1398" t="s">
        <v>2521</v>
      </c>
      <c r="B1398" t="s">
        <v>2387</v>
      </c>
      <c r="C1398" t="s">
        <v>2522</v>
      </c>
    </row>
    <row r="1399" spans="1:3" x14ac:dyDescent="0.25">
      <c r="A1399" t="s">
        <v>2523</v>
      </c>
      <c r="B1399" t="s">
        <v>2387</v>
      </c>
      <c r="C1399" t="s">
        <v>2524</v>
      </c>
    </row>
    <row r="1400" spans="1:3" x14ac:dyDescent="0.25">
      <c r="A1400" t="s">
        <v>261</v>
      </c>
      <c r="B1400" t="s">
        <v>2387</v>
      </c>
      <c r="C1400" t="s">
        <v>2525</v>
      </c>
    </row>
    <row r="1401" spans="1:3" x14ac:dyDescent="0.25">
      <c r="A1401" t="s">
        <v>2526</v>
      </c>
      <c r="B1401" t="s">
        <v>2387</v>
      </c>
      <c r="C1401" t="s">
        <v>2527</v>
      </c>
    </row>
    <row r="1402" spans="1:3" x14ac:dyDescent="0.25">
      <c r="A1402" t="s">
        <v>2528</v>
      </c>
      <c r="B1402" t="s">
        <v>2387</v>
      </c>
      <c r="C1402" t="s">
        <v>2529</v>
      </c>
    </row>
    <row r="1403" spans="1:3" x14ac:dyDescent="0.25">
      <c r="A1403" t="s">
        <v>2530</v>
      </c>
      <c r="B1403" t="s">
        <v>2387</v>
      </c>
      <c r="C1403" t="s">
        <v>2531</v>
      </c>
    </row>
    <row r="1404" spans="1:3" x14ac:dyDescent="0.25">
      <c r="A1404" t="s">
        <v>1674</v>
      </c>
      <c r="B1404" t="s">
        <v>2387</v>
      </c>
      <c r="C1404" t="s">
        <v>2532</v>
      </c>
    </row>
    <row r="1405" spans="1:3" x14ac:dyDescent="0.25">
      <c r="A1405" t="s">
        <v>2533</v>
      </c>
      <c r="B1405" t="s">
        <v>2387</v>
      </c>
      <c r="C1405" t="s">
        <v>2534</v>
      </c>
    </row>
    <row r="1406" spans="1:3" x14ac:dyDescent="0.25">
      <c r="A1406" t="s">
        <v>609</v>
      </c>
      <c r="B1406" t="s">
        <v>2536</v>
      </c>
      <c r="C1406" t="s">
        <v>2537</v>
      </c>
    </row>
    <row r="1407" spans="1:3" x14ac:dyDescent="0.25">
      <c r="A1407" t="s">
        <v>2538</v>
      </c>
      <c r="B1407" t="s">
        <v>2536</v>
      </c>
      <c r="C1407" t="s">
        <v>2539</v>
      </c>
    </row>
    <row r="1408" spans="1:3" x14ac:dyDescent="0.25">
      <c r="A1408" t="s">
        <v>2540</v>
      </c>
      <c r="B1408" t="s">
        <v>2536</v>
      </c>
      <c r="C1408" t="s">
        <v>2541</v>
      </c>
    </row>
    <row r="1409" spans="1:3" x14ac:dyDescent="0.25">
      <c r="A1409" t="s">
        <v>2542</v>
      </c>
      <c r="B1409" t="s">
        <v>2536</v>
      </c>
      <c r="C1409" t="s">
        <v>2543</v>
      </c>
    </row>
    <row r="1410" spans="1:3" x14ac:dyDescent="0.25">
      <c r="A1410" t="s">
        <v>366</v>
      </c>
      <c r="B1410" t="s">
        <v>2536</v>
      </c>
      <c r="C1410" t="s">
        <v>2544</v>
      </c>
    </row>
    <row r="1411" spans="1:3" x14ac:dyDescent="0.25">
      <c r="A1411" t="s">
        <v>2545</v>
      </c>
      <c r="B1411" t="s">
        <v>2536</v>
      </c>
      <c r="C1411" t="s">
        <v>2546</v>
      </c>
    </row>
    <row r="1412" spans="1:3" x14ac:dyDescent="0.25">
      <c r="A1412" t="s">
        <v>147</v>
      </c>
      <c r="B1412" t="s">
        <v>2536</v>
      </c>
      <c r="C1412" t="s">
        <v>2547</v>
      </c>
    </row>
    <row r="1413" spans="1:3" x14ac:dyDescent="0.25">
      <c r="A1413" t="s">
        <v>373</v>
      </c>
      <c r="B1413" t="s">
        <v>2536</v>
      </c>
      <c r="C1413" t="s">
        <v>2548</v>
      </c>
    </row>
    <row r="1414" spans="1:3" x14ac:dyDescent="0.25">
      <c r="A1414" t="s">
        <v>1560</v>
      </c>
      <c r="B1414" t="s">
        <v>2536</v>
      </c>
      <c r="C1414" t="s">
        <v>2549</v>
      </c>
    </row>
    <row r="1415" spans="1:3" x14ac:dyDescent="0.25">
      <c r="A1415" t="s">
        <v>155</v>
      </c>
      <c r="B1415" t="s">
        <v>2536</v>
      </c>
      <c r="C1415" t="s">
        <v>2550</v>
      </c>
    </row>
    <row r="1416" spans="1:3" x14ac:dyDescent="0.25">
      <c r="A1416" t="s">
        <v>2053</v>
      </c>
      <c r="B1416" t="s">
        <v>2536</v>
      </c>
      <c r="C1416" t="s">
        <v>2551</v>
      </c>
    </row>
    <row r="1417" spans="1:3" x14ac:dyDescent="0.25">
      <c r="A1417" t="s">
        <v>157</v>
      </c>
      <c r="B1417" t="s">
        <v>2536</v>
      </c>
      <c r="C1417" t="s">
        <v>2552</v>
      </c>
    </row>
    <row r="1418" spans="1:3" x14ac:dyDescent="0.25">
      <c r="A1418" t="s">
        <v>159</v>
      </c>
      <c r="B1418" t="s">
        <v>2536</v>
      </c>
      <c r="C1418" t="s">
        <v>2553</v>
      </c>
    </row>
    <row r="1419" spans="1:3" x14ac:dyDescent="0.25">
      <c r="A1419" t="s">
        <v>2554</v>
      </c>
      <c r="B1419" t="s">
        <v>2536</v>
      </c>
      <c r="C1419" t="s">
        <v>2555</v>
      </c>
    </row>
    <row r="1420" spans="1:3" x14ac:dyDescent="0.25">
      <c r="A1420" t="s">
        <v>2556</v>
      </c>
      <c r="B1420" t="s">
        <v>2536</v>
      </c>
      <c r="C1420" t="s">
        <v>2557</v>
      </c>
    </row>
    <row r="1421" spans="1:3" x14ac:dyDescent="0.25">
      <c r="A1421" t="s">
        <v>171</v>
      </c>
      <c r="B1421" t="s">
        <v>2536</v>
      </c>
      <c r="C1421" t="s">
        <v>2558</v>
      </c>
    </row>
    <row r="1422" spans="1:3" x14ac:dyDescent="0.25">
      <c r="A1422" t="s">
        <v>781</v>
      </c>
      <c r="B1422" t="s">
        <v>2536</v>
      </c>
      <c r="C1422" t="s">
        <v>2559</v>
      </c>
    </row>
    <row r="1423" spans="1:3" x14ac:dyDescent="0.25">
      <c r="A1423" t="s">
        <v>2560</v>
      </c>
      <c r="B1423" t="s">
        <v>2536</v>
      </c>
      <c r="C1423" t="s">
        <v>2561</v>
      </c>
    </row>
    <row r="1424" spans="1:3" x14ac:dyDescent="0.25">
      <c r="A1424" t="s">
        <v>191</v>
      </c>
      <c r="B1424" t="s">
        <v>2536</v>
      </c>
      <c r="C1424" t="s">
        <v>2562</v>
      </c>
    </row>
    <row r="1425" spans="1:3" x14ac:dyDescent="0.25">
      <c r="A1425" t="s">
        <v>2563</v>
      </c>
      <c r="B1425" t="s">
        <v>2536</v>
      </c>
      <c r="C1425" t="s">
        <v>2564</v>
      </c>
    </row>
    <row r="1426" spans="1:3" x14ac:dyDescent="0.25">
      <c r="A1426" t="s">
        <v>195</v>
      </c>
      <c r="B1426" t="s">
        <v>2536</v>
      </c>
      <c r="C1426" t="s">
        <v>2565</v>
      </c>
    </row>
    <row r="1427" spans="1:3" x14ac:dyDescent="0.25">
      <c r="A1427" t="s">
        <v>2566</v>
      </c>
      <c r="B1427" t="s">
        <v>2536</v>
      </c>
      <c r="C1427" t="s">
        <v>2567</v>
      </c>
    </row>
    <row r="1428" spans="1:3" x14ac:dyDescent="0.25">
      <c r="A1428" t="s">
        <v>999</v>
      </c>
      <c r="B1428" t="s">
        <v>2536</v>
      </c>
      <c r="C1428" t="s">
        <v>2568</v>
      </c>
    </row>
    <row r="1429" spans="1:3" x14ac:dyDescent="0.25">
      <c r="A1429" t="s">
        <v>1437</v>
      </c>
      <c r="B1429" t="s">
        <v>2536</v>
      </c>
      <c r="C1429" t="s">
        <v>2569</v>
      </c>
    </row>
    <row r="1430" spans="1:3" x14ac:dyDescent="0.25">
      <c r="A1430" t="s">
        <v>2570</v>
      </c>
      <c r="B1430" t="s">
        <v>2536</v>
      </c>
      <c r="C1430" t="s">
        <v>2571</v>
      </c>
    </row>
    <row r="1431" spans="1:3" x14ac:dyDescent="0.25">
      <c r="A1431" t="s">
        <v>811</v>
      </c>
      <c r="B1431" t="s">
        <v>2536</v>
      </c>
      <c r="C1431" t="s">
        <v>2572</v>
      </c>
    </row>
    <row r="1432" spans="1:3" x14ac:dyDescent="0.25">
      <c r="A1432" t="s">
        <v>2573</v>
      </c>
      <c r="B1432" t="s">
        <v>2536</v>
      </c>
      <c r="C1432" t="s">
        <v>2574</v>
      </c>
    </row>
    <row r="1433" spans="1:3" x14ac:dyDescent="0.25">
      <c r="A1433" t="s">
        <v>2575</v>
      </c>
      <c r="B1433" t="s">
        <v>2536</v>
      </c>
      <c r="C1433" t="s">
        <v>2576</v>
      </c>
    </row>
    <row r="1434" spans="1:3" x14ac:dyDescent="0.25">
      <c r="A1434" t="s">
        <v>2577</v>
      </c>
      <c r="B1434" t="s">
        <v>2536</v>
      </c>
      <c r="C1434" t="s">
        <v>2578</v>
      </c>
    </row>
    <row r="1435" spans="1:3" x14ac:dyDescent="0.25">
      <c r="A1435" t="s">
        <v>203</v>
      </c>
      <c r="B1435" t="s">
        <v>2536</v>
      </c>
      <c r="C1435" t="s">
        <v>2579</v>
      </c>
    </row>
    <row r="1436" spans="1:3" x14ac:dyDescent="0.25">
      <c r="A1436" t="s">
        <v>1014</v>
      </c>
      <c r="B1436" t="s">
        <v>2536</v>
      </c>
      <c r="C1436" t="s">
        <v>2580</v>
      </c>
    </row>
    <row r="1437" spans="1:3" x14ac:dyDescent="0.25">
      <c r="A1437" t="s">
        <v>205</v>
      </c>
      <c r="B1437" t="s">
        <v>2536</v>
      </c>
      <c r="C1437" t="s">
        <v>2581</v>
      </c>
    </row>
    <row r="1438" spans="1:3" x14ac:dyDescent="0.25">
      <c r="A1438" t="s">
        <v>2075</v>
      </c>
      <c r="B1438" t="s">
        <v>2536</v>
      </c>
      <c r="C1438" t="s">
        <v>2582</v>
      </c>
    </row>
    <row r="1439" spans="1:3" x14ac:dyDescent="0.25">
      <c r="A1439" t="s">
        <v>1022</v>
      </c>
      <c r="B1439" t="s">
        <v>2536</v>
      </c>
      <c r="C1439" t="s">
        <v>2583</v>
      </c>
    </row>
    <row r="1440" spans="1:3" x14ac:dyDescent="0.25">
      <c r="A1440" t="s">
        <v>2584</v>
      </c>
      <c r="B1440" t="s">
        <v>2536</v>
      </c>
      <c r="C1440" t="s">
        <v>2585</v>
      </c>
    </row>
    <row r="1441" spans="1:3" x14ac:dyDescent="0.25">
      <c r="A1441" t="s">
        <v>424</v>
      </c>
      <c r="B1441" t="s">
        <v>2536</v>
      </c>
      <c r="C1441" t="s">
        <v>2586</v>
      </c>
    </row>
    <row r="1442" spans="1:3" x14ac:dyDescent="0.25">
      <c r="A1442" t="s">
        <v>207</v>
      </c>
      <c r="B1442" t="s">
        <v>2536</v>
      </c>
      <c r="C1442" t="s">
        <v>2587</v>
      </c>
    </row>
    <row r="1443" spans="1:3" x14ac:dyDescent="0.25">
      <c r="A1443" t="s">
        <v>209</v>
      </c>
      <c r="B1443" t="s">
        <v>2536</v>
      </c>
      <c r="C1443" t="s">
        <v>2588</v>
      </c>
    </row>
    <row r="1444" spans="1:3" x14ac:dyDescent="0.25">
      <c r="A1444" t="s">
        <v>211</v>
      </c>
      <c r="B1444" t="s">
        <v>2536</v>
      </c>
      <c r="C1444" t="s">
        <v>2589</v>
      </c>
    </row>
    <row r="1445" spans="1:3" x14ac:dyDescent="0.25">
      <c r="A1445" t="s">
        <v>2590</v>
      </c>
      <c r="B1445" t="s">
        <v>2536</v>
      </c>
      <c r="C1445" t="s">
        <v>2591</v>
      </c>
    </row>
    <row r="1446" spans="1:3" x14ac:dyDescent="0.25">
      <c r="A1446" t="s">
        <v>213</v>
      </c>
      <c r="B1446" t="s">
        <v>2536</v>
      </c>
      <c r="C1446" t="s">
        <v>2592</v>
      </c>
    </row>
    <row r="1447" spans="1:3" x14ac:dyDescent="0.25">
      <c r="A1447" t="s">
        <v>2593</v>
      </c>
      <c r="B1447" t="s">
        <v>2536</v>
      </c>
      <c r="C1447" t="s">
        <v>2594</v>
      </c>
    </row>
    <row r="1448" spans="1:3" x14ac:dyDescent="0.25">
      <c r="A1448" t="s">
        <v>428</v>
      </c>
      <c r="B1448" t="s">
        <v>2536</v>
      </c>
      <c r="C1448" t="s">
        <v>2595</v>
      </c>
    </row>
    <row r="1449" spans="1:3" x14ac:dyDescent="0.25">
      <c r="A1449" t="s">
        <v>217</v>
      </c>
      <c r="B1449" t="s">
        <v>2536</v>
      </c>
      <c r="C1449" t="s">
        <v>2596</v>
      </c>
    </row>
    <row r="1450" spans="1:3" x14ac:dyDescent="0.25">
      <c r="A1450" t="s">
        <v>221</v>
      </c>
      <c r="B1450" t="s">
        <v>2536</v>
      </c>
      <c r="C1450" t="s">
        <v>2597</v>
      </c>
    </row>
    <row r="1451" spans="1:3" x14ac:dyDescent="0.25">
      <c r="A1451" t="s">
        <v>225</v>
      </c>
      <c r="B1451" t="s">
        <v>2536</v>
      </c>
      <c r="C1451" t="s">
        <v>2598</v>
      </c>
    </row>
    <row r="1452" spans="1:3" x14ac:dyDescent="0.25">
      <c r="A1452" t="s">
        <v>227</v>
      </c>
      <c r="B1452" t="s">
        <v>2536</v>
      </c>
      <c r="C1452" t="s">
        <v>2599</v>
      </c>
    </row>
    <row r="1453" spans="1:3" x14ac:dyDescent="0.25">
      <c r="A1453" t="s">
        <v>231</v>
      </c>
      <c r="B1453" t="s">
        <v>2536</v>
      </c>
      <c r="C1453" t="s">
        <v>2600</v>
      </c>
    </row>
    <row r="1454" spans="1:3" x14ac:dyDescent="0.25">
      <c r="A1454" t="s">
        <v>233</v>
      </c>
      <c r="B1454" t="s">
        <v>2536</v>
      </c>
      <c r="C1454" t="s">
        <v>2601</v>
      </c>
    </row>
    <row r="1455" spans="1:3" x14ac:dyDescent="0.25">
      <c r="A1455" t="s">
        <v>2602</v>
      </c>
      <c r="B1455" t="s">
        <v>2536</v>
      </c>
      <c r="C1455" t="s">
        <v>2603</v>
      </c>
    </row>
    <row r="1456" spans="1:3" x14ac:dyDescent="0.25">
      <c r="A1456" t="s">
        <v>446</v>
      </c>
      <c r="B1456" t="s">
        <v>2536</v>
      </c>
      <c r="C1456" t="s">
        <v>2604</v>
      </c>
    </row>
    <row r="1457" spans="1:3" x14ac:dyDescent="0.25">
      <c r="A1457" t="s">
        <v>2605</v>
      </c>
      <c r="B1457" t="s">
        <v>2536</v>
      </c>
      <c r="C1457" t="s">
        <v>2606</v>
      </c>
    </row>
    <row r="1458" spans="1:3" x14ac:dyDescent="0.25">
      <c r="A1458" t="s">
        <v>2607</v>
      </c>
      <c r="B1458" t="s">
        <v>2536</v>
      </c>
      <c r="C1458" t="s">
        <v>2608</v>
      </c>
    </row>
    <row r="1459" spans="1:3" x14ac:dyDescent="0.25">
      <c r="A1459" t="s">
        <v>2609</v>
      </c>
      <c r="B1459" t="s">
        <v>2536</v>
      </c>
      <c r="C1459" t="s">
        <v>2610</v>
      </c>
    </row>
    <row r="1460" spans="1:3" x14ac:dyDescent="0.25">
      <c r="A1460" t="s">
        <v>2611</v>
      </c>
      <c r="B1460" t="s">
        <v>2536</v>
      </c>
      <c r="C1460" t="s">
        <v>2612</v>
      </c>
    </row>
    <row r="1461" spans="1:3" x14ac:dyDescent="0.25">
      <c r="A1461" t="s">
        <v>237</v>
      </c>
      <c r="B1461" t="s">
        <v>2536</v>
      </c>
      <c r="C1461" t="s">
        <v>2613</v>
      </c>
    </row>
    <row r="1462" spans="1:3" x14ac:dyDescent="0.25">
      <c r="A1462" t="s">
        <v>241</v>
      </c>
      <c r="B1462" t="s">
        <v>2536</v>
      </c>
      <c r="C1462" t="s">
        <v>2614</v>
      </c>
    </row>
    <row r="1463" spans="1:3" x14ac:dyDescent="0.25">
      <c r="A1463" t="s">
        <v>2615</v>
      </c>
      <c r="B1463" t="s">
        <v>2536</v>
      </c>
      <c r="C1463" t="s">
        <v>2616</v>
      </c>
    </row>
    <row r="1464" spans="1:3" x14ac:dyDescent="0.25">
      <c r="A1464" t="s">
        <v>2617</v>
      </c>
      <c r="B1464" t="s">
        <v>2536</v>
      </c>
      <c r="C1464" t="s">
        <v>2618</v>
      </c>
    </row>
    <row r="1465" spans="1:3" x14ac:dyDescent="0.25">
      <c r="A1465" t="s">
        <v>1072</v>
      </c>
      <c r="B1465" t="s">
        <v>2536</v>
      </c>
      <c r="C1465" t="s">
        <v>2619</v>
      </c>
    </row>
    <row r="1466" spans="1:3" x14ac:dyDescent="0.25">
      <c r="A1466" t="s">
        <v>2620</v>
      </c>
      <c r="B1466" t="s">
        <v>2536</v>
      </c>
      <c r="C1466" t="s">
        <v>2621</v>
      </c>
    </row>
    <row r="1467" spans="1:3" x14ac:dyDescent="0.25">
      <c r="A1467" t="s">
        <v>469</v>
      </c>
      <c r="B1467" t="s">
        <v>2536</v>
      </c>
      <c r="C1467" t="s">
        <v>2622</v>
      </c>
    </row>
    <row r="1468" spans="1:3" x14ac:dyDescent="0.25">
      <c r="A1468" t="s">
        <v>2623</v>
      </c>
      <c r="B1468" t="s">
        <v>2536</v>
      </c>
      <c r="C1468" t="s">
        <v>2624</v>
      </c>
    </row>
    <row r="1469" spans="1:3" x14ac:dyDescent="0.25">
      <c r="A1469" t="s">
        <v>2008</v>
      </c>
      <c r="B1469" t="s">
        <v>2536</v>
      </c>
      <c r="C1469" t="s">
        <v>2625</v>
      </c>
    </row>
    <row r="1470" spans="1:3" x14ac:dyDescent="0.25">
      <c r="A1470" t="s">
        <v>1824</v>
      </c>
      <c r="B1470" t="s">
        <v>2536</v>
      </c>
      <c r="C1470" t="s">
        <v>2626</v>
      </c>
    </row>
    <row r="1471" spans="1:3" x14ac:dyDescent="0.25">
      <c r="A1471" t="s">
        <v>479</v>
      </c>
      <c r="B1471" t="s">
        <v>2536</v>
      </c>
      <c r="C1471" t="s">
        <v>2627</v>
      </c>
    </row>
    <row r="1472" spans="1:3" x14ac:dyDescent="0.25">
      <c r="A1472" t="s">
        <v>2628</v>
      </c>
      <c r="B1472" t="s">
        <v>2536</v>
      </c>
      <c r="C1472" t="s">
        <v>2629</v>
      </c>
    </row>
    <row r="1473" spans="1:3" x14ac:dyDescent="0.25">
      <c r="A1473" t="s">
        <v>2630</v>
      </c>
      <c r="B1473" t="s">
        <v>2536</v>
      </c>
      <c r="C1473" t="s">
        <v>2631</v>
      </c>
    </row>
    <row r="1474" spans="1:3" x14ac:dyDescent="0.25">
      <c r="A1474" t="s">
        <v>2632</v>
      </c>
      <c r="B1474" t="s">
        <v>2536</v>
      </c>
      <c r="C1474" t="s">
        <v>2633</v>
      </c>
    </row>
    <row r="1475" spans="1:3" x14ac:dyDescent="0.25">
      <c r="A1475" t="s">
        <v>2634</v>
      </c>
      <c r="B1475" t="s">
        <v>2536</v>
      </c>
      <c r="C1475" t="s">
        <v>2635</v>
      </c>
    </row>
    <row r="1476" spans="1:3" x14ac:dyDescent="0.25">
      <c r="A1476" t="s">
        <v>2636</v>
      </c>
      <c r="B1476" t="s">
        <v>2536</v>
      </c>
      <c r="C1476" t="s">
        <v>2637</v>
      </c>
    </row>
    <row r="1477" spans="1:3" x14ac:dyDescent="0.25">
      <c r="A1477" t="s">
        <v>2638</v>
      </c>
      <c r="B1477" t="s">
        <v>2536</v>
      </c>
      <c r="C1477" t="s">
        <v>2639</v>
      </c>
    </row>
    <row r="1478" spans="1:3" x14ac:dyDescent="0.25">
      <c r="A1478" t="s">
        <v>481</v>
      </c>
      <c r="B1478" t="s">
        <v>2536</v>
      </c>
      <c r="C1478" t="s">
        <v>2640</v>
      </c>
    </row>
    <row r="1479" spans="1:3" x14ac:dyDescent="0.25">
      <c r="A1479" t="s">
        <v>2641</v>
      </c>
      <c r="B1479" t="s">
        <v>2536</v>
      </c>
      <c r="C1479" t="s">
        <v>2642</v>
      </c>
    </row>
    <row r="1480" spans="1:3" x14ac:dyDescent="0.25">
      <c r="A1480" t="s">
        <v>1127</v>
      </c>
      <c r="B1480" t="s">
        <v>2536</v>
      </c>
      <c r="C1480" t="s">
        <v>2643</v>
      </c>
    </row>
    <row r="1481" spans="1:3" x14ac:dyDescent="0.25">
      <c r="A1481" t="s">
        <v>261</v>
      </c>
      <c r="B1481" t="s">
        <v>2536</v>
      </c>
      <c r="C1481" t="s">
        <v>2644</v>
      </c>
    </row>
    <row r="1482" spans="1:3" x14ac:dyDescent="0.25">
      <c r="A1482" t="s">
        <v>1130</v>
      </c>
      <c r="B1482" t="s">
        <v>2536</v>
      </c>
      <c r="C1482" t="s">
        <v>2645</v>
      </c>
    </row>
    <row r="1483" spans="1:3" x14ac:dyDescent="0.25">
      <c r="A1483" t="s">
        <v>1132</v>
      </c>
      <c r="B1483" t="s">
        <v>2536</v>
      </c>
      <c r="C1483" t="s">
        <v>2646</v>
      </c>
    </row>
    <row r="1484" spans="1:3" x14ac:dyDescent="0.25">
      <c r="A1484" t="s">
        <v>1142</v>
      </c>
      <c r="B1484" t="s">
        <v>2536</v>
      </c>
      <c r="C1484" t="s">
        <v>2647</v>
      </c>
    </row>
    <row r="1485" spans="1:3" x14ac:dyDescent="0.25">
      <c r="A1485" t="s">
        <v>265</v>
      </c>
      <c r="B1485" t="s">
        <v>2536</v>
      </c>
      <c r="C1485" t="s">
        <v>2648</v>
      </c>
    </row>
    <row r="1486" spans="1:3" x14ac:dyDescent="0.25">
      <c r="A1486" t="s">
        <v>2649</v>
      </c>
      <c r="B1486" t="s">
        <v>2536</v>
      </c>
      <c r="C1486" t="s">
        <v>2650</v>
      </c>
    </row>
    <row r="1487" spans="1:3" x14ac:dyDescent="0.25">
      <c r="A1487" t="s">
        <v>2651</v>
      </c>
      <c r="B1487" t="s">
        <v>2536</v>
      </c>
      <c r="C1487" t="s">
        <v>2652</v>
      </c>
    </row>
    <row r="1488" spans="1:3" x14ac:dyDescent="0.25">
      <c r="A1488" t="s">
        <v>1531</v>
      </c>
      <c r="B1488" t="s">
        <v>2654</v>
      </c>
      <c r="C1488" t="s">
        <v>2655</v>
      </c>
    </row>
    <row r="1489" spans="1:3" x14ac:dyDescent="0.25">
      <c r="A1489" t="s">
        <v>2656</v>
      </c>
      <c r="B1489" t="s">
        <v>2654</v>
      </c>
      <c r="C1489" t="s">
        <v>2657</v>
      </c>
    </row>
    <row r="1490" spans="1:3" x14ac:dyDescent="0.25">
      <c r="A1490" t="s">
        <v>1681</v>
      </c>
      <c r="B1490" t="s">
        <v>2654</v>
      </c>
      <c r="C1490" t="s">
        <v>2658</v>
      </c>
    </row>
    <row r="1491" spans="1:3" x14ac:dyDescent="0.25">
      <c r="A1491" t="s">
        <v>2659</v>
      </c>
      <c r="B1491" t="s">
        <v>2654</v>
      </c>
      <c r="C1491" t="s">
        <v>2660</v>
      </c>
    </row>
    <row r="1492" spans="1:3" x14ac:dyDescent="0.25">
      <c r="A1492" t="s">
        <v>2254</v>
      </c>
      <c r="B1492" t="s">
        <v>2654</v>
      </c>
      <c r="C1492" t="s">
        <v>2661</v>
      </c>
    </row>
    <row r="1493" spans="1:3" x14ac:dyDescent="0.25">
      <c r="A1493" t="s">
        <v>1685</v>
      </c>
      <c r="B1493" t="s">
        <v>2654</v>
      </c>
      <c r="C1493" t="s">
        <v>2662</v>
      </c>
    </row>
    <row r="1494" spans="1:3" x14ac:dyDescent="0.25">
      <c r="A1494" t="s">
        <v>2663</v>
      </c>
      <c r="B1494" t="s">
        <v>2654</v>
      </c>
      <c r="C1494" t="s">
        <v>2664</v>
      </c>
    </row>
    <row r="1495" spans="1:3" x14ac:dyDescent="0.25">
      <c r="A1495" t="s">
        <v>366</v>
      </c>
      <c r="B1495" t="s">
        <v>2654</v>
      </c>
      <c r="C1495" t="s">
        <v>2665</v>
      </c>
    </row>
    <row r="1496" spans="1:3" x14ac:dyDescent="0.25">
      <c r="A1496" t="s">
        <v>2666</v>
      </c>
      <c r="B1496" t="s">
        <v>2654</v>
      </c>
      <c r="C1496" t="s">
        <v>2667</v>
      </c>
    </row>
    <row r="1497" spans="1:3" x14ac:dyDescent="0.25">
      <c r="A1497" t="s">
        <v>368</v>
      </c>
      <c r="B1497" t="s">
        <v>2654</v>
      </c>
      <c r="C1497" t="s">
        <v>2668</v>
      </c>
    </row>
    <row r="1498" spans="1:3" x14ac:dyDescent="0.25">
      <c r="A1498" t="s">
        <v>1547</v>
      </c>
      <c r="B1498" t="s">
        <v>2654</v>
      </c>
      <c r="C1498" t="s">
        <v>2669</v>
      </c>
    </row>
    <row r="1499" spans="1:3" x14ac:dyDescent="0.25">
      <c r="A1499" t="s">
        <v>145</v>
      </c>
      <c r="B1499" t="s">
        <v>2654</v>
      </c>
      <c r="C1499" t="s">
        <v>2670</v>
      </c>
    </row>
    <row r="1500" spans="1:3" x14ac:dyDescent="0.25">
      <c r="A1500" t="s">
        <v>1878</v>
      </c>
      <c r="B1500" t="s">
        <v>2654</v>
      </c>
      <c r="C1500" t="s">
        <v>2671</v>
      </c>
    </row>
    <row r="1501" spans="1:3" x14ac:dyDescent="0.25">
      <c r="A1501" t="s">
        <v>2672</v>
      </c>
      <c r="B1501" t="s">
        <v>2654</v>
      </c>
      <c r="C1501" t="s">
        <v>2673</v>
      </c>
    </row>
    <row r="1502" spans="1:3" x14ac:dyDescent="0.25">
      <c r="A1502" t="s">
        <v>913</v>
      </c>
      <c r="B1502" t="s">
        <v>2654</v>
      </c>
      <c r="C1502" t="s">
        <v>2674</v>
      </c>
    </row>
    <row r="1503" spans="1:3" x14ac:dyDescent="0.25">
      <c r="A1503" t="s">
        <v>2675</v>
      </c>
      <c r="B1503" t="s">
        <v>2654</v>
      </c>
      <c r="C1503" t="s">
        <v>2676</v>
      </c>
    </row>
    <row r="1504" spans="1:3" x14ac:dyDescent="0.25">
      <c r="A1504" t="s">
        <v>373</v>
      </c>
      <c r="B1504" t="s">
        <v>2654</v>
      </c>
      <c r="C1504" t="s">
        <v>2677</v>
      </c>
    </row>
    <row r="1505" spans="1:3" x14ac:dyDescent="0.25">
      <c r="A1505" t="s">
        <v>1887</v>
      </c>
      <c r="B1505" t="s">
        <v>2654</v>
      </c>
      <c r="C1505" t="s">
        <v>2678</v>
      </c>
    </row>
    <row r="1506" spans="1:3" x14ac:dyDescent="0.25">
      <c r="A1506" t="s">
        <v>1251</v>
      </c>
      <c r="B1506" t="s">
        <v>2654</v>
      </c>
      <c r="C1506" t="s">
        <v>2679</v>
      </c>
    </row>
    <row r="1507" spans="1:3" x14ac:dyDescent="0.25">
      <c r="A1507" t="s">
        <v>1555</v>
      </c>
      <c r="B1507" t="s">
        <v>2654</v>
      </c>
      <c r="C1507" t="s">
        <v>2680</v>
      </c>
    </row>
    <row r="1508" spans="1:3" x14ac:dyDescent="0.25">
      <c r="A1508" t="s">
        <v>2681</v>
      </c>
      <c r="B1508" t="s">
        <v>2654</v>
      </c>
      <c r="C1508" t="s">
        <v>2682</v>
      </c>
    </row>
    <row r="1509" spans="1:3" x14ac:dyDescent="0.25">
      <c r="A1509" t="s">
        <v>1255</v>
      </c>
      <c r="B1509" t="s">
        <v>2654</v>
      </c>
      <c r="C1509" t="s">
        <v>2683</v>
      </c>
    </row>
    <row r="1510" spans="1:3" x14ac:dyDescent="0.25">
      <c r="A1510" t="s">
        <v>377</v>
      </c>
      <c r="B1510" t="s">
        <v>2654</v>
      </c>
      <c r="C1510" t="s">
        <v>2684</v>
      </c>
    </row>
    <row r="1511" spans="1:3" x14ac:dyDescent="0.25">
      <c r="A1511" t="s">
        <v>159</v>
      </c>
      <c r="B1511" t="s">
        <v>2654</v>
      </c>
      <c r="C1511" t="s">
        <v>2685</v>
      </c>
    </row>
    <row r="1512" spans="1:3" x14ac:dyDescent="0.25">
      <c r="A1512" t="s">
        <v>1259</v>
      </c>
      <c r="B1512" t="s">
        <v>2654</v>
      </c>
      <c r="C1512" t="s">
        <v>2686</v>
      </c>
    </row>
    <row r="1513" spans="1:3" x14ac:dyDescent="0.25">
      <c r="A1513" t="s">
        <v>2687</v>
      </c>
      <c r="B1513" t="s">
        <v>2654</v>
      </c>
      <c r="C1513" t="s">
        <v>2688</v>
      </c>
    </row>
    <row r="1514" spans="1:3" x14ac:dyDescent="0.25">
      <c r="A1514" t="s">
        <v>2689</v>
      </c>
      <c r="B1514" t="s">
        <v>2654</v>
      </c>
      <c r="C1514" t="s">
        <v>2690</v>
      </c>
    </row>
    <row r="1515" spans="1:3" x14ac:dyDescent="0.25">
      <c r="A1515" t="s">
        <v>389</v>
      </c>
      <c r="B1515" t="s">
        <v>2654</v>
      </c>
      <c r="C1515" t="s">
        <v>2691</v>
      </c>
    </row>
    <row r="1516" spans="1:3" x14ac:dyDescent="0.25">
      <c r="A1516" t="s">
        <v>948</v>
      </c>
      <c r="B1516" t="s">
        <v>2654</v>
      </c>
      <c r="C1516" t="s">
        <v>2692</v>
      </c>
    </row>
    <row r="1517" spans="1:3" x14ac:dyDescent="0.25">
      <c r="A1517" t="s">
        <v>179</v>
      </c>
      <c r="B1517" t="s">
        <v>2654</v>
      </c>
      <c r="C1517" t="s">
        <v>2693</v>
      </c>
    </row>
    <row r="1518" spans="1:3" x14ac:dyDescent="0.25">
      <c r="A1518" t="s">
        <v>1413</v>
      </c>
      <c r="B1518" t="s">
        <v>2654</v>
      </c>
      <c r="C1518" t="s">
        <v>2694</v>
      </c>
    </row>
    <row r="1519" spans="1:3" x14ac:dyDescent="0.25">
      <c r="A1519" t="s">
        <v>181</v>
      </c>
      <c r="B1519" t="s">
        <v>2654</v>
      </c>
      <c r="C1519" t="s">
        <v>2695</v>
      </c>
    </row>
    <row r="1520" spans="1:3" x14ac:dyDescent="0.25">
      <c r="A1520" t="s">
        <v>2696</v>
      </c>
      <c r="B1520" t="s">
        <v>2654</v>
      </c>
      <c r="C1520" t="s">
        <v>2697</v>
      </c>
    </row>
    <row r="1521" spans="1:3" x14ac:dyDescent="0.25">
      <c r="A1521" t="s">
        <v>646</v>
      </c>
      <c r="B1521" t="s">
        <v>2654</v>
      </c>
      <c r="C1521" t="s">
        <v>2698</v>
      </c>
    </row>
    <row r="1522" spans="1:3" x14ac:dyDescent="0.25">
      <c r="A1522" t="s">
        <v>2699</v>
      </c>
      <c r="B1522" t="s">
        <v>2654</v>
      </c>
      <c r="C1522" t="s">
        <v>2700</v>
      </c>
    </row>
    <row r="1523" spans="1:3" x14ac:dyDescent="0.25">
      <c r="A1523" t="s">
        <v>191</v>
      </c>
      <c r="B1523" t="s">
        <v>2654</v>
      </c>
      <c r="C1523" t="s">
        <v>2701</v>
      </c>
    </row>
    <row r="1524" spans="1:3" x14ac:dyDescent="0.25">
      <c r="A1524" t="s">
        <v>2702</v>
      </c>
      <c r="B1524" t="s">
        <v>2654</v>
      </c>
      <c r="C1524" t="s">
        <v>2703</v>
      </c>
    </row>
    <row r="1525" spans="1:3" x14ac:dyDescent="0.25">
      <c r="A1525" t="s">
        <v>2704</v>
      </c>
      <c r="B1525" t="s">
        <v>2654</v>
      </c>
      <c r="C1525" t="s">
        <v>2705</v>
      </c>
    </row>
    <row r="1526" spans="1:3" x14ac:dyDescent="0.25">
      <c r="A1526" t="s">
        <v>195</v>
      </c>
      <c r="B1526" t="s">
        <v>2654</v>
      </c>
      <c r="C1526" t="s">
        <v>2706</v>
      </c>
    </row>
    <row r="1527" spans="1:3" x14ac:dyDescent="0.25">
      <c r="A1527" t="s">
        <v>1286</v>
      </c>
      <c r="B1527" t="s">
        <v>2654</v>
      </c>
      <c r="C1527" t="s">
        <v>2707</v>
      </c>
    </row>
    <row r="1528" spans="1:3" x14ac:dyDescent="0.25">
      <c r="A1528" t="s">
        <v>1437</v>
      </c>
      <c r="B1528" t="s">
        <v>2654</v>
      </c>
      <c r="C1528" t="s">
        <v>2708</v>
      </c>
    </row>
    <row r="1529" spans="1:3" x14ac:dyDescent="0.25">
      <c r="A1529" t="s">
        <v>199</v>
      </c>
      <c r="B1529" t="s">
        <v>2654</v>
      </c>
      <c r="C1529" t="s">
        <v>2709</v>
      </c>
    </row>
    <row r="1530" spans="1:3" x14ac:dyDescent="0.25">
      <c r="A1530" t="s">
        <v>2710</v>
      </c>
      <c r="B1530" t="s">
        <v>2654</v>
      </c>
      <c r="C1530" t="s">
        <v>2711</v>
      </c>
    </row>
    <row r="1531" spans="1:3" x14ac:dyDescent="0.25">
      <c r="A1531" t="s">
        <v>2712</v>
      </c>
      <c r="B1531" t="s">
        <v>2654</v>
      </c>
      <c r="C1531" t="s">
        <v>2713</v>
      </c>
    </row>
    <row r="1532" spans="1:3" x14ac:dyDescent="0.25">
      <c r="A1532" t="s">
        <v>414</v>
      </c>
      <c r="B1532" t="s">
        <v>2654</v>
      </c>
      <c r="C1532" t="s">
        <v>2714</v>
      </c>
    </row>
    <row r="1533" spans="1:3" x14ac:dyDescent="0.25">
      <c r="A1533" t="s">
        <v>2715</v>
      </c>
      <c r="B1533" t="s">
        <v>2654</v>
      </c>
      <c r="C1533" t="s">
        <v>2716</v>
      </c>
    </row>
    <row r="1534" spans="1:3" x14ac:dyDescent="0.25">
      <c r="A1534" t="s">
        <v>2301</v>
      </c>
      <c r="B1534" t="s">
        <v>2654</v>
      </c>
      <c r="C1534" t="s">
        <v>2717</v>
      </c>
    </row>
    <row r="1535" spans="1:3" x14ac:dyDescent="0.25">
      <c r="A1535" t="s">
        <v>203</v>
      </c>
      <c r="B1535" t="s">
        <v>2654</v>
      </c>
      <c r="C1535" t="s">
        <v>2718</v>
      </c>
    </row>
    <row r="1536" spans="1:3" x14ac:dyDescent="0.25">
      <c r="A1536" t="s">
        <v>1014</v>
      </c>
      <c r="B1536" t="s">
        <v>2654</v>
      </c>
      <c r="C1536" t="s">
        <v>2719</v>
      </c>
    </row>
    <row r="1537" spans="1:3" x14ac:dyDescent="0.25">
      <c r="A1537" t="s">
        <v>205</v>
      </c>
      <c r="B1537" t="s">
        <v>2654</v>
      </c>
      <c r="C1537" t="s">
        <v>2720</v>
      </c>
    </row>
    <row r="1538" spans="1:3" x14ac:dyDescent="0.25">
      <c r="A1538" t="s">
        <v>422</v>
      </c>
      <c r="B1538" t="s">
        <v>2654</v>
      </c>
      <c r="C1538" t="s">
        <v>2721</v>
      </c>
    </row>
    <row r="1539" spans="1:3" x14ac:dyDescent="0.25">
      <c r="A1539" t="s">
        <v>1311</v>
      </c>
      <c r="B1539" t="s">
        <v>2654</v>
      </c>
      <c r="C1539" t="s">
        <v>2722</v>
      </c>
    </row>
    <row r="1540" spans="1:3" x14ac:dyDescent="0.25">
      <c r="A1540" t="s">
        <v>2723</v>
      </c>
      <c r="B1540" t="s">
        <v>2654</v>
      </c>
      <c r="C1540" t="s">
        <v>2724</v>
      </c>
    </row>
    <row r="1541" spans="1:3" x14ac:dyDescent="0.25">
      <c r="A1541" t="s">
        <v>424</v>
      </c>
      <c r="B1541" t="s">
        <v>2654</v>
      </c>
      <c r="C1541" t="s">
        <v>2725</v>
      </c>
    </row>
    <row r="1542" spans="1:3" x14ac:dyDescent="0.25">
      <c r="A1542" t="s">
        <v>211</v>
      </c>
      <c r="B1542" t="s">
        <v>2654</v>
      </c>
      <c r="C1542" t="s">
        <v>2726</v>
      </c>
    </row>
    <row r="1543" spans="1:3" x14ac:dyDescent="0.25">
      <c r="A1543" t="s">
        <v>1212</v>
      </c>
      <c r="B1543" t="s">
        <v>2654</v>
      </c>
      <c r="C1543" t="s">
        <v>2727</v>
      </c>
    </row>
    <row r="1544" spans="1:3" x14ac:dyDescent="0.25">
      <c r="A1544" t="s">
        <v>428</v>
      </c>
      <c r="B1544" t="s">
        <v>2654</v>
      </c>
      <c r="C1544" t="s">
        <v>2728</v>
      </c>
    </row>
    <row r="1545" spans="1:3" x14ac:dyDescent="0.25">
      <c r="A1545" t="s">
        <v>1609</v>
      </c>
      <c r="B1545" t="s">
        <v>2654</v>
      </c>
      <c r="C1545" t="s">
        <v>2729</v>
      </c>
    </row>
    <row r="1546" spans="1:3" x14ac:dyDescent="0.25">
      <c r="A1546" t="s">
        <v>1318</v>
      </c>
      <c r="B1546" t="s">
        <v>2654</v>
      </c>
      <c r="C1546" t="s">
        <v>2730</v>
      </c>
    </row>
    <row r="1547" spans="1:3" x14ac:dyDescent="0.25">
      <c r="A1547" t="s">
        <v>2731</v>
      </c>
      <c r="B1547" t="s">
        <v>2654</v>
      </c>
      <c r="C1547" t="s">
        <v>2732</v>
      </c>
    </row>
    <row r="1548" spans="1:3" x14ac:dyDescent="0.25">
      <c r="A1548" t="s">
        <v>219</v>
      </c>
      <c r="B1548" t="s">
        <v>2654</v>
      </c>
      <c r="C1548" t="s">
        <v>2733</v>
      </c>
    </row>
    <row r="1549" spans="1:3" x14ac:dyDescent="0.25">
      <c r="A1549" t="s">
        <v>221</v>
      </c>
      <c r="B1549" t="s">
        <v>2654</v>
      </c>
      <c r="C1549" t="s">
        <v>2734</v>
      </c>
    </row>
    <row r="1550" spans="1:3" x14ac:dyDescent="0.25">
      <c r="A1550" t="s">
        <v>2735</v>
      </c>
      <c r="B1550" t="s">
        <v>2654</v>
      </c>
      <c r="C1550" t="s">
        <v>2736</v>
      </c>
    </row>
    <row r="1551" spans="1:3" x14ac:dyDescent="0.25">
      <c r="A1551" t="s">
        <v>225</v>
      </c>
      <c r="B1551" t="s">
        <v>2654</v>
      </c>
      <c r="C1551" t="s">
        <v>2737</v>
      </c>
    </row>
    <row r="1552" spans="1:3" x14ac:dyDescent="0.25">
      <c r="A1552" t="s">
        <v>1339</v>
      </c>
      <c r="B1552" t="s">
        <v>2654</v>
      </c>
      <c r="C1552" t="s">
        <v>2738</v>
      </c>
    </row>
    <row r="1553" spans="1:3" x14ac:dyDescent="0.25">
      <c r="A1553" t="s">
        <v>438</v>
      </c>
      <c r="B1553" t="s">
        <v>2654</v>
      </c>
      <c r="C1553" t="s">
        <v>2739</v>
      </c>
    </row>
    <row r="1554" spans="1:3" x14ac:dyDescent="0.25">
      <c r="A1554" t="s">
        <v>440</v>
      </c>
      <c r="B1554" t="s">
        <v>2654</v>
      </c>
      <c r="C1554" t="s">
        <v>2740</v>
      </c>
    </row>
    <row r="1555" spans="1:3" x14ac:dyDescent="0.25">
      <c r="A1555" t="s">
        <v>2741</v>
      </c>
      <c r="B1555" t="s">
        <v>2654</v>
      </c>
      <c r="C1555" t="s">
        <v>2742</v>
      </c>
    </row>
    <row r="1556" spans="1:3" x14ac:dyDescent="0.25">
      <c r="A1556" t="s">
        <v>231</v>
      </c>
      <c r="B1556" t="s">
        <v>2654</v>
      </c>
      <c r="C1556" t="s">
        <v>2743</v>
      </c>
    </row>
    <row r="1557" spans="1:3" x14ac:dyDescent="0.25">
      <c r="A1557" t="s">
        <v>233</v>
      </c>
      <c r="B1557" t="s">
        <v>2654</v>
      </c>
      <c r="C1557" t="s">
        <v>2744</v>
      </c>
    </row>
    <row r="1558" spans="1:3" x14ac:dyDescent="0.25">
      <c r="A1558" t="s">
        <v>235</v>
      </c>
      <c r="B1558" t="s">
        <v>2654</v>
      </c>
      <c r="C1558" t="s">
        <v>2745</v>
      </c>
    </row>
    <row r="1559" spans="1:3" x14ac:dyDescent="0.25">
      <c r="A1559" t="s">
        <v>2746</v>
      </c>
      <c r="B1559" t="s">
        <v>2654</v>
      </c>
      <c r="C1559" t="s">
        <v>2747</v>
      </c>
    </row>
    <row r="1560" spans="1:3" x14ac:dyDescent="0.25">
      <c r="A1560" t="s">
        <v>446</v>
      </c>
      <c r="B1560" t="s">
        <v>2654</v>
      </c>
      <c r="C1560" t="s">
        <v>2748</v>
      </c>
    </row>
    <row r="1561" spans="1:3" x14ac:dyDescent="0.25">
      <c r="A1561" t="s">
        <v>2749</v>
      </c>
      <c r="B1561" t="s">
        <v>2654</v>
      </c>
      <c r="C1561" t="s">
        <v>2750</v>
      </c>
    </row>
    <row r="1562" spans="1:3" x14ac:dyDescent="0.25">
      <c r="A1562" t="s">
        <v>2751</v>
      </c>
      <c r="B1562" t="s">
        <v>2654</v>
      </c>
      <c r="C1562" t="s">
        <v>2752</v>
      </c>
    </row>
    <row r="1563" spans="1:3" x14ac:dyDescent="0.25">
      <c r="A1563" t="s">
        <v>1786</v>
      </c>
      <c r="B1563" t="s">
        <v>2654</v>
      </c>
      <c r="C1563" t="s">
        <v>2753</v>
      </c>
    </row>
    <row r="1564" spans="1:3" x14ac:dyDescent="0.25">
      <c r="A1564" t="s">
        <v>2754</v>
      </c>
      <c r="B1564" t="s">
        <v>2654</v>
      </c>
      <c r="C1564" t="s">
        <v>2755</v>
      </c>
    </row>
    <row r="1565" spans="1:3" x14ac:dyDescent="0.25">
      <c r="A1565" t="s">
        <v>2756</v>
      </c>
      <c r="B1565" t="s">
        <v>2654</v>
      </c>
      <c r="C1565" t="s">
        <v>2757</v>
      </c>
    </row>
    <row r="1566" spans="1:3" x14ac:dyDescent="0.25">
      <c r="A1566" t="s">
        <v>237</v>
      </c>
      <c r="B1566" t="s">
        <v>2654</v>
      </c>
      <c r="C1566" t="s">
        <v>2758</v>
      </c>
    </row>
    <row r="1567" spans="1:3" x14ac:dyDescent="0.25">
      <c r="A1567" t="s">
        <v>2759</v>
      </c>
      <c r="B1567" t="s">
        <v>2654</v>
      </c>
      <c r="C1567" t="s">
        <v>2760</v>
      </c>
    </row>
    <row r="1568" spans="1:3" x14ac:dyDescent="0.25">
      <c r="A1568" t="s">
        <v>2761</v>
      </c>
      <c r="B1568" t="s">
        <v>2654</v>
      </c>
      <c r="C1568" t="s">
        <v>2762</v>
      </c>
    </row>
    <row r="1569" spans="1:3" x14ac:dyDescent="0.25">
      <c r="A1569" t="s">
        <v>241</v>
      </c>
      <c r="B1569" t="s">
        <v>2654</v>
      </c>
      <c r="C1569" t="s">
        <v>2763</v>
      </c>
    </row>
    <row r="1570" spans="1:3" x14ac:dyDescent="0.25">
      <c r="A1570" t="s">
        <v>2764</v>
      </c>
      <c r="B1570" t="s">
        <v>2654</v>
      </c>
      <c r="C1570" t="s">
        <v>2765</v>
      </c>
    </row>
    <row r="1571" spans="1:3" x14ac:dyDescent="0.25">
      <c r="A1571" t="s">
        <v>456</v>
      </c>
      <c r="B1571" t="s">
        <v>2654</v>
      </c>
      <c r="C1571" t="s">
        <v>2766</v>
      </c>
    </row>
    <row r="1572" spans="1:3" x14ac:dyDescent="0.25">
      <c r="A1572" t="s">
        <v>462</v>
      </c>
      <c r="B1572" t="s">
        <v>2654</v>
      </c>
      <c r="C1572" t="s">
        <v>2767</v>
      </c>
    </row>
    <row r="1573" spans="1:3" x14ac:dyDescent="0.25">
      <c r="A1573" t="s">
        <v>851</v>
      </c>
      <c r="B1573" t="s">
        <v>2654</v>
      </c>
      <c r="C1573" t="s">
        <v>2768</v>
      </c>
    </row>
    <row r="1574" spans="1:3" x14ac:dyDescent="0.25">
      <c r="A1574" t="s">
        <v>2769</v>
      </c>
      <c r="B1574" t="s">
        <v>2654</v>
      </c>
      <c r="C1574" t="s">
        <v>2770</v>
      </c>
    </row>
    <row r="1575" spans="1:3" x14ac:dyDescent="0.25">
      <c r="A1575" t="s">
        <v>243</v>
      </c>
      <c r="B1575" t="s">
        <v>2654</v>
      </c>
      <c r="C1575" t="s">
        <v>2771</v>
      </c>
    </row>
    <row r="1576" spans="1:3" x14ac:dyDescent="0.25">
      <c r="A1576" t="s">
        <v>2772</v>
      </c>
      <c r="B1576" t="s">
        <v>2654</v>
      </c>
      <c r="C1576" t="s">
        <v>2773</v>
      </c>
    </row>
    <row r="1577" spans="1:3" x14ac:dyDescent="0.25">
      <c r="A1577" t="s">
        <v>2774</v>
      </c>
      <c r="B1577" t="s">
        <v>2654</v>
      </c>
      <c r="C1577" t="s">
        <v>2775</v>
      </c>
    </row>
    <row r="1578" spans="1:3" x14ac:dyDescent="0.25">
      <c r="A1578" t="s">
        <v>1490</v>
      </c>
      <c r="B1578" t="s">
        <v>2654</v>
      </c>
      <c r="C1578" t="s">
        <v>2776</v>
      </c>
    </row>
    <row r="1579" spans="1:3" x14ac:dyDescent="0.25">
      <c r="A1579" t="s">
        <v>2105</v>
      </c>
      <c r="B1579" t="s">
        <v>2654</v>
      </c>
      <c r="C1579" t="s">
        <v>2777</v>
      </c>
    </row>
    <row r="1580" spans="1:3" x14ac:dyDescent="0.25">
      <c r="A1580" t="s">
        <v>247</v>
      </c>
      <c r="B1580" t="s">
        <v>2654</v>
      </c>
      <c r="C1580" t="s">
        <v>2778</v>
      </c>
    </row>
    <row r="1581" spans="1:3" x14ac:dyDescent="0.25">
      <c r="A1581" t="s">
        <v>2779</v>
      </c>
      <c r="B1581" t="s">
        <v>2654</v>
      </c>
      <c r="C1581" t="s">
        <v>2780</v>
      </c>
    </row>
    <row r="1582" spans="1:3" x14ac:dyDescent="0.25">
      <c r="A1582" t="s">
        <v>2781</v>
      </c>
      <c r="B1582" t="s">
        <v>2654</v>
      </c>
      <c r="C1582" t="s">
        <v>2782</v>
      </c>
    </row>
    <row r="1583" spans="1:3" x14ac:dyDescent="0.25">
      <c r="A1583" t="s">
        <v>2502</v>
      </c>
      <c r="B1583" t="s">
        <v>2654</v>
      </c>
      <c r="C1583" t="s">
        <v>2783</v>
      </c>
    </row>
    <row r="1584" spans="1:3" x14ac:dyDescent="0.25">
      <c r="A1584" t="s">
        <v>467</v>
      </c>
      <c r="B1584" t="s">
        <v>2654</v>
      </c>
      <c r="C1584" t="s">
        <v>2784</v>
      </c>
    </row>
    <row r="1585" spans="1:3" x14ac:dyDescent="0.25">
      <c r="A1585" t="s">
        <v>1366</v>
      </c>
      <c r="B1585" t="s">
        <v>2654</v>
      </c>
      <c r="C1585" t="s">
        <v>2785</v>
      </c>
    </row>
    <row r="1586" spans="1:3" x14ac:dyDescent="0.25">
      <c r="A1586" t="s">
        <v>2786</v>
      </c>
      <c r="B1586" t="s">
        <v>2654</v>
      </c>
      <c r="C1586" t="s">
        <v>2787</v>
      </c>
    </row>
    <row r="1587" spans="1:3" x14ac:dyDescent="0.25">
      <c r="A1587" t="s">
        <v>469</v>
      </c>
      <c r="B1587" t="s">
        <v>2654</v>
      </c>
      <c r="C1587" t="s">
        <v>2788</v>
      </c>
    </row>
    <row r="1588" spans="1:3" x14ac:dyDescent="0.25">
      <c r="A1588" t="s">
        <v>2789</v>
      </c>
      <c r="B1588" t="s">
        <v>2654</v>
      </c>
      <c r="C1588" t="s">
        <v>2790</v>
      </c>
    </row>
    <row r="1589" spans="1:3" x14ac:dyDescent="0.25">
      <c r="A1589" t="s">
        <v>249</v>
      </c>
      <c r="B1589" t="s">
        <v>2654</v>
      </c>
      <c r="C1589" t="s">
        <v>2791</v>
      </c>
    </row>
    <row r="1590" spans="1:3" x14ac:dyDescent="0.25">
      <c r="A1590" t="s">
        <v>2792</v>
      </c>
      <c r="B1590" t="s">
        <v>2654</v>
      </c>
      <c r="C1590" t="s">
        <v>2793</v>
      </c>
    </row>
    <row r="1591" spans="1:3" x14ac:dyDescent="0.25">
      <c r="A1591" t="s">
        <v>479</v>
      </c>
      <c r="B1591" t="s">
        <v>2654</v>
      </c>
      <c r="C1591" t="s">
        <v>2794</v>
      </c>
    </row>
    <row r="1592" spans="1:3" x14ac:dyDescent="0.25">
      <c r="A1592" t="s">
        <v>1504</v>
      </c>
      <c r="B1592" t="s">
        <v>2654</v>
      </c>
      <c r="C1592" t="s">
        <v>2795</v>
      </c>
    </row>
    <row r="1593" spans="1:3" x14ac:dyDescent="0.25">
      <c r="A1593" t="s">
        <v>2796</v>
      </c>
      <c r="B1593" t="s">
        <v>2654</v>
      </c>
      <c r="C1593" t="s">
        <v>2797</v>
      </c>
    </row>
    <row r="1594" spans="1:3" x14ac:dyDescent="0.25">
      <c r="A1594" t="s">
        <v>2798</v>
      </c>
      <c r="B1594" t="s">
        <v>2654</v>
      </c>
      <c r="C1594" t="s">
        <v>2799</v>
      </c>
    </row>
    <row r="1595" spans="1:3" x14ac:dyDescent="0.25">
      <c r="A1595" t="s">
        <v>2129</v>
      </c>
      <c r="B1595" t="s">
        <v>2654</v>
      </c>
      <c r="C1595" t="s">
        <v>2800</v>
      </c>
    </row>
    <row r="1596" spans="1:3" x14ac:dyDescent="0.25">
      <c r="A1596" t="s">
        <v>1127</v>
      </c>
      <c r="B1596" t="s">
        <v>2654</v>
      </c>
      <c r="C1596" t="s">
        <v>2801</v>
      </c>
    </row>
    <row r="1597" spans="1:3" x14ac:dyDescent="0.25">
      <c r="A1597" t="s">
        <v>261</v>
      </c>
      <c r="B1597" t="s">
        <v>2654</v>
      </c>
      <c r="C1597" t="s">
        <v>2802</v>
      </c>
    </row>
    <row r="1598" spans="1:3" x14ac:dyDescent="0.25">
      <c r="A1598" t="s">
        <v>1130</v>
      </c>
      <c r="B1598" t="s">
        <v>2654</v>
      </c>
      <c r="C1598" t="s">
        <v>2803</v>
      </c>
    </row>
    <row r="1599" spans="1:3" x14ac:dyDescent="0.25">
      <c r="A1599" t="s">
        <v>1132</v>
      </c>
      <c r="B1599" t="s">
        <v>2654</v>
      </c>
      <c r="C1599" t="s">
        <v>2804</v>
      </c>
    </row>
    <row r="1600" spans="1:3" x14ac:dyDescent="0.25">
      <c r="A1600" t="s">
        <v>1144</v>
      </c>
      <c r="B1600" t="s">
        <v>2654</v>
      </c>
      <c r="C1600" t="s">
        <v>2805</v>
      </c>
    </row>
    <row r="1601" spans="1:3" x14ac:dyDescent="0.25">
      <c r="A1601" t="s">
        <v>1674</v>
      </c>
      <c r="B1601" t="s">
        <v>2654</v>
      </c>
      <c r="C1601" t="s">
        <v>2806</v>
      </c>
    </row>
    <row r="1602" spans="1:3" x14ac:dyDescent="0.25">
      <c r="A1602" t="s">
        <v>2807</v>
      </c>
      <c r="B1602" t="s">
        <v>2654</v>
      </c>
      <c r="C1602" t="s">
        <v>2808</v>
      </c>
    </row>
    <row r="1603" spans="1:3" x14ac:dyDescent="0.25">
      <c r="A1603" t="s">
        <v>2810</v>
      </c>
      <c r="B1603" t="s">
        <v>2811</v>
      </c>
      <c r="C1603" t="s">
        <v>2812</v>
      </c>
    </row>
    <row r="1604" spans="1:3" x14ac:dyDescent="0.25">
      <c r="A1604" t="s">
        <v>2813</v>
      </c>
      <c r="B1604" t="s">
        <v>2811</v>
      </c>
      <c r="C1604" t="s">
        <v>2814</v>
      </c>
    </row>
    <row r="1605" spans="1:3" x14ac:dyDescent="0.25">
      <c r="A1605" t="s">
        <v>1171</v>
      </c>
      <c r="B1605" t="s">
        <v>2811</v>
      </c>
      <c r="C1605" t="s">
        <v>2815</v>
      </c>
    </row>
    <row r="1606" spans="1:3" x14ac:dyDescent="0.25">
      <c r="A1606" t="s">
        <v>2816</v>
      </c>
      <c r="B1606" t="s">
        <v>2811</v>
      </c>
      <c r="C1606" t="s">
        <v>2817</v>
      </c>
    </row>
    <row r="1607" spans="1:3" x14ac:dyDescent="0.25">
      <c r="A1607" t="s">
        <v>2818</v>
      </c>
      <c r="B1607" t="s">
        <v>2811</v>
      </c>
      <c r="C1607" t="s">
        <v>2819</v>
      </c>
    </row>
    <row r="1608" spans="1:3" x14ac:dyDescent="0.25">
      <c r="A1608" t="s">
        <v>1887</v>
      </c>
      <c r="B1608" t="s">
        <v>2811</v>
      </c>
      <c r="C1608" t="s">
        <v>2820</v>
      </c>
    </row>
    <row r="1609" spans="1:3" x14ac:dyDescent="0.25">
      <c r="A1609" t="s">
        <v>2821</v>
      </c>
      <c r="B1609" t="s">
        <v>2811</v>
      </c>
      <c r="C1609" t="s">
        <v>2822</v>
      </c>
    </row>
    <row r="1610" spans="1:3" x14ac:dyDescent="0.25">
      <c r="A1610" t="s">
        <v>2823</v>
      </c>
      <c r="B1610" t="s">
        <v>2811</v>
      </c>
      <c r="C1610" t="s">
        <v>2824</v>
      </c>
    </row>
    <row r="1611" spans="1:3" x14ac:dyDescent="0.25">
      <c r="A1611" t="s">
        <v>638</v>
      </c>
      <c r="B1611" t="s">
        <v>2811</v>
      </c>
      <c r="C1611" t="s">
        <v>2825</v>
      </c>
    </row>
    <row r="1612" spans="1:3" x14ac:dyDescent="0.25">
      <c r="A1612" t="s">
        <v>2826</v>
      </c>
      <c r="B1612" t="s">
        <v>2811</v>
      </c>
      <c r="C1612" t="s">
        <v>2827</v>
      </c>
    </row>
    <row r="1613" spans="1:3" x14ac:dyDescent="0.25">
      <c r="A1613" t="s">
        <v>950</v>
      </c>
      <c r="B1613" t="s">
        <v>2811</v>
      </c>
      <c r="C1613" t="s">
        <v>2828</v>
      </c>
    </row>
    <row r="1614" spans="1:3" x14ac:dyDescent="0.25">
      <c r="A1614" t="s">
        <v>2829</v>
      </c>
      <c r="B1614" t="s">
        <v>2811</v>
      </c>
      <c r="C1614" t="s">
        <v>2830</v>
      </c>
    </row>
    <row r="1615" spans="1:3" x14ac:dyDescent="0.25">
      <c r="A1615" t="s">
        <v>2831</v>
      </c>
      <c r="B1615" t="s">
        <v>2811</v>
      </c>
      <c r="C1615" t="s">
        <v>2832</v>
      </c>
    </row>
    <row r="1616" spans="1:3" x14ac:dyDescent="0.25">
      <c r="A1616" t="s">
        <v>2833</v>
      </c>
      <c r="B1616" t="s">
        <v>2811</v>
      </c>
      <c r="C1616" t="s">
        <v>2834</v>
      </c>
    </row>
    <row r="1617" spans="1:3" x14ac:dyDescent="0.25">
      <c r="A1617" t="s">
        <v>2835</v>
      </c>
      <c r="B1617" t="s">
        <v>2811</v>
      </c>
      <c r="C1617" t="s">
        <v>2836</v>
      </c>
    </row>
    <row r="1618" spans="1:3" x14ac:dyDescent="0.25">
      <c r="A1618" t="s">
        <v>1283</v>
      </c>
      <c r="B1618" t="s">
        <v>2811</v>
      </c>
      <c r="C1618" t="s">
        <v>2837</v>
      </c>
    </row>
    <row r="1619" spans="1:3" x14ac:dyDescent="0.25">
      <c r="A1619" t="s">
        <v>656</v>
      </c>
      <c r="B1619" t="s">
        <v>2811</v>
      </c>
      <c r="C1619" t="s">
        <v>2838</v>
      </c>
    </row>
    <row r="1620" spans="1:3" x14ac:dyDescent="0.25">
      <c r="A1620" t="s">
        <v>2839</v>
      </c>
      <c r="B1620" t="s">
        <v>2811</v>
      </c>
      <c r="C1620" t="s">
        <v>2840</v>
      </c>
    </row>
    <row r="1621" spans="1:3" x14ac:dyDescent="0.25">
      <c r="A1621" t="s">
        <v>2841</v>
      </c>
      <c r="B1621" t="s">
        <v>2811</v>
      </c>
      <c r="C1621" t="s">
        <v>2842</v>
      </c>
    </row>
    <row r="1622" spans="1:3" x14ac:dyDescent="0.25">
      <c r="A1622" t="s">
        <v>2843</v>
      </c>
      <c r="B1622" t="s">
        <v>2811</v>
      </c>
      <c r="C1622" t="s">
        <v>2844</v>
      </c>
    </row>
    <row r="1623" spans="1:3" x14ac:dyDescent="0.25">
      <c r="A1623" t="s">
        <v>2845</v>
      </c>
      <c r="B1623" t="s">
        <v>2811</v>
      </c>
      <c r="C1623" t="s">
        <v>2846</v>
      </c>
    </row>
    <row r="1624" spans="1:3" x14ac:dyDescent="0.25">
      <c r="A1624" t="s">
        <v>205</v>
      </c>
      <c r="B1624" t="s">
        <v>2811</v>
      </c>
      <c r="C1624" t="s">
        <v>2847</v>
      </c>
    </row>
    <row r="1625" spans="1:3" x14ac:dyDescent="0.25">
      <c r="A1625" t="s">
        <v>2848</v>
      </c>
      <c r="B1625" t="s">
        <v>2811</v>
      </c>
      <c r="C1625" t="s">
        <v>2849</v>
      </c>
    </row>
    <row r="1626" spans="1:3" x14ac:dyDescent="0.25">
      <c r="A1626" t="s">
        <v>526</v>
      </c>
      <c r="B1626" t="s">
        <v>2811</v>
      </c>
      <c r="C1626" t="s">
        <v>2850</v>
      </c>
    </row>
    <row r="1627" spans="1:3" x14ac:dyDescent="0.25">
      <c r="A1627" t="s">
        <v>2851</v>
      </c>
      <c r="B1627" t="s">
        <v>2811</v>
      </c>
      <c r="C1627" t="s">
        <v>2852</v>
      </c>
    </row>
    <row r="1628" spans="1:3" x14ac:dyDescent="0.25">
      <c r="A1628" t="s">
        <v>824</v>
      </c>
      <c r="B1628" t="s">
        <v>2811</v>
      </c>
      <c r="C1628" t="s">
        <v>2853</v>
      </c>
    </row>
    <row r="1629" spans="1:3" x14ac:dyDescent="0.25">
      <c r="A1629" t="s">
        <v>428</v>
      </c>
      <c r="B1629" t="s">
        <v>2811</v>
      </c>
      <c r="C1629" t="s">
        <v>2854</v>
      </c>
    </row>
    <row r="1630" spans="1:3" x14ac:dyDescent="0.25">
      <c r="A1630" t="s">
        <v>2855</v>
      </c>
      <c r="B1630" t="s">
        <v>2811</v>
      </c>
      <c r="C1630" t="s">
        <v>2856</v>
      </c>
    </row>
    <row r="1631" spans="1:3" x14ac:dyDescent="0.25">
      <c r="A1631" t="s">
        <v>221</v>
      </c>
      <c r="B1631" t="s">
        <v>2811</v>
      </c>
      <c r="C1631" t="s">
        <v>2857</v>
      </c>
    </row>
    <row r="1632" spans="1:3" x14ac:dyDescent="0.25">
      <c r="A1632" t="s">
        <v>2858</v>
      </c>
      <c r="B1632" t="s">
        <v>2811</v>
      </c>
      <c r="C1632" t="s">
        <v>2859</v>
      </c>
    </row>
    <row r="1633" spans="1:3" x14ac:dyDescent="0.25">
      <c r="A1633" t="s">
        <v>685</v>
      </c>
      <c r="B1633" t="s">
        <v>2811</v>
      </c>
      <c r="C1633" t="s">
        <v>2860</v>
      </c>
    </row>
    <row r="1634" spans="1:3" x14ac:dyDescent="0.25">
      <c r="A1634" t="s">
        <v>2861</v>
      </c>
      <c r="B1634" t="s">
        <v>2811</v>
      </c>
      <c r="C1634" t="s">
        <v>2862</v>
      </c>
    </row>
    <row r="1635" spans="1:3" x14ac:dyDescent="0.25">
      <c r="A1635" t="s">
        <v>2863</v>
      </c>
      <c r="B1635" t="s">
        <v>2811</v>
      </c>
      <c r="C1635" t="s">
        <v>2864</v>
      </c>
    </row>
    <row r="1636" spans="1:3" x14ac:dyDescent="0.25">
      <c r="A1636" t="s">
        <v>698</v>
      </c>
      <c r="B1636" t="s">
        <v>2811</v>
      </c>
      <c r="C1636" t="s">
        <v>2865</v>
      </c>
    </row>
    <row r="1637" spans="1:3" x14ac:dyDescent="0.25">
      <c r="A1637" t="s">
        <v>2866</v>
      </c>
      <c r="B1637" t="s">
        <v>2811</v>
      </c>
      <c r="C1637" t="s">
        <v>2867</v>
      </c>
    </row>
    <row r="1638" spans="1:3" x14ac:dyDescent="0.25">
      <c r="A1638" t="s">
        <v>451</v>
      </c>
      <c r="B1638" t="s">
        <v>2811</v>
      </c>
      <c r="C1638" t="s">
        <v>2868</v>
      </c>
    </row>
    <row r="1639" spans="1:3" x14ac:dyDescent="0.25">
      <c r="A1639" t="s">
        <v>2869</v>
      </c>
      <c r="B1639" t="s">
        <v>2811</v>
      </c>
      <c r="C1639" t="s">
        <v>2870</v>
      </c>
    </row>
    <row r="1640" spans="1:3" x14ac:dyDescent="0.25">
      <c r="A1640" t="s">
        <v>2871</v>
      </c>
      <c r="B1640" t="s">
        <v>2811</v>
      </c>
      <c r="C1640" t="s">
        <v>2872</v>
      </c>
    </row>
    <row r="1641" spans="1:3" x14ac:dyDescent="0.25">
      <c r="A1641" t="s">
        <v>1996</v>
      </c>
      <c r="B1641" t="s">
        <v>2811</v>
      </c>
      <c r="C1641" t="s">
        <v>2873</v>
      </c>
    </row>
    <row r="1642" spans="1:3" x14ac:dyDescent="0.25">
      <c r="A1642" t="s">
        <v>460</v>
      </c>
      <c r="B1642" t="s">
        <v>2811</v>
      </c>
      <c r="C1642" t="s">
        <v>2874</v>
      </c>
    </row>
    <row r="1643" spans="1:3" x14ac:dyDescent="0.25">
      <c r="A1643" t="s">
        <v>2875</v>
      </c>
      <c r="B1643" t="s">
        <v>2811</v>
      </c>
      <c r="C1643" t="s">
        <v>2876</v>
      </c>
    </row>
    <row r="1644" spans="1:3" x14ac:dyDescent="0.25">
      <c r="A1644" t="s">
        <v>1358</v>
      </c>
      <c r="B1644" t="s">
        <v>2811</v>
      </c>
      <c r="C1644" t="s">
        <v>2877</v>
      </c>
    </row>
    <row r="1645" spans="1:3" x14ac:dyDescent="0.25">
      <c r="A1645" t="s">
        <v>2878</v>
      </c>
      <c r="B1645" t="s">
        <v>2811</v>
      </c>
      <c r="C1645" t="s">
        <v>2879</v>
      </c>
    </row>
    <row r="1646" spans="1:3" x14ac:dyDescent="0.25">
      <c r="A1646" t="s">
        <v>2880</v>
      </c>
      <c r="B1646" t="s">
        <v>2811</v>
      </c>
      <c r="C1646" t="s">
        <v>2881</v>
      </c>
    </row>
    <row r="1647" spans="1:3" x14ac:dyDescent="0.25">
      <c r="A1647" t="s">
        <v>2882</v>
      </c>
      <c r="B1647" t="s">
        <v>2811</v>
      </c>
      <c r="C1647" t="s">
        <v>2883</v>
      </c>
    </row>
    <row r="1648" spans="1:3" x14ac:dyDescent="0.25">
      <c r="A1648" t="s">
        <v>1820</v>
      </c>
      <c r="B1648" t="s">
        <v>2811</v>
      </c>
      <c r="C1648" t="s">
        <v>2884</v>
      </c>
    </row>
    <row r="1649" spans="1:3" x14ac:dyDescent="0.25">
      <c r="A1649" t="s">
        <v>2885</v>
      </c>
      <c r="B1649" t="s">
        <v>2811</v>
      </c>
      <c r="C1649" t="s">
        <v>2886</v>
      </c>
    </row>
    <row r="1650" spans="1:3" x14ac:dyDescent="0.25">
      <c r="A1650" t="s">
        <v>2887</v>
      </c>
      <c r="B1650" t="s">
        <v>2811</v>
      </c>
      <c r="C1650" t="s">
        <v>2888</v>
      </c>
    </row>
    <row r="1651" spans="1:3" x14ac:dyDescent="0.25">
      <c r="A1651" t="s">
        <v>2889</v>
      </c>
      <c r="B1651" t="s">
        <v>2811</v>
      </c>
      <c r="C1651" t="s">
        <v>2890</v>
      </c>
    </row>
    <row r="1652" spans="1:3" x14ac:dyDescent="0.25">
      <c r="A1652" t="s">
        <v>1230</v>
      </c>
      <c r="B1652" t="s">
        <v>2811</v>
      </c>
      <c r="C1652" t="s">
        <v>2891</v>
      </c>
    </row>
    <row r="1653" spans="1:3" x14ac:dyDescent="0.25">
      <c r="A1653" t="s">
        <v>2892</v>
      </c>
      <c r="B1653" t="s">
        <v>2811</v>
      </c>
      <c r="C1653" t="s">
        <v>2893</v>
      </c>
    </row>
    <row r="1654" spans="1:3" x14ac:dyDescent="0.25">
      <c r="A1654" t="s">
        <v>2894</v>
      </c>
      <c r="B1654" t="s">
        <v>2811</v>
      </c>
      <c r="C1654" t="s">
        <v>2895</v>
      </c>
    </row>
    <row r="1655" spans="1:3" x14ac:dyDescent="0.25">
      <c r="A1655" t="s">
        <v>1234</v>
      </c>
      <c r="B1655" t="s">
        <v>2811</v>
      </c>
      <c r="C1655" t="s">
        <v>2896</v>
      </c>
    </row>
    <row r="1656" spans="1:3" x14ac:dyDescent="0.25">
      <c r="A1656" t="s">
        <v>2897</v>
      </c>
      <c r="B1656" t="s">
        <v>2811</v>
      </c>
      <c r="C1656" t="s">
        <v>2898</v>
      </c>
    </row>
    <row r="1657" spans="1:3" x14ac:dyDescent="0.25">
      <c r="A1657" t="s">
        <v>2899</v>
      </c>
      <c r="B1657" t="s">
        <v>2811</v>
      </c>
      <c r="C1657" t="s">
        <v>2900</v>
      </c>
    </row>
    <row r="1658" spans="1:3" x14ac:dyDescent="0.25">
      <c r="A1658" t="s">
        <v>2901</v>
      </c>
      <c r="B1658" t="s">
        <v>2811</v>
      </c>
      <c r="C1658" t="s">
        <v>2902</v>
      </c>
    </row>
    <row r="1659" spans="1:3" x14ac:dyDescent="0.25">
      <c r="A1659" t="s">
        <v>2903</v>
      </c>
      <c r="B1659" t="s">
        <v>2811</v>
      </c>
      <c r="C1659" t="s">
        <v>2904</v>
      </c>
    </row>
    <row r="1660" spans="1:3" x14ac:dyDescent="0.25">
      <c r="A1660" t="s">
        <v>609</v>
      </c>
      <c r="B1660" t="s">
        <v>2906</v>
      </c>
      <c r="C1660" t="s">
        <v>2907</v>
      </c>
    </row>
    <row r="1661" spans="1:3" x14ac:dyDescent="0.25">
      <c r="A1661" t="s">
        <v>2908</v>
      </c>
      <c r="B1661" t="s">
        <v>2906</v>
      </c>
      <c r="C1661" t="s">
        <v>2909</v>
      </c>
    </row>
    <row r="1662" spans="1:3" x14ac:dyDescent="0.25">
      <c r="A1662" t="s">
        <v>2910</v>
      </c>
      <c r="B1662" t="s">
        <v>2906</v>
      </c>
      <c r="C1662" t="s">
        <v>2911</v>
      </c>
    </row>
    <row r="1663" spans="1:3" x14ac:dyDescent="0.25">
      <c r="A1663" t="s">
        <v>2912</v>
      </c>
      <c r="B1663" t="s">
        <v>2906</v>
      </c>
      <c r="C1663" t="s">
        <v>2913</v>
      </c>
    </row>
    <row r="1664" spans="1:3" x14ac:dyDescent="0.25">
      <c r="A1664" t="s">
        <v>1171</v>
      </c>
      <c r="B1664" t="s">
        <v>2906</v>
      </c>
      <c r="C1664" t="s">
        <v>2914</v>
      </c>
    </row>
    <row r="1665" spans="1:3" x14ac:dyDescent="0.25">
      <c r="A1665" t="s">
        <v>368</v>
      </c>
      <c r="B1665" t="s">
        <v>2906</v>
      </c>
      <c r="C1665" t="s">
        <v>2915</v>
      </c>
    </row>
    <row r="1666" spans="1:3" x14ac:dyDescent="0.25">
      <c r="A1666" t="s">
        <v>2916</v>
      </c>
      <c r="B1666" t="s">
        <v>2906</v>
      </c>
      <c r="C1666" t="s">
        <v>2917</v>
      </c>
    </row>
    <row r="1667" spans="1:3" x14ac:dyDescent="0.25">
      <c r="A1667" t="s">
        <v>1865</v>
      </c>
      <c r="B1667" t="s">
        <v>2906</v>
      </c>
      <c r="C1667" t="s">
        <v>2918</v>
      </c>
    </row>
    <row r="1668" spans="1:3" x14ac:dyDescent="0.25">
      <c r="A1668" t="s">
        <v>1245</v>
      </c>
      <c r="B1668" t="s">
        <v>2906</v>
      </c>
      <c r="C1668" t="s">
        <v>2919</v>
      </c>
    </row>
    <row r="1669" spans="1:3" x14ac:dyDescent="0.25">
      <c r="A1669" t="s">
        <v>2920</v>
      </c>
      <c r="B1669" t="s">
        <v>2906</v>
      </c>
      <c r="C1669" t="s">
        <v>2921</v>
      </c>
    </row>
    <row r="1670" spans="1:3" x14ac:dyDescent="0.25">
      <c r="A1670" t="s">
        <v>2922</v>
      </c>
      <c r="B1670" t="s">
        <v>2906</v>
      </c>
      <c r="C1670" t="s">
        <v>2923</v>
      </c>
    </row>
    <row r="1671" spans="1:3" x14ac:dyDescent="0.25">
      <c r="A1671" t="s">
        <v>145</v>
      </c>
      <c r="B1671" t="s">
        <v>2906</v>
      </c>
      <c r="C1671" t="s">
        <v>2924</v>
      </c>
    </row>
    <row r="1672" spans="1:3" x14ac:dyDescent="0.25">
      <c r="A1672" t="s">
        <v>1251</v>
      </c>
      <c r="B1672" t="s">
        <v>2906</v>
      </c>
      <c r="C1672" t="s">
        <v>2925</v>
      </c>
    </row>
    <row r="1673" spans="1:3" x14ac:dyDescent="0.25">
      <c r="A1673" t="s">
        <v>1555</v>
      </c>
      <c r="B1673" t="s">
        <v>2906</v>
      </c>
      <c r="C1673" t="s">
        <v>2926</v>
      </c>
    </row>
    <row r="1674" spans="1:3" x14ac:dyDescent="0.25">
      <c r="A1674" t="s">
        <v>1691</v>
      </c>
      <c r="B1674" t="s">
        <v>2906</v>
      </c>
      <c r="C1674" t="s">
        <v>2927</v>
      </c>
    </row>
    <row r="1675" spans="1:3" x14ac:dyDescent="0.25">
      <c r="A1675" t="s">
        <v>2928</v>
      </c>
      <c r="B1675" t="s">
        <v>2906</v>
      </c>
      <c r="C1675" t="s">
        <v>2929</v>
      </c>
    </row>
    <row r="1676" spans="1:3" x14ac:dyDescent="0.25">
      <c r="A1676" t="s">
        <v>628</v>
      </c>
      <c r="B1676" t="s">
        <v>2906</v>
      </c>
      <c r="C1676" t="s">
        <v>2930</v>
      </c>
    </row>
    <row r="1677" spans="1:3" x14ac:dyDescent="0.25">
      <c r="A1677" t="s">
        <v>159</v>
      </c>
      <c r="B1677" t="s">
        <v>2906</v>
      </c>
      <c r="C1677" t="s">
        <v>2931</v>
      </c>
    </row>
    <row r="1678" spans="1:3" x14ac:dyDescent="0.25">
      <c r="A1678" t="s">
        <v>2932</v>
      </c>
      <c r="B1678" t="s">
        <v>2906</v>
      </c>
      <c r="C1678" t="s">
        <v>2933</v>
      </c>
    </row>
    <row r="1679" spans="1:3" x14ac:dyDescent="0.25">
      <c r="A1679" t="s">
        <v>2934</v>
      </c>
      <c r="B1679" t="s">
        <v>2906</v>
      </c>
      <c r="C1679" t="s">
        <v>2935</v>
      </c>
    </row>
    <row r="1680" spans="1:3" x14ac:dyDescent="0.25">
      <c r="A1680" t="s">
        <v>638</v>
      </c>
      <c r="B1680" t="s">
        <v>2906</v>
      </c>
      <c r="C1680" t="s">
        <v>2936</v>
      </c>
    </row>
    <row r="1681" spans="1:3" x14ac:dyDescent="0.25">
      <c r="A1681" t="s">
        <v>2416</v>
      </c>
      <c r="B1681" t="s">
        <v>2906</v>
      </c>
      <c r="C1681" t="s">
        <v>2937</v>
      </c>
    </row>
    <row r="1682" spans="1:3" x14ac:dyDescent="0.25">
      <c r="A1682" t="s">
        <v>2938</v>
      </c>
      <c r="B1682" t="s">
        <v>2906</v>
      </c>
      <c r="C1682" t="s">
        <v>2939</v>
      </c>
    </row>
    <row r="1683" spans="1:3" x14ac:dyDescent="0.25">
      <c r="A1683" t="s">
        <v>950</v>
      </c>
      <c r="B1683" t="s">
        <v>2906</v>
      </c>
      <c r="C1683" t="s">
        <v>2940</v>
      </c>
    </row>
    <row r="1684" spans="1:3" x14ac:dyDescent="0.25">
      <c r="A1684" t="s">
        <v>2941</v>
      </c>
      <c r="B1684" t="s">
        <v>2906</v>
      </c>
      <c r="C1684" t="s">
        <v>2942</v>
      </c>
    </row>
    <row r="1685" spans="1:3" x14ac:dyDescent="0.25">
      <c r="A1685" t="s">
        <v>2943</v>
      </c>
      <c r="B1685" t="s">
        <v>2906</v>
      </c>
      <c r="C1685" t="s">
        <v>2944</v>
      </c>
    </row>
    <row r="1686" spans="1:3" x14ac:dyDescent="0.25">
      <c r="A1686" t="s">
        <v>955</v>
      </c>
      <c r="B1686" t="s">
        <v>2906</v>
      </c>
      <c r="C1686" t="s">
        <v>2945</v>
      </c>
    </row>
    <row r="1687" spans="1:3" x14ac:dyDescent="0.25">
      <c r="A1687" t="s">
        <v>646</v>
      </c>
      <c r="B1687" t="s">
        <v>2906</v>
      </c>
      <c r="C1687" t="s">
        <v>2946</v>
      </c>
    </row>
    <row r="1688" spans="1:3" x14ac:dyDescent="0.25">
      <c r="A1688" t="s">
        <v>2947</v>
      </c>
      <c r="B1688" t="s">
        <v>2906</v>
      </c>
      <c r="C1688" t="s">
        <v>2948</v>
      </c>
    </row>
    <row r="1689" spans="1:3" x14ac:dyDescent="0.25">
      <c r="A1689" t="s">
        <v>2422</v>
      </c>
      <c r="B1689" t="s">
        <v>2906</v>
      </c>
      <c r="C1689" t="s">
        <v>2949</v>
      </c>
    </row>
    <row r="1690" spans="1:3" x14ac:dyDescent="0.25">
      <c r="A1690" t="s">
        <v>191</v>
      </c>
      <c r="B1690" t="s">
        <v>2906</v>
      </c>
      <c r="C1690" t="s">
        <v>2950</v>
      </c>
    </row>
    <row r="1691" spans="1:3" x14ac:dyDescent="0.25">
      <c r="A1691" t="s">
        <v>2951</v>
      </c>
      <c r="B1691" t="s">
        <v>2906</v>
      </c>
      <c r="C1691" t="s">
        <v>2952</v>
      </c>
    </row>
    <row r="1692" spans="1:3" x14ac:dyDescent="0.25">
      <c r="A1692" t="s">
        <v>2953</v>
      </c>
      <c r="B1692" t="s">
        <v>2906</v>
      </c>
      <c r="C1692" t="s">
        <v>2954</v>
      </c>
    </row>
    <row r="1693" spans="1:3" x14ac:dyDescent="0.25">
      <c r="A1693" t="s">
        <v>2955</v>
      </c>
      <c r="B1693" t="s">
        <v>2906</v>
      </c>
      <c r="C1693" t="s">
        <v>2956</v>
      </c>
    </row>
    <row r="1694" spans="1:3" x14ac:dyDescent="0.25">
      <c r="A1694" t="s">
        <v>2957</v>
      </c>
      <c r="B1694" t="s">
        <v>2906</v>
      </c>
      <c r="C1694" t="s">
        <v>2958</v>
      </c>
    </row>
    <row r="1695" spans="1:3" x14ac:dyDescent="0.25">
      <c r="A1695" t="s">
        <v>656</v>
      </c>
      <c r="B1695" t="s">
        <v>2906</v>
      </c>
      <c r="C1695" t="s">
        <v>2959</v>
      </c>
    </row>
    <row r="1696" spans="1:3" x14ac:dyDescent="0.25">
      <c r="A1696" t="s">
        <v>2960</v>
      </c>
      <c r="B1696" t="s">
        <v>2906</v>
      </c>
      <c r="C1696" t="s">
        <v>2961</v>
      </c>
    </row>
    <row r="1697" spans="1:3" x14ac:dyDescent="0.25">
      <c r="A1697" t="s">
        <v>407</v>
      </c>
      <c r="B1697" t="s">
        <v>2906</v>
      </c>
      <c r="C1697" t="s">
        <v>2962</v>
      </c>
    </row>
    <row r="1698" spans="1:3" x14ac:dyDescent="0.25">
      <c r="A1698" t="s">
        <v>1732</v>
      </c>
      <c r="B1698" t="s">
        <v>2906</v>
      </c>
      <c r="C1698" t="s">
        <v>2963</v>
      </c>
    </row>
    <row r="1699" spans="1:3" x14ac:dyDescent="0.25">
      <c r="A1699" t="s">
        <v>997</v>
      </c>
      <c r="B1699" t="s">
        <v>2906</v>
      </c>
      <c r="C1699" t="s">
        <v>2964</v>
      </c>
    </row>
    <row r="1700" spans="1:3" x14ac:dyDescent="0.25">
      <c r="A1700" t="s">
        <v>799</v>
      </c>
      <c r="B1700" t="s">
        <v>2906</v>
      </c>
      <c r="C1700" t="s">
        <v>2965</v>
      </c>
    </row>
    <row r="1701" spans="1:3" x14ac:dyDescent="0.25">
      <c r="A1701" t="s">
        <v>1924</v>
      </c>
      <c r="B1701" t="s">
        <v>2906</v>
      </c>
      <c r="C1701" t="s">
        <v>2966</v>
      </c>
    </row>
    <row r="1702" spans="1:3" x14ac:dyDescent="0.25">
      <c r="A1702" t="s">
        <v>2967</v>
      </c>
      <c r="B1702" t="s">
        <v>2906</v>
      </c>
      <c r="C1702" t="s">
        <v>2968</v>
      </c>
    </row>
    <row r="1703" spans="1:3" x14ac:dyDescent="0.25">
      <c r="A1703" t="s">
        <v>2969</v>
      </c>
      <c r="B1703" t="s">
        <v>2906</v>
      </c>
      <c r="C1703" t="s">
        <v>2970</v>
      </c>
    </row>
    <row r="1704" spans="1:3" x14ac:dyDescent="0.25">
      <c r="A1704" t="s">
        <v>2712</v>
      </c>
      <c r="B1704" t="s">
        <v>2906</v>
      </c>
      <c r="C1704" t="s">
        <v>2971</v>
      </c>
    </row>
    <row r="1705" spans="1:3" x14ac:dyDescent="0.25">
      <c r="A1705" t="s">
        <v>2972</v>
      </c>
      <c r="B1705" t="s">
        <v>2906</v>
      </c>
      <c r="C1705" t="s">
        <v>2973</v>
      </c>
    </row>
    <row r="1706" spans="1:3" x14ac:dyDescent="0.25">
      <c r="A1706" t="s">
        <v>414</v>
      </c>
      <c r="B1706" t="s">
        <v>2906</v>
      </c>
      <c r="C1706" t="s">
        <v>2974</v>
      </c>
    </row>
    <row r="1707" spans="1:3" x14ac:dyDescent="0.25">
      <c r="A1707" t="s">
        <v>205</v>
      </c>
      <c r="B1707" t="s">
        <v>2906</v>
      </c>
      <c r="C1707" t="s">
        <v>2975</v>
      </c>
    </row>
    <row r="1708" spans="1:3" x14ac:dyDescent="0.25">
      <c r="A1708" t="s">
        <v>422</v>
      </c>
      <c r="B1708" t="s">
        <v>2906</v>
      </c>
      <c r="C1708" t="s">
        <v>2976</v>
      </c>
    </row>
    <row r="1709" spans="1:3" x14ac:dyDescent="0.25">
      <c r="A1709" t="s">
        <v>2977</v>
      </c>
      <c r="B1709" t="s">
        <v>2906</v>
      </c>
      <c r="C1709" t="s">
        <v>2978</v>
      </c>
    </row>
    <row r="1710" spans="1:3" x14ac:dyDescent="0.25">
      <c r="A1710" t="s">
        <v>2979</v>
      </c>
      <c r="B1710" t="s">
        <v>2906</v>
      </c>
      <c r="C1710" t="s">
        <v>2980</v>
      </c>
    </row>
    <row r="1711" spans="1:3" x14ac:dyDescent="0.25">
      <c r="A1711" t="s">
        <v>2981</v>
      </c>
      <c r="B1711" t="s">
        <v>2906</v>
      </c>
      <c r="C1711" t="s">
        <v>2982</v>
      </c>
    </row>
    <row r="1712" spans="1:3" x14ac:dyDescent="0.25">
      <c r="A1712" t="s">
        <v>2983</v>
      </c>
      <c r="B1712" t="s">
        <v>2906</v>
      </c>
      <c r="C1712" t="s">
        <v>2984</v>
      </c>
    </row>
    <row r="1713" spans="1:3" x14ac:dyDescent="0.25">
      <c r="A1713" t="s">
        <v>1311</v>
      </c>
      <c r="B1713" t="s">
        <v>2906</v>
      </c>
      <c r="C1713" t="s">
        <v>2985</v>
      </c>
    </row>
    <row r="1714" spans="1:3" x14ac:dyDescent="0.25">
      <c r="A1714" t="s">
        <v>2986</v>
      </c>
      <c r="B1714" t="s">
        <v>2906</v>
      </c>
      <c r="C1714" t="s">
        <v>2987</v>
      </c>
    </row>
    <row r="1715" spans="1:3" x14ac:dyDescent="0.25">
      <c r="A1715" t="s">
        <v>428</v>
      </c>
      <c r="B1715" t="s">
        <v>2906</v>
      </c>
      <c r="C1715" t="s">
        <v>2988</v>
      </c>
    </row>
    <row r="1716" spans="1:3" x14ac:dyDescent="0.25">
      <c r="A1716" t="s">
        <v>432</v>
      </c>
      <c r="B1716" t="s">
        <v>2906</v>
      </c>
      <c r="C1716" t="s">
        <v>2989</v>
      </c>
    </row>
    <row r="1717" spans="1:3" x14ac:dyDescent="0.25">
      <c r="A1717" t="s">
        <v>2990</v>
      </c>
      <c r="B1717" t="s">
        <v>2906</v>
      </c>
      <c r="C1717" t="s">
        <v>2991</v>
      </c>
    </row>
    <row r="1718" spans="1:3" x14ac:dyDescent="0.25">
      <c r="A1718" t="s">
        <v>1765</v>
      </c>
      <c r="B1718" t="s">
        <v>2906</v>
      </c>
      <c r="C1718" t="s">
        <v>2992</v>
      </c>
    </row>
    <row r="1719" spans="1:3" x14ac:dyDescent="0.25">
      <c r="A1719" t="s">
        <v>221</v>
      </c>
      <c r="B1719" t="s">
        <v>2906</v>
      </c>
      <c r="C1719" t="s">
        <v>2993</v>
      </c>
    </row>
    <row r="1720" spans="1:3" x14ac:dyDescent="0.25">
      <c r="A1720" t="s">
        <v>2994</v>
      </c>
      <c r="B1720" t="s">
        <v>2906</v>
      </c>
      <c r="C1720" t="s">
        <v>2995</v>
      </c>
    </row>
    <row r="1721" spans="1:3" x14ac:dyDescent="0.25">
      <c r="A1721" t="s">
        <v>2996</v>
      </c>
      <c r="B1721" t="s">
        <v>2906</v>
      </c>
      <c r="C1721" t="s">
        <v>2997</v>
      </c>
    </row>
    <row r="1722" spans="1:3" x14ac:dyDescent="0.25">
      <c r="A1722" t="s">
        <v>2998</v>
      </c>
      <c r="B1722" t="s">
        <v>2906</v>
      </c>
      <c r="C1722" t="s">
        <v>2999</v>
      </c>
    </row>
    <row r="1723" spans="1:3" x14ac:dyDescent="0.25">
      <c r="A1723" t="s">
        <v>1778</v>
      </c>
      <c r="B1723" t="s">
        <v>2906</v>
      </c>
      <c r="C1723" t="s">
        <v>3000</v>
      </c>
    </row>
    <row r="1724" spans="1:3" x14ac:dyDescent="0.25">
      <c r="A1724" t="s">
        <v>3001</v>
      </c>
      <c r="B1724" t="s">
        <v>2906</v>
      </c>
      <c r="C1724" t="s">
        <v>3002</v>
      </c>
    </row>
    <row r="1725" spans="1:3" x14ac:dyDescent="0.25">
      <c r="A1725" t="s">
        <v>3003</v>
      </c>
      <c r="B1725" t="s">
        <v>2906</v>
      </c>
      <c r="C1725" t="s">
        <v>3004</v>
      </c>
    </row>
    <row r="1726" spans="1:3" x14ac:dyDescent="0.25">
      <c r="A1726" t="s">
        <v>1792</v>
      </c>
      <c r="B1726" t="s">
        <v>2906</v>
      </c>
      <c r="C1726" t="s">
        <v>3005</v>
      </c>
    </row>
    <row r="1727" spans="1:3" x14ac:dyDescent="0.25">
      <c r="A1727" t="s">
        <v>3006</v>
      </c>
      <c r="B1727" t="s">
        <v>2906</v>
      </c>
      <c r="C1727" t="s">
        <v>3007</v>
      </c>
    </row>
    <row r="1728" spans="1:3" x14ac:dyDescent="0.25">
      <c r="A1728" t="s">
        <v>2761</v>
      </c>
      <c r="B1728" t="s">
        <v>2906</v>
      </c>
      <c r="C1728" t="s">
        <v>3008</v>
      </c>
    </row>
    <row r="1729" spans="1:3" x14ac:dyDescent="0.25">
      <c r="A1729" t="s">
        <v>1066</v>
      </c>
      <c r="B1729" t="s">
        <v>2906</v>
      </c>
      <c r="C1729" t="s">
        <v>3009</v>
      </c>
    </row>
    <row r="1730" spans="1:3" x14ac:dyDescent="0.25">
      <c r="A1730" t="s">
        <v>2764</v>
      </c>
      <c r="B1730" t="s">
        <v>2906</v>
      </c>
      <c r="C1730" t="s">
        <v>3010</v>
      </c>
    </row>
    <row r="1731" spans="1:3" x14ac:dyDescent="0.25">
      <c r="A1731" t="s">
        <v>456</v>
      </c>
      <c r="B1731" t="s">
        <v>2906</v>
      </c>
      <c r="C1731" t="s">
        <v>3011</v>
      </c>
    </row>
    <row r="1732" spans="1:3" x14ac:dyDescent="0.25">
      <c r="A1732" t="s">
        <v>3012</v>
      </c>
      <c r="B1732" t="s">
        <v>2906</v>
      </c>
      <c r="C1732" t="s">
        <v>3013</v>
      </c>
    </row>
    <row r="1733" spans="1:3" x14ac:dyDescent="0.25">
      <c r="A1733" t="s">
        <v>3014</v>
      </c>
      <c r="B1733" t="s">
        <v>2906</v>
      </c>
      <c r="C1733" t="s">
        <v>3015</v>
      </c>
    </row>
    <row r="1734" spans="1:3" x14ac:dyDescent="0.25">
      <c r="A1734" t="s">
        <v>2498</v>
      </c>
      <c r="B1734" t="s">
        <v>2906</v>
      </c>
      <c r="C1734" t="s">
        <v>3016</v>
      </c>
    </row>
    <row r="1735" spans="1:3" x14ac:dyDescent="0.25">
      <c r="A1735" t="s">
        <v>467</v>
      </c>
      <c r="B1735" t="s">
        <v>2906</v>
      </c>
      <c r="C1735" t="s">
        <v>3017</v>
      </c>
    </row>
    <row r="1736" spans="1:3" x14ac:dyDescent="0.25">
      <c r="A1736" t="s">
        <v>3018</v>
      </c>
      <c r="B1736" t="s">
        <v>2906</v>
      </c>
      <c r="C1736" t="s">
        <v>3019</v>
      </c>
    </row>
    <row r="1737" spans="1:3" x14ac:dyDescent="0.25">
      <c r="A1737" t="s">
        <v>3020</v>
      </c>
      <c r="B1737" t="s">
        <v>2906</v>
      </c>
      <c r="C1737" t="s">
        <v>3021</v>
      </c>
    </row>
    <row r="1738" spans="1:3" x14ac:dyDescent="0.25">
      <c r="A1738" t="s">
        <v>3022</v>
      </c>
      <c r="B1738" t="s">
        <v>2906</v>
      </c>
      <c r="C1738" t="s">
        <v>3023</v>
      </c>
    </row>
    <row r="1739" spans="1:3" x14ac:dyDescent="0.25">
      <c r="A1739" t="s">
        <v>1816</v>
      </c>
      <c r="B1739" t="s">
        <v>2906</v>
      </c>
      <c r="C1739" t="s">
        <v>3024</v>
      </c>
    </row>
    <row r="1740" spans="1:3" x14ac:dyDescent="0.25">
      <c r="A1740" t="s">
        <v>1820</v>
      </c>
      <c r="B1740" t="s">
        <v>2906</v>
      </c>
      <c r="C1740" t="s">
        <v>3025</v>
      </c>
    </row>
    <row r="1741" spans="1:3" x14ac:dyDescent="0.25">
      <c r="A1741" t="s">
        <v>1822</v>
      </c>
      <c r="B1741" t="s">
        <v>2906</v>
      </c>
      <c r="C1741" t="s">
        <v>3026</v>
      </c>
    </row>
    <row r="1742" spans="1:3" x14ac:dyDescent="0.25">
      <c r="A1742" t="s">
        <v>1653</v>
      </c>
      <c r="B1742" t="s">
        <v>2906</v>
      </c>
      <c r="C1742" t="s">
        <v>3027</v>
      </c>
    </row>
    <row r="1743" spans="1:3" x14ac:dyDescent="0.25">
      <c r="A1743" t="s">
        <v>1828</v>
      </c>
      <c r="B1743" t="s">
        <v>2906</v>
      </c>
      <c r="C1743" t="s">
        <v>3028</v>
      </c>
    </row>
    <row r="1744" spans="1:3" x14ac:dyDescent="0.25">
      <c r="A1744" t="s">
        <v>3029</v>
      </c>
      <c r="B1744" t="s">
        <v>2906</v>
      </c>
      <c r="C1744" t="s">
        <v>3030</v>
      </c>
    </row>
    <row r="1745" spans="1:3" x14ac:dyDescent="0.25">
      <c r="A1745" t="s">
        <v>1104</v>
      </c>
      <c r="B1745" t="s">
        <v>2906</v>
      </c>
      <c r="C1745" t="s">
        <v>3031</v>
      </c>
    </row>
    <row r="1746" spans="1:3" x14ac:dyDescent="0.25">
      <c r="A1746" t="s">
        <v>3032</v>
      </c>
      <c r="B1746" t="s">
        <v>2906</v>
      </c>
      <c r="C1746" t="s">
        <v>3033</v>
      </c>
    </row>
    <row r="1747" spans="1:3" x14ac:dyDescent="0.25">
      <c r="A1747" t="s">
        <v>1234</v>
      </c>
      <c r="B1747" t="s">
        <v>2906</v>
      </c>
      <c r="C1747" t="s">
        <v>3034</v>
      </c>
    </row>
    <row r="1748" spans="1:3" x14ac:dyDescent="0.25">
      <c r="A1748" t="s">
        <v>261</v>
      </c>
      <c r="B1748" t="s">
        <v>2906</v>
      </c>
      <c r="C1748" t="s">
        <v>3035</v>
      </c>
    </row>
    <row r="1749" spans="1:3" x14ac:dyDescent="0.25">
      <c r="A1749" t="s">
        <v>1130</v>
      </c>
      <c r="B1749" t="s">
        <v>2906</v>
      </c>
      <c r="C1749" t="s">
        <v>3036</v>
      </c>
    </row>
    <row r="1750" spans="1:3" x14ac:dyDescent="0.25">
      <c r="A1750" t="s">
        <v>1132</v>
      </c>
      <c r="B1750" t="s">
        <v>2906</v>
      </c>
      <c r="C1750" t="s">
        <v>3037</v>
      </c>
    </row>
    <row r="1751" spans="1:3" x14ac:dyDescent="0.25">
      <c r="A1751" t="s">
        <v>1134</v>
      </c>
      <c r="B1751" t="s">
        <v>2906</v>
      </c>
      <c r="C1751" t="s">
        <v>3038</v>
      </c>
    </row>
    <row r="1752" spans="1:3" x14ac:dyDescent="0.25">
      <c r="A1752" t="s">
        <v>2167</v>
      </c>
      <c r="B1752" t="s">
        <v>2906</v>
      </c>
      <c r="C1752" t="s">
        <v>3039</v>
      </c>
    </row>
    <row r="1753" spans="1:3" x14ac:dyDescent="0.25">
      <c r="A1753" t="s">
        <v>3041</v>
      </c>
      <c r="B1753" t="s">
        <v>3042</v>
      </c>
      <c r="C1753" t="s">
        <v>3043</v>
      </c>
    </row>
    <row r="1754" spans="1:3" x14ac:dyDescent="0.25">
      <c r="A1754" t="s">
        <v>377</v>
      </c>
      <c r="B1754" t="s">
        <v>3042</v>
      </c>
      <c r="C1754" t="s">
        <v>3044</v>
      </c>
    </row>
    <row r="1755" spans="1:3" x14ac:dyDescent="0.25">
      <c r="A1755" t="s">
        <v>646</v>
      </c>
      <c r="B1755" t="s">
        <v>3042</v>
      </c>
      <c r="C1755" t="s">
        <v>3045</v>
      </c>
    </row>
    <row r="1756" spans="1:3" x14ac:dyDescent="0.25">
      <c r="A1756" t="s">
        <v>3046</v>
      </c>
      <c r="B1756" t="s">
        <v>3042</v>
      </c>
      <c r="C1756" t="s">
        <v>3047</v>
      </c>
    </row>
    <row r="1757" spans="1:3" x14ac:dyDescent="0.25">
      <c r="A1757" t="s">
        <v>3048</v>
      </c>
      <c r="B1757" t="s">
        <v>3042</v>
      </c>
      <c r="C1757" t="s">
        <v>3049</v>
      </c>
    </row>
    <row r="1758" spans="1:3" x14ac:dyDescent="0.25">
      <c r="A1758" t="s">
        <v>3050</v>
      </c>
      <c r="B1758" t="s">
        <v>3042</v>
      </c>
      <c r="C1758" t="s">
        <v>3051</v>
      </c>
    </row>
    <row r="1759" spans="1:3" x14ac:dyDescent="0.25">
      <c r="A1759" t="s">
        <v>516</v>
      </c>
      <c r="B1759" t="s">
        <v>3042</v>
      </c>
      <c r="C1759" t="s">
        <v>3052</v>
      </c>
    </row>
    <row r="1760" spans="1:3" x14ac:dyDescent="0.25">
      <c r="A1760" t="s">
        <v>3053</v>
      </c>
      <c r="B1760" t="s">
        <v>3042</v>
      </c>
      <c r="C1760" t="s">
        <v>3054</v>
      </c>
    </row>
    <row r="1761" spans="1:3" x14ac:dyDescent="0.25">
      <c r="A1761" t="s">
        <v>428</v>
      </c>
      <c r="B1761" t="s">
        <v>3042</v>
      </c>
      <c r="C1761" t="s">
        <v>3055</v>
      </c>
    </row>
    <row r="1762" spans="1:3" x14ac:dyDescent="0.25">
      <c r="A1762" t="s">
        <v>1615</v>
      </c>
      <c r="B1762" t="s">
        <v>3042</v>
      </c>
      <c r="C1762" t="s">
        <v>3056</v>
      </c>
    </row>
    <row r="1763" spans="1:3" x14ac:dyDescent="0.25">
      <c r="A1763" t="s">
        <v>685</v>
      </c>
      <c r="B1763" t="s">
        <v>3042</v>
      </c>
      <c r="C1763" t="s">
        <v>3057</v>
      </c>
    </row>
    <row r="1764" spans="1:3" x14ac:dyDescent="0.25">
      <c r="A1764" t="s">
        <v>3058</v>
      </c>
      <c r="B1764" t="s">
        <v>3042</v>
      </c>
      <c r="C1764" t="s">
        <v>3059</v>
      </c>
    </row>
    <row r="1765" spans="1:3" x14ac:dyDescent="0.25">
      <c r="A1765" t="s">
        <v>3060</v>
      </c>
      <c r="B1765" t="s">
        <v>3042</v>
      </c>
      <c r="C1765" t="s">
        <v>3061</v>
      </c>
    </row>
    <row r="1766" spans="1:3" x14ac:dyDescent="0.25">
      <c r="A1766" t="s">
        <v>3062</v>
      </c>
      <c r="B1766" t="s">
        <v>3042</v>
      </c>
      <c r="C1766" t="s">
        <v>3063</v>
      </c>
    </row>
    <row r="1767" spans="1:3" x14ac:dyDescent="0.25">
      <c r="A1767" t="s">
        <v>3064</v>
      </c>
      <c r="B1767" t="s">
        <v>3042</v>
      </c>
      <c r="C1767" t="s">
        <v>3065</v>
      </c>
    </row>
    <row r="1768" spans="1:3" x14ac:dyDescent="0.25">
      <c r="A1768" t="s">
        <v>3066</v>
      </c>
      <c r="B1768" t="s">
        <v>3042</v>
      </c>
      <c r="C1768" t="s">
        <v>3067</v>
      </c>
    </row>
    <row r="1769" spans="1:3" x14ac:dyDescent="0.25">
      <c r="A1769" t="s">
        <v>3068</v>
      </c>
      <c r="B1769" t="s">
        <v>3042</v>
      </c>
      <c r="C1769" t="s">
        <v>3069</v>
      </c>
    </row>
    <row r="1770" spans="1:3" x14ac:dyDescent="0.25">
      <c r="A1770" t="s">
        <v>3071</v>
      </c>
      <c r="B1770" t="s">
        <v>3072</v>
      </c>
      <c r="C1770" t="s">
        <v>3073</v>
      </c>
    </row>
    <row r="1771" spans="1:3" x14ac:dyDescent="0.25">
      <c r="A1771" t="s">
        <v>373</v>
      </c>
      <c r="B1771" t="s">
        <v>3072</v>
      </c>
      <c r="C1771" t="s">
        <v>3074</v>
      </c>
    </row>
    <row r="1772" spans="1:3" x14ac:dyDescent="0.25">
      <c r="A1772" t="s">
        <v>3075</v>
      </c>
      <c r="B1772" t="s">
        <v>3072</v>
      </c>
      <c r="C1772" t="s">
        <v>3076</v>
      </c>
    </row>
    <row r="1773" spans="1:3" x14ac:dyDescent="0.25">
      <c r="A1773" t="s">
        <v>3077</v>
      </c>
      <c r="B1773" t="s">
        <v>3072</v>
      </c>
      <c r="C1773" t="s">
        <v>3078</v>
      </c>
    </row>
    <row r="1774" spans="1:3" x14ac:dyDescent="0.25">
      <c r="A1774" t="s">
        <v>3079</v>
      </c>
      <c r="B1774" t="s">
        <v>3072</v>
      </c>
      <c r="C1774" t="s">
        <v>3080</v>
      </c>
    </row>
    <row r="1775" spans="1:3" x14ac:dyDescent="0.25">
      <c r="A1775" t="s">
        <v>809</v>
      </c>
      <c r="B1775" t="s">
        <v>3072</v>
      </c>
      <c r="C1775" t="s">
        <v>3081</v>
      </c>
    </row>
    <row r="1776" spans="1:3" x14ac:dyDescent="0.25">
      <c r="A1776" t="s">
        <v>3082</v>
      </c>
      <c r="B1776" t="s">
        <v>3072</v>
      </c>
      <c r="C1776" t="s">
        <v>3083</v>
      </c>
    </row>
    <row r="1777" spans="1:3" x14ac:dyDescent="0.25">
      <c r="A1777" t="s">
        <v>3084</v>
      </c>
      <c r="B1777" t="s">
        <v>3072</v>
      </c>
      <c r="C1777" t="s">
        <v>3085</v>
      </c>
    </row>
    <row r="1778" spans="1:3" x14ac:dyDescent="0.25">
      <c r="A1778" t="s">
        <v>3086</v>
      </c>
      <c r="B1778" t="s">
        <v>3072</v>
      </c>
      <c r="C1778" t="s">
        <v>3087</v>
      </c>
    </row>
    <row r="1779" spans="1:3" x14ac:dyDescent="0.25">
      <c r="A1779" t="s">
        <v>1504</v>
      </c>
      <c r="B1779" t="s">
        <v>3072</v>
      </c>
      <c r="C1779" t="s">
        <v>3088</v>
      </c>
    </row>
    <row r="1780" spans="1:3" x14ac:dyDescent="0.25">
      <c r="A1780" t="s">
        <v>3090</v>
      </c>
      <c r="B1780" t="s">
        <v>3091</v>
      </c>
      <c r="C1780" t="s">
        <v>3092</v>
      </c>
    </row>
    <row r="1781" spans="1:3" x14ac:dyDescent="0.25">
      <c r="A1781" t="s">
        <v>3093</v>
      </c>
      <c r="B1781" t="s">
        <v>3091</v>
      </c>
      <c r="C1781" t="s">
        <v>3094</v>
      </c>
    </row>
    <row r="1782" spans="1:3" x14ac:dyDescent="0.25">
      <c r="A1782" t="s">
        <v>3095</v>
      </c>
      <c r="B1782" t="s">
        <v>3091</v>
      </c>
      <c r="C1782" t="s">
        <v>3096</v>
      </c>
    </row>
    <row r="1783" spans="1:3" x14ac:dyDescent="0.25">
      <c r="A1783" t="s">
        <v>913</v>
      </c>
      <c r="B1783" t="s">
        <v>3091</v>
      </c>
      <c r="C1783" t="s">
        <v>3097</v>
      </c>
    </row>
    <row r="1784" spans="1:3" x14ac:dyDescent="0.25">
      <c r="A1784" t="s">
        <v>3098</v>
      </c>
      <c r="B1784" t="s">
        <v>3091</v>
      </c>
      <c r="C1784" t="s">
        <v>3099</v>
      </c>
    </row>
    <row r="1785" spans="1:3" x14ac:dyDescent="0.25">
      <c r="A1785" t="s">
        <v>1265</v>
      </c>
      <c r="B1785" t="s">
        <v>3091</v>
      </c>
      <c r="C1785" t="s">
        <v>3100</v>
      </c>
    </row>
    <row r="1786" spans="1:3" x14ac:dyDescent="0.25">
      <c r="A1786" t="s">
        <v>2222</v>
      </c>
      <c r="B1786" t="s">
        <v>3091</v>
      </c>
      <c r="C1786" t="s">
        <v>3101</v>
      </c>
    </row>
    <row r="1787" spans="1:3" x14ac:dyDescent="0.25">
      <c r="A1787" t="s">
        <v>3102</v>
      </c>
      <c r="B1787" t="s">
        <v>3091</v>
      </c>
      <c r="C1787" t="s">
        <v>3103</v>
      </c>
    </row>
    <row r="1788" spans="1:3" x14ac:dyDescent="0.25">
      <c r="A1788" t="s">
        <v>3104</v>
      </c>
      <c r="B1788" t="s">
        <v>3091</v>
      </c>
      <c r="C1788" t="s">
        <v>3105</v>
      </c>
    </row>
    <row r="1789" spans="1:3" x14ac:dyDescent="0.25">
      <c r="A1789" t="s">
        <v>3106</v>
      </c>
      <c r="B1789" t="s">
        <v>3091</v>
      </c>
      <c r="C1789" t="s">
        <v>3107</v>
      </c>
    </row>
    <row r="1790" spans="1:3" x14ac:dyDescent="0.25">
      <c r="A1790" t="s">
        <v>1339</v>
      </c>
      <c r="B1790" t="s">
        <v>3091</v>
      </c>
      <c r="C1790" t="s">
        <v>3108</v>
      </c>
    </row>
    <row r="1791" spans="1:3" x14ac:dyDescent="0.25">
      <c r="A1791" t="s">
        <v>737</v>
      </c>
      <c r="B1791" t="s">
        <v>3091</v>
      </c>
      <c r="C1791" t="s">
        <v>3109</v>
      </c>
    </row>
    <row r="1792" spans="1:3" x14ac:dyDescent="0.25">
      <c r="A1792" t="s">
        <v>3110</v>
      </c>
      <c r="B1792" t="s">
        <v>3091</v>
      </c>
      <c r="C1792" t="s">
        <v>3111</v>
      </c>
    </row>
    <row r="1793" spans="1:3" x14ac:dyDescent="0.25">
      <c r="A1793" t="s">
        <v>1774</v>
      </c>
      <c r="B1793" t="s">
        <v>3091</v>
      </c>
      <c r="C1793" t="s">
        <v>3112</v>
      </c>
    </row>
    <row r="1794" spans="1:3" x14ac:dyDescent="0.25">
      <c r="A1794" t="s">
        <v>3113</v>
      </c>
      <c r="B1794" t="s">
        <v>3091</v>
      </c>
      <c r="C1794" t="s">
        <v>3114</v>
      </c>
    </row>
    <row r="1795" spans="1:3" x14ac:dyDescent="0.25">
      <c r="A1795" t="s">
        <v>3115</v>
      </c>
      <c r="B1795" t="s">
        <v>3091</v>
      </c>
      <c r="C1795" t="s">
        <v>3116</v>
      </c>
    </row>
    <row r="1796" spans="1:3" x14ac:dyDescent="0.25">
      <c r="A1796" t="s">
        <v>3117</v>
      </c>
      <c r="B1796" t="s">
        <v>3091</v>
      </c>
      <c r="C1796" t="s">
        <v>3118</v>
      </c>
    </row>
    <row r="1797" spans="1:3" x14ac:dyDescent="0.25">
      <c r="A1797" t="s">
        <v>2162</v>
      </c>
      <c r="B1797" t="s">
        <v>3091</v>
      </c>
      <c r="C1797" t="s">
        <v>3119</v>
      </c>
    </row>
    <row r="1798" spans="1:3" x14ac:dyDescent="0.25">
      <c r="A1798" t="s">
        <v>753</v>
      </c>
      <c r="B1798" t="s">
        <v>3091</v>
      </c>
      <c r="C1798" t="s">
        <v>3120</v>
      </c>
    </row>
    <row r="1799" spans="1:3" x14ac:dyDescent="0.25">
      <c r="A1799" t="s">
        <v>481</v>
      </c>
      <c r="B1799" t="s">
        <v>3091</v>
      </c>
      <c r="C1799" t="s">
        <v>3121</v>
      </c>
    </row>
    <row r="1800" spans="1:3" x14ac:dyDescent="0.25">
      <c r="A1800" t="s">
        <v>1127</v>
      </c>
      <c r="B1800" t="s">
        <v>3091</v>
      </c>
      <c r="C1800" t="s">
        <v>3122</v>
      </c>
    </row>
    <row r="1801" spans="1:3" x14ac:dyDescent="0.25">
      <c r="A1801" t="s">
        <v>3124</v>
      </c>
      <c r="B1801" t="s">
        <v>3125</v>
      </c>
      <c r="C1801" t="s">
        <v>3126</v>
      </c>
    </row>
    <row r="1802" spans="1:3" x14ac:dyDescent="0.25">
      <c r="A1802" t="s">
        <v>3127</v>
      </c>
      <c r="B1802" t="s">
        <v>3125</v>
      </c>
      <c r="C1802" t="s">
        <v>3128</v>
      </c>
    </row>
    <row r="1803" spans="1:3" x14ac:dyDescent="0.25">
      <c r="A1803" t="s">
        <v>3129</v>
      </c>
      <c r="B1803" t="s">
        <v>3125</v>
      </c>
      <c r="C1803" t="s">
        <v>3130</v>
      </c>
    </row>
    <row r="1804" spans="1:3" x14ac:dyDescent="0.25">
      <c r="A1804" t="s">
        <v>3131</v>
      </c>
      <c r="B1804" t="s">
        <v>3125</v>
      </c>
      <c r="C1804" t="s">
        <v>3132</v>
      </c>
    </row>
    <row r="1805" spans="1:3" x14ac:dyDescent="0.25">
      <c r="A1805" t="s">
        <v>2932</v>
      </c>
      <c r="B1805" t="s">
        <v>3125</v>
      </c>
      <c r="C1805" t="s">
        <v>3133</v>
      </c>
    </row>
    <row r="1806" spans="1:3" x14ac:dyDescent="0.25">
      <c r="A1806" t="s">
        <v>3134</v>
      </c>
      <c r="B1806" t="s">
        <v>3125</v>
      </c>
      <c r="C1806" t="s">
        <v>3135</v>
      </c>
    </row>
    <row r="1807" spans="1:3" x14ac:dyDescent="0.25">
      <c r="A1807" t="s">
        <v>3136</v>
      </c>
      <c r="B1807" t="s">
        <v>3125</v>
      </c>
      <c r="C1807" t="s">
        <v>3137</v>
      </c>
    </row>
    <row r="1808" spans="1:3" x14ac:dyDescent="0.25">
      <c r="A1808" t="s">
        <v>3138</v>
      </c>
      <c r="B1808" t="s">
        <v>3125</v>
      </c>
      <c r="C1808" t="s">
        <v>3139</v>
      </c>
    </row>
    <row r="1809" spans="1:3" x14ac:dyDescent="0.25">
      <c r="A1809" t="s">
        <v>3140</v>
      </c>
      <c r="B1809" t="s">
        <v>3125</v>
      </c>
      <c r="C1809" t="s">
        <v>3141</v>
      </c>
    </row>
    <row r="1810" spans="1:3" x14ac:dyDescent="0.25">
      <c r="A1810" t="s">
        <v>407</v>
      </c>
      <c r="B1810" t="s">
        <v>3125</v>
      </c>
      <c r="C1810" t="s">
        <v>3142</v>
      </c>
    </row>
    <row r="1811" spans="1:3" x14ac:dyDescent="0.25">
      <c r="A1811" t="s">
        <v>3143</v>
      </c>
      <c r="B1811" t="s">
        <v>3125</v>
      </c>
      <c r="C1811" t="s">
        <v>3144</v>
      </c>
    </row>
    <row r="1812" spans="1:3" x14ac:dyDescent="0.25">
      <c r="A1812" t="s">
        <v>3145</v>
      </c>
      <c r="B1812" t="s">
        <v>3125</v>
      </c>
      <c r="C1812" t="s">
        <v>3146</v>
      </c>
    </row>
    <row r="1813" spans="1:3" x14ac:dyDescent="0.25">
      <c r="A1813" t="s">
        <v>3147</v>
      </c>
      <c r="B1813" t="s">
        <v>3125</v>
      </c>
      <c r="C1813" t="s">
        <v>3148</v>
      </c>
    </row>
    <row r="1814" spans="1:3" x14ac:dyDescent="0.25">
      <c r="A1814" t="s">
        <v>3149</v>
      </c>
      <c r="B1814" t="s">
        <v>3125</v>
      </c>
      <c r="C1814" t="s">
        <v>3150</v>
      </c>
    </row>
    <row r="1815" spans="1:3" x14ac:dyDescent="0.25">
      <c r="A1815" t="s">
        <v>428</v>
      </c>
      <c r="B1815" t="s">
        <v>3125</v>
      </c>
      <c r="C1815" t="s">
        <v>3151</v>
      </c>
    </row>
    <row r="1816" spans="1:3" x14ac:dyDescent="0.25">
      <c r="A1816" t="s">
        <v>3152</v>
      </c>
      <c r="B1816" t="s">
        <v>3125</v>
      </c>
      <c r="C1816" t="s">
        <v>3153</v>
      </c>
    </row>
    <row r="1817" spans="1:3" x14ac:dyDescent="0.25">
      <c r="A1817" t="s">
        <v>3154</v>
      </c>
      <c r="B1817" t="s">
        <v>3125</v>
      </c>
      <c r="C1817" t="s">
        <v>3155</v>
      </c>
    </row>
    <row r="1818" spans="1:3" x14ac:dyDescent="0.25">
      <c r="A1818" t="s">
        <v>3156</v>
      </c>
      <c r="B1818" t="s">
        <v>3125</v>
      </c>
      <c r="C1818" t="s">
        <v>3157</v>
      </c>
    </row>
    <row r="1819" spans="1:3" x14ac:dyDescent="0.25">
      <c r="A1819" t="s">
        <v>3158</v>
      </c>
      <c r="B1819" t="s">
        <v>3125</v>
      </c>
      <c r="C1819" t="s">
        <v>3159</v>
      </c>
    </row>
    <row r="1820" spans="1:3" x14ac:dyDescent="0.25">
      <c r="A1820" t="s">
        <v>694</v>
      </c>
      <c r="B1820" t="s">
        <v>3125</v>
      </c>
      <c r="C1820" t="s">
        <v>3160</v>
      </c>
    </row>
    <row r="1821" spans="1:3" x14ac:dyDescent="0.25">
      <c r="A1821" t="s">
        <v>3161</v>
      </c>
      <c r="B1821" t="s">
        <v>3125</v>
      </c>
      <c r="C1821" t="s">
        <v>3162</v>
      </c>
    </row>
    <row r="1822" spans="1:3" x14ac:dyDescent="0.25">
      <c r="A1822" t="s">
        <v>3163</v>
      </c>
      <c r="B1822" t="s">
        <v>3125</v>
      </c>
      <c r="C1822" t="s">
        <v>3164</v>
      </c>
    </row>
    <row r="1823" spans="1:3" x14ac:dyDescent="0.25">
      <c r="A1823" t="s">
        <v>2878</v>
      </c>
      <c r="B1823" t="s">
        <v>3125</v>
      </c>
      <c r="C1823" t="s">
        <v>3165</v>
      </c>
    </row>
    <row r="1824" spans="1:3" x14ac:dyDescent="0.25">
      <c r="A1824" t="s">
        <v>3166</v>
      </c>
      <c r="B1824" t="s">
        <v>3125</v>
      </c>
      <c r="C1824" t="s">
        <v>3167</v>
      </c>
    </row>
    <row r="1825" spans="1:3" x14ac:dyDescent="0.25">
      <c r="A1825" t="s">
        <v>715</v>
      </c>
      <c r="B1825" t="s">
        <v>3125</v>
      </c>
      <c r="C1825" t="s">
        <v>3168</v>
      </c>
    </row>
    <row r="1826" spans="1:3" x14ac:dyDescent="0.25">
      <c r="A1826" t="s">
        <v>717</v>
      </c>
      <c r="B1826" t="s">
        <v>3125</v>
      </c>
      <c r="C1826" t="s">
        <v>3169</v>
      </c>
    </row>
    <row r="1827" spans="1:3" x14ac:dyDescent="0.25">
      <c r="A1827" t="s">
        <v>3170</v>
      </c>
      <c r="B1827" t="s">
        <v>3125</v>
      </c>
      <c r="C1827" t="s">
        <v>3171</v>
      </c>
    </row>
    <row r="1828" spans="1:3" x14ac:dyDescent="0.25">
      <c r="A1828" t="s">
        <v>582</v>
      </c>
      <c r="B1828" t="s">
        <v>3125</v>
      </c>
      <c r="C1828" t="s">
        <v>3172</v>
      </c>
    </row>
    <row r="1829" spans="1:3" x14ac:dyDescent="0.25">
      <c r="A1829" t="s">
        <v>3173</v>
      </c>
      <c r="B1829" t="s">
        <v>3125</v>
      </c>
      <c r="C1829" t="s">
        <v>3174</v>
      </c>
    </row>
    <row r="1830" spans="1:3" x14ac:dyDescent="0.25">
      <c r="A1830" t="s">
        <v>3175</v>
      </c>
      <c r="B1830" t="s">
        <v>3125</v>
      </c>
      <c r="C1830" t="s">
        <v>3176</v>
      </c>
    </row>
    <row r="1831" spans="1:3" x14ac:dyDescent="0.25">
      <c r="A1831" t="s">
        <v>3177</v>
      </c>
      <c r="B1831" t="s">
        <v>3125</v>
      </c>
      <c r="C1831" t="s">
        <v>3178</v>
      </c>
    </row>
    <row r="1832" spans="1:3" x14ac:dyDescent="0.25">
      <c r="A1832" t="s">
        <v>481</v>
      </c>
      <c r="B1832" t="s">
        <v>3125</v>
      </c>
      <c r="C1832" t="s">
        <v>3179</v>
      </c>
    </row>
    <row r="1833" spans="1:3" x14ac:dyDescent="0.25">
      <c r="A1833" t="s">
        <v>3180</v>
      </c>
      <c r="B1833" t="s">
        <v>3125</v>
      </c>
      <c r="C1833" t="s">
        <v>3181</v>
      </c>
    </row>
    <row r="1834" spans="1:3" x14ac:dyDescent="0.25">
      <c r="A1834" t="s">
        <v>3183</v>
      </c>
      <c r="B1834" t="s">
        <v>3184</v>
      </c>
      <c r="C1834" t="s">
        <v>3185</v>
      </c>
    </row>
    <row r="1835" spans="1:3" x14ac:dyDescent="0.25">
      <c r="A1835" t="s">
        <v>2170</v>
      </c>
      <c r="B1835" t="s">
        <v>3184</v>
      </c>
      <c r="C1835" t="s">
        <v>3186</v>
      </c>
    </row>
    <row r="1836" spans="1:3" x14ac:dyDescent="0.25">
      <c r="A1836" t="s">
        <v>3187</v>
      </c>
      <c r="B1836" t="s">
        <v>3184</v>
      </c>
      <c r="C1836" t="s">
        <v>3188</v>
      </c>
    </row>
    <row r="1837" spans="1:3" x14ac:dyDescent="0.25">
      <c r="A1837" t="s">
        <v>3189</v>
      </c>
      <c r="B1837" t="s">
        <v>3184</v>
      </c>
      <c r="C1837" t="s">
        <v>3190</v>
      </c>
    </row>
    <row r="1838" spans="1:3" x14ac:dyDescent="0.25">
      <c r="A1838" t="s">
        <v>3191</v>
      </c>
      <c r="B1838" t="s">
        <v>3184</v>
      </c>
      <c r="C1838" t="s">
        <v>3192</v>
      </c>
    </row>
    <row r="1839" spans="1:3" x14ac:dyDescent="0.25">
      <c r="A1839" t="s">
        <v>3193</v>
      </c>
      <c r="B1839" t="s">
        <v>3184</v>
      </c>
      <c r="C1839" t="s">
        <v>3194</v>
      </c>
    </row>
    <row r="1840" spans="1:3" x14ac:dyDescent="0.25">
      <c r="A1840" t="s">
        <v>1693</v>
      </c>
      <c r="B1840" t="s">
        <v>3184</v>
      </c>
      <c r="C1840" t="s">
        <v>3195</v>
      </c>
    </row>
    <row r="1841" spans="1:3" x14ac:dyDescent="0.25">
      <c r="A1841" t="s">
        <v>3196</v>
      </c>
      <c r="B1841" t="s">
        <v>3184</v>
      </c>
      <c r="C1841" t="s">
        <v>3197</v>
      </c>
    </row>
    <row r="1842" spans="1:3" x14ac:dyDescent="0.25">
      <c r="A1842" t="s">
        <v>3198</v>
      </c>
      <c r="B1842" t="s">
        <v>3184</v>
      </c>
      <c r="C1842" t="s">
        <v>3199</v>
      </c>
    </row>
    <row r="1843" spans="1:3" x14ac:dyDescent="0.25">
      <c r="A1843" t="s">
        <v>1259</v>
      </c>
      <c r="B1843" t="s">
        <v>3184</v>
      </c>
      <c r="C1843" t="s">
        <v>3200</v>
      </c>
    </row>
    <row r="1844" spans="1:3" x14ac:dyDescent="0.25">
      <c r="A1844" t="s">
        <v>383</v>
      </c>
      <c r="B1844" t="s">
        <v>3184</v>
      </c>
      <c r="C1844" t="s">
        <v>3201</v>
      </c>
    </row>
    <row r="1845" spans="1:3" x14ac:dyDescent="0.25">
      <c r="A1845" t="s">
        <v>3202</v>
      </c>
      <c r="B1845" t="s">
        <v>3184</v>
      </c>
      <c r="C1845" t="s">
        <v>3203</v>
      </c>
    </row>
    <row r="1846" spans="1:3" x14ac:dyDescent="0.25">
      <c r="A1846" t="s">
        <v>1419</v>
      </c>
      <c r="B1846" t="s">
        <v>3184</v>
      </c>
      <c r="C1846" t="s">
        <v>3204</v>
      </c>
    </row>
    <row r="1847" spans="1:3" x14ac:dyDescent="0.25">
      <c r="A1847" t="s">
        <v>3205</v>
      </c>
      <c r="B1847" t="s">
        <v>3184</v>
      </c>
      <c r="C1847" t="s">
        <v>3206</v>
      </c>
    </row>
    <row r="1848" spans="1:3" x14ac:dyDescent="0.25">
      <c r="A1848" t="s">
        <v>3207</v>
      </c>
      <c r="B1848" t="s">
        <v>3184</v>
      </c>
      <c r="C1848" t="s">
        <v>3208</v>
      </c>
    </row>
    <row r="1849" spans="1:3" x14ac:dyDescent="0.25">
      <c r="A1849" t="s">
        <v>2222</v>
      </c>
      <c r="B1849" t="s">
        <v>3184</v>
      </c>
      <c r="C1849" t="s">
        <v>3209</v>
      </c>
    </row>
    <row r="1850" spans="1:3" x14ac:dyDescent="0.25">
      <c r="A1850" t="s">
        <v>191</v>
      </c>
      <c r="B1850" t="s">
        <v>3184</v>
      </c>
      <c r="C1850" t="s">
        <v>3210</v>
      </c>
    </row>
    <row r="1851" spans="1:3" x14ac:dyDescent="0.25">
      <c r="A1851" t="s">
        <v>403</v>
      </c>
      <c r="B1851" t="s">
        <v>3184</v>
      </c>
      <c r="C1851" t="s">
        <v>3211</v>
      </c>
    </row>
    <row r="1852" spans="1:3" x14ac:dyDescent="0.25">
      <c r="A1852" t="s">
        <v>2279</v>
      </c>
      <c r="B1852" t="s">
        <v>3184</v>
      </c>
      <c r="C1852" t="s">
        <v>3212</v>
      </c>
    </row>
    <row r="1853" spans="1:3" x14ac:dyDescent="0.25">
      <c r="A1853" t="s">
        <v>195</v>
      </c>
      <c r="B1853" t="s">
        <v>3184</v>
      </c>
      <c r="C1853" t="s">
        <v>3213</v>
      </c>
    </row>
    <row r="1854" spans="1:3" x14ac:dyDescent="0.25">
      <c r="A1854" t="s">
        <v>799</v>
      </c>
      <c r="B1854" t="s">
        <v>3184</v>
      </c>
      <c r="C1854" t="s">
        <v>3214</v>
      </c>
    </row>
    <row r="1855" spans="1:3" x14ac:dyDescent="0.25">
      <c r="A1855" t="s">
        <v>3215</v>
      </c>
      <c r="B1855" t="s">
        <v>3184</v>
      </c>
      <c r="C1855" t="s">
        <v>3216</v>
      </c>
    </row>
    <row r="1856" spans="1:3" x14ac:dyDescent="0.25">
      <c r="A1856" t="s">
        <v>205</v>
      </c>
      <c r="B1856" t="s">
        <v>3184</v>
      </c>
      <c r="C1856" t="s">
        <v>3217</v>
      </c>
    </row>
    <row r="1857" spans="1:3" x14ac:dyDescent="0.25">
      <c r="A1857" t="s">
        <v>524</v>
      </c>
      <c r="B1857" t="s">
        <v>3184</v>
      </c>
      <c r="C1857" t="s">
        <v>3218</v>
      </c>
    </row>
    <row r="1858" spans="1:3" x14ac:dyDescent="0.25">
      <c r="A1858" t="s">
        <v>1212</v>
      </c>
      <c r="B1858" t="s">
        <v>3184</v>
      </c>
      <c r="C1858" t="s">
        <v>3219</v>
      </c>
    </row>
    <row r="1859" spans="1:3" x14ac:dyDescent="0.25">
      <c r="A1859" t="s">
        <v>1318</v>
      </c>
      <c r="B1859" t="s">
        <v>3184</v>
      </c>
      <c r="C1859" t="s">
        <v>3220</v>
      </c>
    </row>
    <row r="1860" spans="1:3" x14ac:dyDescent="0.25">
      <c r="A1860" t="s">
        <v>221</v>
      </c>
      <c r="B1860" t="s">
        <v>3184</v>
      </c>
      <c r="C1860" t="s">
        <v>3221</v>
      </c>
    </row>
    <row r="1861" spans="1:3" x14ac:dyDescent="0.25">
      <c r="A1861" t="s">
        <v>231</v>
      </c>
      <c r="B1861" t="s">
        <v>3184</v>
      </c>
      <c r="C1861" t="s">
        <v>3222</v>
      </c>
    </row>
    <row r="1862" spans="1:3" x14ac:dyDescent="0.25">
      <c r="A1862" t="s">
        <v>233</v>
      </c>
      <c r="B1862" t="s">
        <v>3184</v>
      </c>
      <c r="C1862" t="s">
        <v>3223</v>
      </c>
    </row>
    <row r="1863" spans="1:3" x14ac:dyDescent="0.25">
      <c r="A1863" t="s">
        <v>835</v>
      </c>
      <c r="B1863" t="s">
        <v>3184</v>
      </c>
      <c r="C1863" t="s">
        <v>3224</v>
      </c>
    </row>
    <row r="1864" spans="1:3" x14ac:dyDescent="0.25">
      <c r="A1864" t="s">
        <v>3225</v>
      </c>
      <c r="B1864" t="s">
        <v>3184</v>
      </c>
      <c r="C1864" t="s">
        <v>3226</v>
      </c>
    </row>
    <row r="1865" spans="1:3" x14ac:dyDescent="0.25">
      <c r="A1865" t="s">
        <v>3227</v>
      </c>
      <c r="B1865" t="s">
        <v>3184</v>
      </c>
      <c r="C1865" t="s">
        <v>3228</v>
      </c>
    </row>
    <row r="1866" spans="1:3" x14ac:dyDescent="0.25">
      <c r="A1866" t="s">
        <v>1220</v>
      </c>
      <c r="B1866" t="s">
        <v>3184</v>
      </c>
      <c r="C1866" t="s">
        <v>3229</v>
      </c>
    </row>
    <row r="1867" spans="1:3" x14ac:dyDescent="0.25">
      <c r="A1867" t="s">
        <v>3230</v>
      </c>
      <c r="B1867" t="s">
        <v>3184</v>
      </c>
      <c r="C1867" t="s">
        <v>3231</v>
      </c>
    </row>
    <row r="1868" spans="1:3" x14ac:dyDescent="0.25">
      <c r="A1868" t="s">
        <v>3232</v>
      </c>
      <c r="B1868" t="s">
        <v>3184</v>
      </c>
      <c r="C1868" t="s">
        <v>3233</v>
      </c>
    </row>
    <row r="1869" spans="1:3" x14ac:dyDescent="0.25">
      <c r="A1869" t="s">
        <v>551</v>
      </c>
      <c r="B1869" t="s">
        <v>3184</v>
      </c>
      <c r="C1869" t="s">
        <v>3234</v>
      </c>
    </row>
    <row r="1870" spans="1:3" x14ac:dyDescent="0.25">
      <c r="A1870" t="s">
        <v>2089</v>
      </c>
      <c r="B1870" t="s">
        <v>3184</v>
      </c>
      <c r="C1870" t="s">
        <v>3235</v>
      </c>
    </row>
    <row r="1871" spans="1:3" x14ac:dyDescent="0.25">
      <c r="A1871" t="s">
        <v>3236</v>
      </c>
      <c r="B1871" t="s">
        <v>3184</v>
      </c>
      <c r="C1871" t="s">
        <v>3237</v>
      </c>
    </row>
    <row r="1872" spans="1:3" x14ac:dyDescent="0.25">
      <c r="A1872" t="s">
        <v>2360</v>
      </c>
      <c r="B1872" t="s">
        <v>3184</v>
      </c>
      <c r="C1872" t="s">
        <v>3238</v>
      </c>
    </row>
    <row r="1873" spans="1:3" x14ac:dyDescent="0.25">
      <c r="A1873" t="s">
        <v>851</v>
      </c>
      <c r="B1873" t="s">
        <v>3184</v>
      </c>
      <c r="C1873" t="s">
        <v>3239</v>
      </c>
    </row>
    <row r="1874" spans="1:3" x14ac:dyDescent="0.25">
      <c r="A1874" t="s">
        <v>3240</v>
      </c>
      <c r="B1874" t="s">
        <v>3184</v>
      </c>
      <c r="C1874" t="s">
        <v>3241</v>
      </c>
    </row>
    <row r="1875" spans="1:3" x14ac:dyDescent="0.25">
      <c r="A1875" t="s">
        <v>3242</v>
      </c>
      <c r="B1875" t="s">
        <v>3184</v>
      </c>
      <c r="C1875" t="s">
        <v>3243</v>
      </c>
    </row>
    <row r="1876" spans="1:3" x14ac:dyDescent="0.25">
      <c r="A1876" t="s">
        <v>1077</v>
      </c>
      <c r="B1876" t="s">
        <v>3184</v>
      </c>
      <c r="C1876" t="s">
        <v>3244</v>
      </c>
    </row>
    <row r="1877" spans="1:3" x14ac:dyDescent="0.25">
      <c r="A1877" t="s">
        <v>3245</v>
      </c>
      <c r="B1877" t="s">
        <v>3184</v>
      </c>
      <c r="C1877" t="s">
        <v>3246</v>
      </c>
    </row>
    <row r="1878" spans="1:3" x14ac:dyDescent="0.25">
      <c r="A1878" t="s">
        <v>3247</v>
      </c>
      <c r="B1878" t="s">
        <v>3184</v>
      </c>
      <c r="C1878" t="s">
        <v>3248</v>
      </c>
    </row>
    <row r="1879" spans="1:3" x14ac:dyDescent="0.25">
      <c r="A1879" t="s">
        <v>3249</v>
      </c>
      <c r="B1879" t="s">
        <v>3184</v>
      </c>
      <c r="C1879" t="s">
        <v>3250</v>
      </c>
    </row>
    <row r="1880" spans="1:3" x14ac:dyDescent="0.25">
      <c r="A1880" t="s">
        <v>3251</v>
      </c>
      <c r="B1880" t="s">
        <v>3184</v>
      </c>
      <c r="C1880" t="s">
        <v>3252</v>
      </c>
    </row>
    <row r="1881" spans="1:3" x14ac:dyDescent="0.25">
      <c r="A1881" t="s">
        <v>3253</v>
      </c>
      <c r="B1881" t="s">
        <v>3184</v>
      </c>
      <c r="C1881" t="s">
        <v>3254</v>
      </c>
    </row>
    <row r="1882" spans="1:3" x14ac:dyDescent="0.25">
      <c r="A1882" t="s">
        <v>1366</v>
      </c>
      <c r="B1882" t="s">
        <v>3184</v>
      </c>
      <c r="C1882" t="s">
        <v>3255</v>
      </c>
    </row>
    <row r="1883" spans="1:3" x14ac:dyDescent="0.25">
      <c r="A1883" t="s">
        <v>3256</v>
      </c>
      <c r="B1883" t="s">
        <v>3184</v>
      </c>
      <c r="C1883" t="s">
        <v>3257</v>
      </c>
    </row>
    <row r="1884" spans="1:3" x14ac:dyDescent="0.25">
      <c r="A1884" t="s">
        <v>1502</v>
      </c>
      <c r="B1884" t="s">
        <v>3184</v>
      </c>
      <c r="C1884" t="s">
        <v>3258</v>
      </c>
    </row>
    <row r="1885" spans="1:3" x14ac:dyDescent="0.25">
      <c r="A1885" t="s">
        <v>2235</v>
      </c>
      <c r="B1885" t="s">
        <v>3184</v>
      </c>
      <c r="C1885" t="s">
        <v>3259</v>
      </c>
    </row>
    <row r="1886" spans="1:3" x14ac:dyDescent="0.25">
      <c r="A1886" t="s">
        <v>1504</v>
      </c>
      <c r="B1886" t="s">
        <v>3184</v>
      </c>
      <c r="C1886" t="s">
        <v>3260</v>
      </c>
    </row>
    <row r="1887" spans="1:3" x14ac:dyDescent="0.25">
      <c r="A1887" t="s">
        <v>3261</v>
      </c>
      <c r="B1887" t="s">
        <v>3184</v>
      </c>
      <c r="C1887" t="s">
        <v>3262</v>
      </c>
    </row>
    <row r="1888" spans="1:3" x14ac:dyDescent="0.25">
      <c r="A1888" t="s">
        <v>3263</v>
      </c>
      <c r="B1888" t="s">
        <v>3184</v>
      </c>
      <c r="C1888" t="s">
        <v>3264</v>
      </c>
    </row>
    <row r="1889" spans="1:3" x14ac:dyDescent="0.25">
      <c r="A1889" t="s">
        <v>3265</v>
      </c>
      <c r="B1889" t="s">
        <v>3184</v>
      </c>
      <c r="C1889" t="s">
        <v>3266</v>
      </c>
    </row>
    <row r="1890" spans="1:3" x14ac:dyDescent="0.25">
      <c r="A1890" t="s">
        <v>1127</v>
      </c>
      <c r="B1890" t="s">
        <v>3184</v>
      </c>
      <c r="C1890" t="s">
        <v>3267</v>
      </c>
    </row>
    <row r="1891" spans="1:3" x14ac:dyDescent="0.25">
      <c r="A1891" t="s">
        <v>261</v>
      </c>
      <c r="B1891" t="s">
        <v>3184</v>
      </c>
      <c r="C1891" t="s">
        <v>3268</v>
      </c>
    </row>
    <row r="1892" spans="1:3" x14ac:dyDescent="0.25">
      <c r="A1892" t="s">
        <v>1130</v>
      </c>
      <c r="B1892" t="s">
        <v>3184</v>
      </c>
      <c r="C1892" t="s">
        <v>3269</v>
      </c>
    </row>
    <row r="1893" spans="1:3" x14ac:dyDescent="0.25">
      <c r="A1893" t="s">
        <v>3270</v>
      </c>
      <c r="B1893" t="s">
        <v>3184</v>
      </c>
      <c r="C1893" t="s">
        <v>3271</v>
      </c>
    </row>
    <row r="1894" spans="1:3" x14ac:dyDescent="0.25">
      <c r="A1894" t="s">
        <v>3272</v>
      </c>
      <c r="B1894" t="s">
        <v>3184</v>
      </c>
      <c r="C1894" t="s">
        <v>3273</v>
      </c>
    </row>
    <row r="1895" spans="1:3" x14ac:dyDescent="0.25">
      <c r="A1895" t="s">
        <v>3274</v>
      </c>
      <c r="B1895" t="s">
        <v>3184</v>
      </c>
      <c r="C1895" t="s">
        <v>3275</v>
      </c>
    </row>
    <row r="1896" spans="1:3" x14ac:dyDescent="0.25">
      <c r="A1896" t="s">
        <v>3277</v>
      </c>
      <c r="B1896" t="s">
        <v>3278</v>
      </c>
      <c r="C1896" t="s">
        <v>3279</v>
      </c>
    </row>
    <row r="1897" spans="1:3" x14ac:dyDescent="0.25">
      <c r="A1897" t="s">
        <v>1240</v>
      </c>
      <c r="B1897" t="s">
        <v>3278</v>
      </c>
      <c r="C1897" t="s">
        <v>3280</v>
      </c>
    </row>
    <row r="1898" spans="1:3" x14ac:dyDescent="0.25">
      <c r="A1898" t="s">
        <v>3281</v>
      </c>
      <c r="B1898" t="s">
        <v>3278</v>
      </c>
      <c r="C1898" t="s">
        <v>3282</v>
      </c>
    </row>
    <row r="1899" spans="1:3" x14ac:dyDescent="0.25">
      <c r="A1899" t="s">
        <v>3283</v>
      </c>
      <c r="B1899" t="s">
        <v>3278</v>
      </c>
      <c r="C1899" t="s">
        <v>3284</v>
      </c>
    </row>
    <row r="1900" spans="1:3" x14ac:dyDescent="0.25">
      <c r="A1900" t="s">
        <v>3285</v>
      </c>
      <c r="B1900" t="s">
        <v>3278</v>
      </c>
      <c r="C1900" t="s">
        <v>3286</v>
      </c>
    </row>
    <row r="1901" spans="1:3" x14ac:dyDescent="0.25">
      <c r="A1901" t="s">
        <v>3287</v>
      </c>
      <c r="B1901" t="s">
        <v>3278</v>
      </c>
      <c r="C1901" t="s">
        <v>3288</v>
      </c>
    </row>
    <row r="1902" spans="1:3" x14ac:dyDescent="0.25">
      <c r="A1902" t="s">
        <v>3289</v>
      </c>
      <c r="B1902" t="s">
        <v>3278</v>
      </c>
      <c r="C1902" t="s">
        <v>3290</v>
      </c>
    </row>
    <row r="1903" spans="1:3" x14ac:dyDescent="0.25">
      <c r="A1903" t="s">
        <v>3291</v>
      </c>
      <c r="B1903" t="s">
        <v>3278</v>
      </c>
      <c r="C1903" t="s">
        <v>3292</v>
      </c>
    </row>
    <row r="1904" spans="1:3" x14ac:dyDescent="0.25">
      <c r="A1904" t="s">
        <v>3293</v>
      </c>
      <c r="B1904" t="s">
        <v>3278</v>
      </c>
      <c r="C1904" t="s">
        <v>3294</v>
      </c>
    </row>
    <row r="1905" spans="1:3" x14ac:dyDescent="0.25">
      <c r="A1905" t="s">
        <v>3295</v>
      </c>
      <c r="B1905" t="s">
        <v>3278</v>
      </c>
      <c r="C1905" t="s">
        <v>3296</v>
      </c>
    </row>
    <row r="1906" spans="1:3" x14ac:dyDescent="0.25">
      <c r="A1906" t="s">
        <v>3297</v>
      </c>
      <c r="B1906" t="s">
        <v>3278</v>
      </c>
      <c r="C1906" t="s">
        <v>3298</v>
      </c>
    </row>
    <row r="1907" spans="1:3" x14ac:dyDescent="0.25">
      <c r="A1907" t="s">
        <v>908</v>
      </c>
      <c r="B1907" t="s">
        <v>3278</v>
      </c>
      <c r="C1907" t="s">
        <v>3299</v>
      </c>
    </row>
    <row r="1908" spans="1:3" x14ac:dyDescent="0.25">
      <c r="A1908" t="s">
        <v>3300</v>
      </c>
      <c r="B1908" t="s">
        <v>3278</v>
      </c>
      <c r="C1908" t="s">
        <v>3301</v>
      </c>
    </row>
    <row r="1909" spans="1:3" x14ac:dyDescent="0.25">
      <c r="A1909" t="s">
        <v>1878</v>
      </c>
      <c r="B1909" t="s">
        <v>3278</v>
      </c>
      <c r="C1909" t="s">
        <v>3302</v>
      </c>
    </row>
    <row r="1910" spans="1:3" x14ac:dyDescent="0.25">
      <c r="A1910" t="s">
        <v>913</v>
      </c>
      <c r="B1910" t="s">
        <v>3278</v>
      </c>
      <c r="C1910" t="s">
        <v>3303</v>
      </c>
    </row>
    <row r="1911" spans="1:3" x14ac:dyDescent="0.25">
      <c r="A1911" t="s">
        <v>3304</v>
      </c>
      <c r="B1911" t="s">
        <v>3278</v>
      </c>
      <c r="C1911" t="s">
        <v>3305</v>
      </c>
    </row>
    <row r="1912" spans="1:3" x14ac:dyDescent="0.25">
      <c r="A1912" t="s">
        <v>3306</v>
      </c>
      <c r="B1912" t="s">
        <v>3278</v>
      </c>
      <c r="C1912" t="s">
        <v>3307</v>
      </c>
    </row>
    <row r="1913" spans="1:3" x14ac:dyDescent="0.25">
      <c r="A1913" t="s">
        <v>3308</v>
      </c>
      <c r="B1913" t="s">
        <v>3278</v>
      </c>
      <c r="C1913" t="s">
        <v>3309</v>
      </c>
    </row>
    <row r="1914" spans="1:3" x14ac:dyDescent="0.25">
      <c r="A1914" t="s">
        <v>922</v>
      </c>
      <c r="B1914" t="s">
        <v>3278</v>
      </c>
      <c r="C1914" t="s">
        <v>3310</v>
      </c>
    </row>
    <row r="1915" spans="1:3" x14ac:dyDescent="0.25">
      <c r="A1915" t="s">
        <v>151</v>
      </c>
      <c r="B1915" t="s">
        <v>3278</v>
      </c>
      <c r="C1915" t="s">
        <v>3311</v>
      </c>
    </row>
    <row r="1916" spans="1:3" x14ac:dyDescent="0.25">
      <c r="A1916" t="s">
        <v>3312</v>
      </c>
      <c r="B1916" t="s">
        <v>3278</v>
      </c>
      <c r="C1916" t="s">
        <v>3313</v>
      </c>
    </row>
    <row r="1917" spans="1:3" x14ac:dyDescent="0.25">
      <c r="A1917" t="s">
        <v>159</v>
      </c>
      <c r="B1917" t="s">
        <v>3278</v>
      </c>
      <c r="C1917" t="s">
        <v>3314</v>
      </c>
    </row>
    <row r="1918" spans="1:3" x14ac:dyDescent="0.25">
      <c r="A1918" t="s">
        <v>381</v>
      </c>
      <c r="B1918" t="s">
        <v>3278</v>
      </c>
      <c r="C1918" t="s">
        <v>3315</v>
      </c>
    </row>
    <row r="1919" spans="1:3" x14ac:dyDescent="0.25">
      <c r="A1919" t="s">
        <v>3316</v>
      </c>
      <c r="B1919" t="s">
        <v>3278</v>
      </c>
      <c r="C1919" t="s">
        <v>3317</v>
      </c>
    </row>
    <row r="1920" spans="1:3" x14ac:dyDescent="0.25">
      <c r="A1920" t="s">
        <v>3318</v>
      </c>
      <c r="B1920" t="s">
        <v>3278</v>
      </c>
      <c r="C1920" t="s">
        <v>3319</v>
      </c>
    </row>
    <row r="1921" spans="1:3" x14ac:dyDescent="0.25">
      <c r="A1921" t="s">
        <v>1265</v>
      </c>
      <c r="B1921" t="s">
        <v>3278</v>
      </c>
      <c r="C1921" t="s">
        <v>3320</v>
      </c>
    </row>
    <row r="1922" spans="1:3" x14ac:dyDescent="0.25">
      <c r="A1922" t="s">
        <v>3321</v>
      </c>
      <c r="B1922" t="s">
        <v>3278</v>
      </c>
      <c r="C1922" t="s">
        <v>3322</v>
      </c>
    </row>
    <row r="1923" spans="1:3" x14ac:dyDescent="0.25">
      <c r="A1923" t="s">
        <v>3323</v>
      </c>
      <c r="B1923" t="s">
        <v>3278</v>
      </c>
      <c r="C1923" t="s">
        <v>3324</v>
      </c>
    </row>
    <row r="1924" spans="1:3" x14ac:dyDescent="0.25">
      <c r="A1924" t="s">
        <v>3325</v>
      </c>
      <c r="B1924" t="s">
        <v>3278</v>
      </c>
      <c r="C1924" t="s">
        <v>3326</v>
      </c>
    </row>
    <row r="1925" spans="1:3" x14ac:dyDescent="0.25">
      <c r="A1925" t="s">
        <v>3327</v>
      </c>
      <c r="B1925" t="s">
        <v>3278</v>
      </c>
      <c r="C1925" t="s">
        <v>3328</v>
      </c>
    </row>
    <row r="1926" spans="1:3" x14ac:dyDescent="0.25">
      <c r="A1926" t="s">
        <v>3329</v>
      </c>
      <c r="B1926" t="s">
        <v>3278</v>
      </c>
      <c r="C1926" t="s">
        <v>3330</v>
      </c>
    </row>
    <row r="1927" spans="1:3" x14ac:dyDescent="0.25">
      <c r="A1927" t="s">
        <v>3331</v>
      </c>
      <c r="B1927" t="s">
        <v>3278</v>
      </c>
      <c r="C1927" t="s">
        <v>3332</v>
      </c>
    </row>
    <row r="1928" spans="1:3" x14ac:dyDescent="0.25">
      <c r="A1928" t="s">
        <v>3333</v>
      </c>
      <c r="B1928" t="s">
        <v>3278</v>
      </c>
      <c r="C1928" t="s">
        <v>3334</v>
      </c>
    </row>
    <row r="1929" spans="1:3" x14ac:dyDescent="0.25">
      <c r="A1929" t="s">
        <v>978</v>
      </c>
      <c r="B1929" t="s">
        <v>3278</v>
      </c>
      <c r="C1929" t="s">
        <v>3335</v>
      </c>
    </row>
    <row r="1930" spans="1:3" x14ac:dyDescent="0.25">
      <c r="A1930" t="s">
        <v>191</v>
      </c>
      <c r="B1930" t="s">
        <v>3278</v>
      </c>
      <c r="C1930" t="s">
        <v>3336</v>
      </c>
    </row>
    <row r="1931" spans="1:3" x14ac:dyDescent="0.25">
      <c r="A1931" t="s">
        <v>3337</v>
      </c>
      <c r="B1931" t="s">
        <v>3278</v>
      </c>
      <c r="C1931" t="s">
        <v>3338</v>
      </c>
    </row>
    <row r="1932" spans="1:3" x14ac:dyDescent="0.25">
      <c r="A1932" t="s">
        <v>3339</v>
      </c>
      <c r="B1932" t="s">
        <v>3278</v>
      </c>
      <c r="C1932" t="s">
        <v>3340</v>
      </c>
    </row>
    <row r="1933" spans="1:3" x14ac:dyDescent="0.25">
      <c r="A1933" t="s">
        <v>337</v>
      </c>
      <c r="B1933" t="s">
        <v>3278</v>
      </c>
      <c r="C1933" t="s">
        <v>3341</v>
      </c>
    </row>
    <row r="1934" spans="1:3" x14ac:dyDescent="0.25">
      <c r="A1934" t="s">
        <v>3342</v>
      </c>
      <c r="B1934" t="s">
        <v>3278</v>
      </c>
      <c r="C1934" t="s">
        <v>3343</v>
      </c>
    </row>
    <row r="1935" spans="1:3" x14ac:dyDescent="0.25">
      <c r="A1935" t="s">
        <v>195</v>
      </c>
      <c r="B1935" t="s">
        <v>3278</v>
      </c>
      <c r="C1935" t="s">
        <v>3344</v>
      </c>
    </row>
    <row r="1936" spans="1:3" x14ac:dyDescent="0.25">
      <c r="A1936" t="s">
        <v>3345</v>
      </c>
      <c r="B1936" t="s">
        <v>3278</v>
      </c>
      <c r="C1936" t="s">
        <v>3346</v>
      </c>
    </row>
    <row r="1937" spans="1:3" x14ac:dyDescent="0.25">
      <c r="A1937" t="s">
        <v>3347</v>
      </c>
      <c r="B1937" t="s">
        <v>3278</v>
      </c>
      <c r="C1937" t="s">
        <v>3348</v>
      </c>
    </row>
    <row r="1938" spans="1:3" x14ac:dyDescent="0.25">
      <c r="A1938" t="s">
        <v>3349</v>
      </c>
      <c r="B1938" t="s">
        <v>3278</v>
      </c>
      <c r="C1938" t="s">
        <v>3350</v>
      </c>
    </row>
    <row r="1939" spans="1:3" x14ac:dyDescent="0.25">
      <c r="A1939" t="s">
        <v>3351</v>
      </c>
      <c r="B1939" t="s">
        <v>3278</v>
      </c>
      <c r="C1939" t="s">
        <v>3352</v>
      </c>
    </row>
    <row r="1940" spans="1:3" x14ac:dyDescent="0.25">
      <c r="A1940" t="s">
        <v>1292</v>
      </c>
      <c r="B1940" t="s">
        <v>3278</v>
      </c>
      <c r="C1940" t="s">
        <v>3353</v>
      </c>
    </row>
    <row r="1941" spans="1:3" x14ac:dyDescent="0.25">
      <c r="A1941" t="s">
        <v>3354</v>
      </c>
      <c r="B1941" t="s">
        <v>3278</v>
      </c>
      <c r="C1941" t="s">
        <v>3355</v>
      </c>
    </row>
    <row r="1942" spans="1:3" x14ac:dyDescent="0.25">
      <c r="A1942" t="s">
        <v>3356</v>
      </c>
      <c r="B1942" t="s">
        <v>3278</v>
      </c>
      <c r="C1942" t="s">
        <v>3357</v>
      </c>
    </row>
    <row r="1943" spans="1:3" x14ac:dyDescent="0.25">
      <c r="A1943" t="s">
        <v>3358</v>
      </c>
      <c r="B1943" t="s">
        <v>3278</v>
      </c>
      <c r="C1943" t="s">
        <v>3359</v>
      </c>
    </row>
    <row r="1944" spans="1:3" x14ac:dyDescent="0.25">
      <c r="A1944" t="s">
        <v>3360</v>
      </c>
      <c r="B1944" t="s">
        <v>3278</v>
      </c>
      <c r="C1944" t="s">
        <v>3361</v>
      </c>
    </row>
    <row r="1945" spans="1:3" x14ac:dyDescent="0.25">
      <c r="A1945" t="s">
        <v>203</v>
      </c>
      <c r="B1945" t="s">
        <v>3278</v>
      </c>
      <c r="C1945" t="s">
        <v>3362</v>
      </c>
    </row>
    <row r="1946" spans="1:3" x14ac:dyDescent="0.25">
      <c r="A1946" t="s">
        <v>3363</v>
      </c>
      <c r="B1946" t="s">
        <v>3278</v>
      </c>
      <c r="C1946" t="s">
        <v>3364</v>
      </c>
    </row>
    <row r="1947" spans="1:3" x14ac:dyDescent="0.25">
      <c r="A1947" t="s">
        <v>1022</v>
      </c>
      <c r="B1947" t="s">
        <v>3278</v>
      </c>
      <c r="C1947" t="s">
        <v>3365</v>
      </c>
    </row>
    <row r="1948" spans="1:3" x14ac:dyDescent="0.25">
      <c r="A1948" t="s">
        <v>213</v>
      </c>
      <c r="B1948" t="s">
        <v>3278</v>
      </c>
      <c r="C1948" t="s">
        <v>3366</v>
      </c>
    </row>
    <row r="1949" spans="1:3" x14ac:dyDescent="0.25">
      <c r="A1949" t="s">
        <v>3367</v>
      </c>
      <c r="B1949" t="s">
        <v>3278</v>
      </c>
      <c r="C1949" t="s">
        <v>3368</v>
      </c>
    </row>
    <row r="1950" spans="1:3" x14ac:dyDescent="0.25">
      <c r="A1950" t="s">
        <v>428</v>
      </c>
      <c r="B1950" t="s">
        <v>3278</v>
      </c>
      <c r="C1950" t="s">
        <v>3369</v>
      </c>
    </row>
    <row r="1951" spans="1:3" x14ac:dyDescent="0.25">
      <c r="A1951" t="s">
        <v>3370</v>
      </c>
      <c r="B1951" t="s">
        <v>3278</v>
      </c>
      <c r="C1951" t="s">
        <v>3371</v>
      </c>
    </row>
    <row r="1952" spans="1:3" x14ac:dyDescent="0.25">
      <c r="A1952" t="s">
        <v>219</v>
      </c>
      <c r="B1952" t="s">
        <v>3278</v>
      </c>
      <c r="C1952" t="s">
        <v>3372</v>
      </c>
    </row>
    <row r="1953" spans="1:3" x14ac:dyDescent="0.25">
      <c r="A1953" t="s">
        <v>221</v>
      </c>
      <c r="B1953" t="s">
        <v>3278</v>
      </c>
      <c r="C1953" t="s">
        <v>3373</v>
      </c>
    </row>
    <row r="1954" spans="1:3" x14ac:dyDescent="0.25">
      <c r="A1954" t="s">
        <v>830</v>
      </c>
      <c r="B1954" t="s">
        <v>3278</v>
      </c>
      <c r="C1954" t="s">
        <v>3374</v>
      </c>
    </row>
    <row r="1955" spans="1:3" x14ac:dyDescent="0.25">
      <c r="A1955" t="s">
        <v>3375</v>
      </c>
      <c r="B1955" t="s">
        <v>3278</v>
      </c>
      <c r="C1955" t="s">
        <v>3376</v>
      </c>
    </row>
    <row r="1956" spans="1:3" x14ac:dyDescent="0.25">
      <c r="A1956" t="s">
        <v>1047</v>
      </c>
      <c r="B1956" t="s">
        <v>3278</v>
      </c>
      <c r="C1956" t="s">
        <v>3377</v>
      </c>
    </row>
    <row r="1957" spans="1:3" x14ac:dyDescent="0.25">
      <c r="A1957" t="s">
        <v>233</v>
      </c>
      <c r="B1957" t="s">
        <v>3278</v>
      </c>
      <c r="C1957" t="s">
        <v>3378</v>
      </c>
    </row>
    <row r="1958" spans="1:3" x14ac:dyDescent="0.25">
      <c r="A1958" t="s">
        <v>3379</v>
      </c>
      <c r="B1958" t="s">
        <v>3278</v>
      </c>
      <c r="C1958" t="s">
        <v>3380</v>
      </c>
    </row>
    <row r="1959" spans="1:3" x14ac:dyDescent="0.25">
      <c r="A1959" t="s">
        <v>3381</v>
      </c>
      <c r="B1959" t="s">
        <v>3278</v>
      </c>
      <c r="C1959" t="s">
        <v>3382</v>
      </c>
    </row>
    <row r="1960" spans="1:3" x14ac:dyDescent="0.25">
      <c r="A1960" t="s">
        <v>3383</v>
      </c>
      <c r="B1960" t="s">
        <v>3278</v>
      </c>
      <c r="C1960" t="s">
        <v>3384</v>
      </c>
    </row>
    <row r="1961" spans="1:3" x14ac:dyDescent="0.25">
      <c r="A1961" t="s">
        <v>3385</v>
      </c>
      <c r="B1961" t="s">
        <v>3278</v>
      </c>
      <c r="C1961" t="s">
        <v>3386</v>
      </c>
    </row>
    <row r="1962" spans="1:3" x14ac:dyDescent="0.25">
      <c r="A1962" t="s">
        <v>3387</v>
      </c>
      <c r="B1962" t="s">
        <v>3278</v>
      </c>
      <c r="C1962" t="s">
        <v>3388</v>
      </c>
    </row>
    <row r="1963" spans="1:3" x14ac:dyDescent="0.25">
      <c r="A1963" t="s">
        <v>551</v>
      </c>
      <c r="B1963" t="s">
        <v>3278</v>
      </c>
      <c r="C1963" t="s">
        <v>3389</v>
      </c>
    </row>
    <row r="1964" spans="1:3" x14ac:dyDescent="0.25">
      <c r="A1964" t="s">
        <v>3390</v>
      </c>
      <c r="B1964" t="s">
        <v>3278</v>
      </c>
      <c r="C1964" t="s">
        <v>3391</v>
      </c>
    </row>
    <row r="1965" spans="1:3" x14ac:dyDescent="0.25">
      <c r="A1965" t="s">
        <v>3392</v>
      </c>
      <c r="B1965" t="s">
        <v>3278</v>
      </c>
      <c r="C1965" t="s">
        <v>3393</v>
      </c>
    </row>
    <row r="1966" spans="1:3" x14ac:dyDescent="0.25">
      <c r="A1966" t="s">
        <v>3394</v>
      </c>
      <c r="B1966" t="s">
        <v>3278</v>
      </c>
      <c r="C1966" t="s">
        <v>3395</v>
      </c>
    </row>
    <row r="1967" spans="1:3" x14ac:dyDescent="0.25">
      <c r="A1967" t="s">
        <v>3396</v>
      </c>
      <c r="B1967" t="s">
        <v>3278</v>
      </c>
      <c r="C1967" t="s">
        <v>3397</v>
      </c>
    </row>
    <row r="1968" spans="1:3" x14ac:dyDescent="0.25">
      <c r="A1968" t="s">
        <v>3398</v>
      </c>
      <c r="B1968" t="s">
        <v>3278</v>
      </c>
      <c r="C1968" t="s">
        <v>3399</v>
      </c>
    </row>
    <row r="1969" spans="1:3" x14ac:dyDescent="0.25">
      <c r="A1969" t="s">
        <v>3400</v>
      </c>
      <c r="B1969" t="s">
        <v>3278</v>
      </c>
      <c r="C1969" t="s">
        <v>3401</v>
      </c>
    </row>
    <row r="1970" spans="1:3" x14ac:dyDescent="0.25">
      <c r="A1970" t="s">
        <v>456</v>
      </c>
      <c r="B1970" t="s">
        <v>3278</v>
      </c>
      <c r="C1970" t="s">
        <v>3402</v>
      </c>
    </row>
    <row r="1971" spans="1:3" x14ac:dyDescent="0.25">
      <c r="A1971" t="s">
        <v>243</v>
      </c>
      <c r="B1971" t="s">
        <v>3278</v>
      </c>
      <c r="C1971" t="s">
        <v>3403</v>
      </c>
    </row>
    <row r="1972" spans="1:3" x14ac:dyDescent="0.25">
      <c r="A1972" t="s">
        <v>1077</v>
      </c>
      <c r="B1972" t="s">
        <v>3278</v>
      </c>
      <c r="C1972" t="s">
        <v>3404</v>
      </c>
    </row>
    <row r="1973" spans="1:3" x14ac:dyDescent="0.25">
      <c r="A1973" t="s">
        <v>3405</v>
      </c>
      <c r="B1973" t="s">
        <v>3278</v>
      </c>
      <c r="C1973" t="s">
        <v>3406</v>
      </c>
    </row>
    <row r="1974" spans="1:3" x14ac:dyDescent="0.25">
      <c r="A1974" t="s">
        <v>3084</v>
      </c>
      <c r="B1974" t="s">
        <v>3278</v>
      </c>
      <c r="C1974" t="s">
        <v>3407</v>
      </c>
    </row>
    <row r="1975" spans="1:3" x14ac:dyDescent="0.25">
      <c r="A1975" t="s">
        <v>2003</v>
      </c>
      <c r="B1975" t="s">
        <v>3278</v>
      </c>
      <c r="C1975" t="s">
        <v>3408</v>
      </c>
    </row>
    <row r="1976" spans="1:3" x14ac:dyDescent="0.25">
      <c r="A1976" t="s">
        <v>3409</v>
      </c>
      <c r="B1976" t="s">
        <v>3278</v>
      </c>
      <c r="C1976" t="s">
        <v>3410</v>
      </c>
    </row>
    <row r="1977" spans="1:3" x14ac:dyDescent="0.25">
      <c r="A1977" t="s">
        <v>3411</v>
      </c>
      <c r="B1977" t="s">
        <v>3278</v>
      </c>
      <c r="C1977" t="s">
        <v>3412</v>
      </c>
    </row>
    <row r="1978" spans="1:3" x14ac:dyDescent="0.25">
      <c r="A1978" t="s">
        <v>2786</v>
      </c>
      <c r="B1978" t="s">
        <v>3278</v>
      </c>
      <c r="C1978" t="s">
        <v>3413</v>
      </c>
    </row>
    <row r="1979" spans="1:3" x14ac:dyDescent="0.25">
      <c r="A1979" t="s">
        <v>3414</v>
      </c>
      <c r="B1979" t="s">
        <v>3278</v>
      </c>
      <c r="C1979" t="s">
        <v>3415</v>
      </c>
    </row>
    <row r="1980" spans="1:3" x14ac:dyDescent="0.25">
      <c r="A1980" t="s">
        <v>3416</v>
      </c>
      <c r="B1980" t="s">
        <v>3278</v>
      </c>
      <c r="C1980" t="s">
        <v>3417</v>
      </c>
    </row>
    <row r="1981" spans="1:3" x14ac:dyDescent="0.25">
      <c r="A1981" t="s">
        <v>3418</v>
      </c>
      <c r="B1981" t="s">
        <v>3278</v>
      </c>
      <c r="C1981" t="s">
        <v>3419</v>
      </c>
    </row>
    <row r="1982" spans="1:3" x14ac:dyDescent="0.25">
      <c r="A1982" t="s">
        <v>3420</v>
      </c>
      <c r="B1982" t="s">
        <v>3278</v>
      </c>
      <c r="C1982" t="s">
        <v>3421</v>
      </c>
    </row>
    <row r="1983" spans="1:3" x14ac:dyDescent="0.25">
      <c r="A1983" t="s">
        <v>3422</v>
      </c>
      <c r="B1983" t="s">
        <v>3278</v>
      </c>
      <c r="C1983" t="s">
        <v>3423</v>
      </c>
    </row>
    <row r="1984" spans="1:3" x14ac:dyDescent="0.25">
      <c r="A1984" t="s">
        <v>3424</v>
      </c>
      <c r="B1984" t="s">
        <v>3278</v>
      </c>
      <c r="C1984" t="s">
        <v>3425</v>
      </c>
    </row>
    <row r="1985" spans="1:3" x14ac:dyDescent="0.25">
      <c r="A1985" t="s">
        <v>481</v>
      </c>
      <c r="B1985" t="s">
        <v>3278</v>
      </c>
      <c r="C1985" t="s">
        <v>3426</v>
      </c>
    </row>
    <row r="1986" spans="1:3" x14ac:dyDescent="0.25">
      <c r="A1986" t="s">
        <v>3427</v>
      </c>
      <c r="B1986" t="s">
        <v>3278</v>
      </c>
      <c r="C1986" t="s">
        <v>3428</v>
      </c>
    </row>
    <row r="1987" spans="1:3" x14ac:dyDescent="0.25">
      <c r="A1987" t="s">
        <v>3429</v>
      </c>
      <c r="B1987" t="s">
        <v>3278</v>
      </c>
      <c r="C1987" t="s">
        <v>3430</v>
      </c>
    </row>
    <row r="1988" spans="1:3" x14ac:dyDescent="0.25">
      <c r="A1988" t="s">
        <v>1127</v>
      </c>
      <c r="B1988" t="s">
        <v>3278</v>
      </c>
      <c r="C1988" t="s">
        <v>3431</v>
      </c>
    </row>
    <row r="1989" spans="1:3" x14ac:dyDescent="0.25">
      <c r="A1989" t="s">
        <v>261</v>
      </c>
      <c r="B1989" t="s">
        <v>3278</v>
      </c>
      <c r="C1989" t="s">
        <v>3432</v>
      </c>
    </row>
    <row r="1990" spans="1:3" x14ac:dyDescent="0.25">
      <c r="A1990" t="s">
        <v>3433</v>
      </c>
      <c r="B1990" t="s">
        <v>3278</v>
      </c>
      <c r="C1990" t="s">
        <v>3434</v>
      </c>
    </row>
    <row r="1991" spans="1:3" x14ac:dyDescent="0.25">
      <c r="A1991" t="s">
        <v>1130</v>
      </c>
      <c r="B1991" t="s">
        <v>3278</v>
      </c>
      <c r="C1991" t="s">
        <v>3435</v>
      </c>
    </row>
    <row r="1992" spans="1:3" x14ac:dyDescent="0.25">
      <c r="A1992" t="s">
        <v>1140</v>
      </c>
      <c r="B1992" t="s">
        <v>3278</v>
      </c>
      <c r="C1992" t="s">
        <v>3436</v>
      </c>
    </row>
    <row r="1993" spans="1:3" x14ac:dyDescent="0.25">
      <c r="A1993" t="s">
        <v>1844</v>
      </c>
      <c r="B1993" t="s">
        <v>3278</v>
      </c>
      <c r="C1993" t="s">
        <v>3437</v>
      </c>
    </row>
    <row r="1994" spans="1:3" x14ac:dyDescent="0.25">
      <c r="A1994" t="s">
        <v>3438</v>
      </c>
      <c r="B1994" t="s">
        <v>3278</v>
      </c>
      <c r="C1994" t="s">
        <v>3439</v>
      </c>
    </row>
    <row r="1995" spans="1:3" x14ac:dyDescent="0.25">
      <c r="A1995" t="s">
        <v>3440</v>
      </c>
      <c r="B1995" t="s">
        <v>3278</v>
      </c>
      <c r="C1995" t="s">
        <v>3441</v>
      </c>
    </row>
    <row r="1996" spans="1:3" x14ac:dyDescent="0.25">
      <c r="A1996" t="s">
        <v>609</v>
      </c>
      <c r="B1996" t="s">
        <v>3443</v>
      </c>
      <c r="C1996" t="s">
        <v>3444</v>
      </c>
    </row>
    <row r="1997" spans="1:3" x14ac:dyDescent="0.25">
      <c r="A1997" t="s">
        <v>3445</v>
      </c>
      <c r="B1997" t="s">
        <v>3443</v>
      </c>
      <c r="C1997" t="s">
        <v>3446</v>
      </c>
    </row>
    <row r="1998" spans="1:3" x14ac:dyDescent="0.25">
      <c r="A1998" t="s">
        <v>3447</v>
      </c>
      <c r="B1998" t="s">
        <v>3443</v>
      </c>
      <c r="C1998" t="s">
        <v>3448</v>
      </c>
    </row>
    <row r="1999" spans="1:3" x14ac:dyDescent="0.25">
      <c r="A1999" t="s">
        <v>3449</v>
      </c>
      <c r="B1999" t="s">
        <v>3443</v>
      </c>
      <c r="C1999" t="s">
        <v>3450</v>
      </c>
    </row>
    <row r="2000" spans="1:3" x14ac:dyDescent="0.25">
      <c r="A2000" t="s">
        <v>3451</v>
      </c>
      <c r="B2000" t="s">
        <v>3443</v>
      </c>
      <c r="C2000" t="s">
        <v>3452</v>
      </c>
    </row>
    <row r="2001" spans="1:3" x14ac:dyDescent="0.25">
      <c r="A2001" t="s">
        <v>3453</v>
      </c>
      <c r="B2001" t="s">
        <v>3443</v>
      </c>
      <c r="C2001" t="s">
        <v>3454</v>
      </c>
    </row>
    <row r="2002" spans="1:3" x14ac:dyDescent="0.25">
      <c r="A2002" t="s">
        <v>908</v>
      </c>
      <c r="B2002" t="s">
        <v>3443</v>
      </c>
      <c r="C2002" t="s">
        <v>3455</v>
      </c>
    </row>
    <row r="2003" spans="1:3" x14ac:dyDescent="0.25">
      <c r="A2003" t="s">
        <v>3456</v>
      </c>
      <c r="B2003" t="s">
        <v>3443</v>
      </c>
      <c r="C2003" t="s">
        <v>3457</v>
      </c>
    </row>
    <row r="2004" spans="1:3" x14ac:dyDescent="0.25">
      <c r="A2004" t="s">
        <v>1251</v>
      </c>
      <c r="B2004" t="s">
        <v>3443</v>
      </c>
      <c r="C2004" t="s">
        <v>3458</v>
      </c>
    </row>
    <row r="2005" spans="1:3" x14ac:dyDescent="0.25">
      <c r="A2005" t="s">
        <v>3459</v>
      </c>
      <c r="B2005" t="s">
        <v>3443</v>
      </c>
      <c r="C2005" t="s">
        <v>3460</v>
      </c>
    </row>
    <row r="2006" spans="1:3" x14ac:dyDescent="0.25">
      <c r="A2006" t="s">
        <v>3461</v>
      </c>
      <c r="B2006" t="s">
        <v>3443</v>
      </c>
      <c r="C2006" t="s">
        <v>3462</v>
      </c>
    </row>
    <row r="2007" spans="1:3" x14ac:dyDescent="0.25">
      <c r="A2007" t="s">
        <v>3463</v>
      </c>
      <c r="B2007" t="s">
        <v>3443</v>
      </c>
      <c r="C2007" t="s">
        <v>3464</v>
      </c>
    </row>
    <row r="2008" spans="1:3" x14ac:dyDescent="0.25">
      <c r="A2008" t="s">
        <v>3465</v>
      </c>
      <c r="B2008" t="s">
        <v>3443</v>
      </c>
      <c r="C2008" t="s">
        <v>3466</v>
      </c>
    </row>
    <row r="2009" spans="1:3" x14ac:dyDescent="0.25">
      <c r="A2009" t="s">
        <v>3140</v>
      </c>
      <c r="B2009" t="s">
        <v>3443</v>
      </c>
      <c r="C2009" t="s">
        <v>3467</v>
      </c>
    </row>
    <row r="2010" spans="1:3" x14ac:dyDescent="0.25">
      <c r="A2010" t="s">
        <v>3468</v>
      </c>
      <c r="B2010" t="s">
        <v>3443</v>
      </c>
      <c r="C2010" t="s">
        <v>3469</v>
      </c>
    </row>
    <row r="2011" spans="1:3" x14ac:dyDescent="0.25">
      <c r="A2011" t="s">
        <v>3470</v>
      </c>
      <c r="B2011" t="s">
        <v>3443</v>
      </c>
      <c r="C2011" t="s">
        <v>3471</v>
      </c>
    </row>
    <row r="2012" spans="1:3" x14ac:dyDescent="0.25">
      <c r="A2012" t="s">
        <v>2841</v>
      </c>
      <c r="B2012" t="s">
        <v>3443</v>
      </c>
      <c r="C2012" t="s">
        <v>3472</v>
      </c>
    </row>
    <row r="2013" spans="1:3" x14ac:dyDescent="0.25">
      <c r="A2013" t="s">
        <v>3473</v>
      </c>
      <c r="B2013" t="s">
        <v>3443</v>
      </c>
      <c r="C2013" t="s">
        <v>3474</v>
      </c>
    </row>
    <row r="2014" spans="1:3" x14ac:dyDescent="0.25">
      <c r="A2014" t="s">
        <v>407</v>
      </c>
      <c r="B2014" t="s">
        <v>3443</v>
      </c>
      <c r="C2014" t="s">
        <v>3475</v>
      </c>
    </row>
    <row r="2015" spans="1:3" x14ac:dyDescent="0.25">
      <c r="A2015" t="s">
        <v>3476</v>
      </c>
      <c r="B2015" t="s">
        <v>3443</v>
      </c>
      <c r="C2015" t="s">
        <v>3477</v>
      </c>
    </row>
    <row r="2016" spans="1:3" x14ac:dyDescent="0.25">
      <c r="A2016" t="s">
        <v>3478</v>
      </c>
      <c r="B2016" t="s">
        <v>3443</v>
      </c>
      <c r="C2016" t="s">
        <v>3479</v>
      </c>
    </row>
    <row r="2017" spans="1:3" x14ac:dyDescent="0.25">
      <c r="A2017" t="s">
        <v>3480</v>
      </c>
      <c r="B2017" t="s">
        <v>3443</v>
      </c>
      <c r="C2017" t="s">
        <v>3481</v>
      </c>
    </row>
    <row r="2018" spans="1:3" x14ac:dyDescent="0.25">
      <c r="A2018" t="s">
        <v>3482</v>
      </c>
      <c r="B2018" t="s">
        <v>3443</v>
      </c>
      <c r="C2018" t="s">
        <v>3483</v>
      </c>
    </row>
    <row r="2019" spans="1:3" x14ac:dyDescent="0.25">
      <c r="A2019" t="s">
        <v>432</v>
      </c>
      <c r="B2019" t="s">
        <v>3443</v>
      </c>
      <c r="C2019" t="s">
        <v>3484</v>
      </c>
    </row>
    <row r="2020" spans="1:3" x14ac:dyDescent="0.25">
      <c r="A2020" t="s">
        <v>1323</v>
      </c>
      <c r="B2020" t="s">
        <v>3443</v>
      </c>
      <c r="C2020" t="s">
        <v>3485</v>
      </c>
    </row>
    <row r="2021" spans="1:3" x14ac:dyDescent="0.25">
      <c r="A2021" t="s">
        <v>1039</v>
      </c>
      <c r="B2021" t="s">
        <v>3443</v>
      </c>
      <c r="C2021" t="s">
        <v>3486</v>
      </c>
    </row>
    <row r="2022" spans="1:3" x14ac:dyDescent="0.25">
      <c r="A2022" t="s">
        <v>3487</v>
      </c>
      <c r="B2022" t="s">
        <v>3443</v>
      </c>
      <c r="C2022" t="s">
        <v>3488</v>
      </c>
    </row>
    <row r="2023" spans="1:3" x14ac:dyDescent="0.25">
      <c r="A2023" t="s">
        <v>1325</v>
      </c>
      <c r="B2023" t="s">
        <v>3443</v>
      </c>
      <c r="C2023" t="s">
        <v>3489</v>
      </c>
    </row>
    <row r="2024" spans="1:3" x14ac:dyDescent="0.25">
      <c r="A2024" t="s">
        <v>1339</v>
      </c>
      <c r="B2024" t="s">
        <v>3443</v>
      </c>
      <c r="C2024" t="s">
        <v>3490</v>
      </c>
    </row>
    <row r="2025" spans="1:3" x14ac:dyDescent="0.25">
      <c r="A2025" t="s">
        <v>1776</v>
      </c>
      <c r="B2025" t="s">
        <v>3443</v>
      </c>
      <c r="C2025" t="s">
        <v>3491</v>
      </c>
    </row>
    <row r="2026" spans="1:3" x14ac:dyDescent="0.25">
      <c r="A2026" t="s">
        <v>3492</v>
      </c>
      <c r="B2026" t="s">
        <v>3443</v>
      </c>
      <c r="C2026" t="s">
        <v>3493</v>
      </c>
    </row>
    <row r="2027" spans="1:3" x14ac:dyDescent="0.25">
      <c r="A2027" t="s">
        <v>1982</v>
      </c>
      <c r="B2027" t="s">
        <v>3443</v>
      </c>
      <c r="C2027" t="s">
        <v>3494</v>
      </c>
    </row>
    <row r="2028" spans="1:3" x14ac:dyDescent="0.25">
      <c r="A2028" t="s">
        <v>3495</v>
      </c>
      <c r="B2028" t="s">
        <v>3443</v>
      </c>
      <c r="C2028" t="s">
        <v>3496</v>
      </c>
    </row>
    <row r="2029" spans="1:3" x14ac:dyDescent="0.25">
      <c r="A2029" t="s">
        <v>3497</v>
      </c>
      <c r="B2029" t="s">
        <v>3443</v>
      </c>
      <c r="C2029" t="s">
        <v>3498</v>
      </c>
    </row>
    <row r="2030" spans="1:3" x14ac:dyDescent="0.25">
      <c r="A2030" t="s">
        <v>1066</v>
      </c>
      <c r="B2030" t="s">
        <v>3443</v>
      </c>
      <c r="C2030" t="s">
        <v>3499</v>
      </c>
    </row>
    <row r="2031" spans="1:3" x14ac:dyDescent="0.25">
      <c r="A2031" t="s">
        <v>2489</v>
      </c>
      <c r="B2031" t="s">
        <v>3443</v>
      </c>
      <c r="C2031" t="s">
        <v>3500</v>
      </c>
    </row>
    <row r="2032" spans="1:3" x14ac:dyDescent="0.25">
      <c r="A2032" t="s">
        <v>3501</v>
      </c>
      <c r="B2032" t="s">
        <v>3443</v>
      </c>
      <c r="C2032" t="s">
        <v>3502</v>
      </c>
    </row>
    <row r="2033" spans="1:3" x14ac:dyDescent="0.25">
      <c r="A2033" t="s">
        <v>2495</v>
      </c>
      <c r="B2033" t="s">
        <v>3443</v>
      </c>
      <c r="C2033" t="s">
        <v>3503</v>
      </c>
    </row>
    <row r="2034" spans="1:3" x14ac:dyDescent="0.25">
      <c r="A2034" t="s">
        <v>1358</v>
      </c>
      <c r="B2034" t="s">
        <v>3443</v>
      </c>
      <c r="C2034" t="s">
        <v>3504</v>
      </c>
    </row>
    <row r="2035" spans="1:3" x14ac:dyDescent="0.25">
      <c r="A2035" t="s">
        <v>3505</v>
      </c>
      <c r="B2035" t="s">
        <v>3443</v>
      </c>
      <c r="C2035" t="s">
        <v>3506</v>
      </c>
    </row>
    <row r="2036" spans="1:3" x14ac:dyDescent="0.25">
      <c r="A2036" t="s">
        <v>3507</v>
      </c>
      <c r="B2036" t="s">
        <v>3443</v>
      </c>
      <c r="C2036" t="s">
        <v>3508</v>
      </c>
    </row>
    <row r="2037" spans="1:3" x14ac:dyDescent="0.25">
      <c r="A2037" t="s">
        <v>1820</v>
      </c>
      <c r="B2037" t="s">
        <v>3443</v>
      </c>
      <c r="C2037" t="s">
        <v>3509</v>
      </c>
    </row>
    <row r="2038" spans="1:3" x14ac:dyDescent="0.25">
      <c r="A2038" t="s">
        <v>1653</v>
      </c>
      <c r="B2038" t="s">
        <v>3443</v>
      </c>
      <c r="C2038" t="s">
        <v>3510</v>
      </c>
    </row>
    <row r="2039" spans="1:3" x14ac:dyDescent="0.25">
      <c r="A2039" t="s">
        <v>3511</v>
      </c>
      <c r="B2039" t="s">
        <v>3443</v>
      </c>
      <c r="C2039" t="s">
        <v>3512</v>
      </c>
    </row>
    <row r="2040" spans="1:3" x14ac:dyDescent="0.25">
      <c r="A2040" t="s">
        <v>1370</v>
      </c>
      <c r="B2040" t="s">
        <v>3443</v>
      </c>
      <c r="C2040" t="s">
        <v>3513</v>
      </c>
    </row>
    <row r="2041" spans="1:3" x14ac:dyDescent="0.25">
      <c r="A2041" t="s">
        <v>2511</v>
      </c>
      <c r="B2041" t="s">
        <v>3443</v>
      </c>
      <c r="C2041" t="s">
        <v>3514</v>
      </c>
    </row>
    <row r="2042" spans="1:3" x14ac:dyDescent="0.25">
      <c r="A2042" t="s">
        <v>3515</v>
      </c>
      <c r="B2042" t="s">
        <v>3443</v>
      </c>
      <c r="C2042" t="s">
        <v>3516</v>
      </c>
    </row>
    <row r="2043" spans="1:3" x14ac:dyDescent="0.25">
      <c r="A2043" t="s">
        <v>3517</v>
      </c>
      <c r="B2043" t="s">
        <v>3443</v>
      </c>
      <c r="C2043" t="s">
        <v>3518</v>
      </c>
    </row>
    <row r="2044" spans="1:3" x14ac:dyDescent="0.25">
      <c r="A2044" t="s">
        <v>3519</v>
      </c>
      <c r="B2044" t="s">
        <v>3443</v>
      </c>
      <c r="C2044" t="s">
        <v>3520</v>
      </c>
    </row>
    <row r="2045" spans="1:3" x14ac:dyDescent="0.25">
      <c r="A2045" t="s">
        <v>3521</v>
      </c>
      <c r="B2045" t="s">
        <v>3443</v>
      </c>
      <c r="C2045" t="s">
        <v>3522</v>
      </c>
    </row>
    <row r="2046" spans="1:3" x14ac:dyDescent="0.25">
      <c r="A2046" t="s">
        <v>3523</v>
      </c>
      <c r="B2046" t="s">
        <v>3443</v>
      </c>
      <c r="C2046" t="s">
        <v>3524</v>
      </c>
    </row>
    <row r="2047" spans="1:3" x14ac:dyDescent="0.25">
      <c r="A2047" t="s">
        <v>1525</v>
      </c>
      <c r="B2047" t="s">
        <v>3443</v>
      </c>
      <c r="C2047" t="s">
        <v>3525</v>
      </c>
    </row>
    <row r="2048" spans="1:3" x14ac:dyDescent="0.25">
      <c r="A2048" t="s">
        <v>3526</v>
      </c>
      <c r="B2048" t="s">
        <v>3443</v>
      </c>
      <c r="C2048" t="s">
        <v>3527</v>
      </c>
    </row>
    <row r="2049" spans="1:3" x14ac:dyDescent="0.25">
      <c r="A2049" t="s">
        <v>609</v>
      </c>
      <c r="B2049" t="s">
        <v>3529</v>
      </c>
      <c r="C2049" t="s">
        <v>3530</v>
      </c>
    </row>
    <row r="2050" spans="1:3" x14ac:dyDescent="0.25">
      <c r="A2050" t="s">
        <v>1398</v>
      </c>
      <c r="B2050" t="s">
        <v>3529</v>
      </c>
      <c r="C2050" t="s">
        <v>3531</v>
      </c>
    </row>
    <row r="2051" spans="1:3" x14ac:dyDescent="0.25">
      <c r="A2051" t="s">
        <v>3532</v>
      </c>
      <c r="B2051" t="s">
        <v>3529</v>
      </c>
      <c r="C2051" t="s">
        <v>3533</v>
      </c>
    </row>
    <row r="2052" spans="1:3" x14ac:dyDescent="0.25">
      <c r="A2052" t="s">
        <v>3534</v>
      </c>
      <c r="B2052" t="s">
        <v>3529</v>
      </c>
      <c r="C2052" t="s">
        <v>3535</v>
      </c>
    </row>
    <row r="2053" spans="1:3" x14ac:dyDescent="0.25">
      <c r="A2053" t="s">
        <v>3536</v>
      </c>
      <c r="B2053" t="s">
        <v>3529</v>
      </c>
      <c r="C2053" t="s">
        <v>3537</v>
      </c>
    </row>
    <row r="2054" spans="1:3" x14ac:dyDescent="0.25">
      <c r="A2054" t="s">
        <v>3538</v>
      </c>
      <c r="B2054" t="s">
        <v>3529</v>
      </c>
      <c r="C2054" t="s">
        <v>3539</v>
      </c>
    </row>
    <row r="2055" spans="1:3" x14ac:dyDescent="0.25">
      <c r="A2055" t="s">
        <v>3540</v>
      </c>
      <c r="B2055" t="s">
        <v>3529</v>
      </c>
      <c r="C2055" t="s">
        <v>3541</v>
      </c>
    </row>
    <row r="2056" spans="1:3" x14ac:dyDescent="0.25">
      <c r="A2056" t="s">
        <v>1245</v>
      </c>
      <c r="B2056" t="s">
        <v>3529</v>
      </c>
      <c r="C2056" t="s">
        <v>3542</v>
      </c>
    </row>
    <row r="2057" spans="1:3" x14ac:dyDescent="0.25">
      <c r="A2057" t="s">
        <v>145</v>
      </c>
      <c r="B2057" t="s">
        <v>3529</v>
      </c>
      <c r="C2057" t="s">
        <v>3543</v>
      </c>
    </row>
    <row r="2058" spans="1:3" x14ac:dyDescent="0.25">
      <c r="A2058" t="s">
        <v>373</v>
      </c>
      <c r="B2058" t="s">
        <v>3529</v>
      </c>
      <c r="C2058" t="s">
        <v>3544</v>
      </c>
    </row>
    <row r="2059" spans="1:3" x14ac:dyDescent="0.25">
      <c r="A2059" t="s">
        <v>1253</v>
      </c>
      <c r="B2059" t="s">
        <v>3529</v>
      </c>
      <c r="C2059" t="s">
        <v>3545</v>
      </c>
    </row>
    <row r="2060" spans="1:3" x14ac:dyDescent="0.25">
      <c r="A2060" t="s">
        <v>377</v>
      </c>
      <c r="B2060" t="s">
        <v>3529</v>
      </c>
      <c r="C2060" t="s">
        <v>3546</v>
      </c>
    </row>
    <row r="2061" spans="1:3" x14ac:dyDescent="0.25">
      <c r="A2061" t="s">
        <v>3547</v>
      </c>
      <c r="B2061" t="s">
        <v>3529</v>
      </c>
      <c r="C2061" t="s">
        <v>3548</v>
      </c>
    </row>
    <row r="2062" spans="1:3" x14ac:dyDescent="0.25">
      <c r="A2062" t="s">
        <v>1259</v>
      </c>
      <c r="B2062" t="s">
        <v>3529</v>
      </c>
      <c r="C2062" t="s">
        <v>3549</v>
      </c>
    </row>
    <row r="2063" spans="1:3" x14ac:dyDescent="0.25">
      <c r="A2063" t="s">
        <v>3550</v>
      </c>
      <c r="B2063" t="s">
        <v>3529</v>
      </c>
      <c r="C2063" t="s">
        <v>3551</v>
      </c>
    </row>
    <row r="2064" spans="1:3" x14ac:dyDescent="0.25">
      <c r="A2064" t="s">
        <v>3552</v>
      </c>
      <c r="B2064" t="s">
        <v>3529</v>
      </c>
      <c r="C2064" t="s">
        <v>3553</v>
      </c>
    </row>
    <row r="2065" spans="1:3" x14ac:dyDescent="0.25">
      <c r="A2065" t="s">
        <v>389</v>
      </c>
      <c r="B2065" t="s">
        <v>3529</v>
      </c>
      <c r="C2065" t="s">
        <v>3554</v>
      </c>
    </row>
    <row r="2066" spans="1:3" x14ac:dyDescent="0.25">
      <c r="A2066" t="s">
        <v>3555</v>
      </c>
      <c r="B2066" t="s">
        <v>3529</v>
      </c>
      <c r="C2066" t="s">
        <v>3556</v>
      </c>
    </row>
    <row r="2067" spans="1:3" x14ac:dyDescent="0.25">
      <c r="A2067" t="s">
        <v>3557</v>
      </c>
      <c r="B2067" t="s">
        <v>3529</v>
      </c>
      <c r="C2067" t="s">
        <v>3558</v>
      </c>
    </row>
    <row r="2068" spans="1:3" x14ac:dyDescent="0.25">
      <c r="A2068" t="s">
        <v>3559</v>
      </c>
      <c r="B2068" t="s">
        <v>3529</v>
      </c>
      <c r="C2068" t="s">
        <v>3560</v>
      </c>
    </row>
    <row r="2069" spans="1:3" x14ac:dyDescent="0.25">
      <c r="A2069" t="s">
        <v>1419</v>
      </c>
      <c r="B2069" t="s">
        <v>3529</v>
      </c>
      <c r="C2069" t="s">
        <v>3561</v>
      </c>
    </row>
    <row r="2070" spans="1:3" x14ac:dyDescent="0.25">
      <c r="A2070" t="s">
        <v>3207</v>
      </c>
      <c r="B2070" t="s">
        <v>3529</v>
      </c>
      <c r="C2070" t="s">
        <v>3562</v>
      </c>
    </row>
    <row r="2071" spans="1:3" x14ac:dyDescent="0.25">
      <c r="A2071" t="s">
        <v>730</v>
      </c>
      <c r="B2071" t="s">
        <v>3529</v>
      </c>
      <c r="C2071" t="s">
        <v>3563</v>
      </c>
    </row>
    <row r="2072" spans="1:3" x14ac:dyDescent="0.25">
      <c r="A2072" t="s">
        <v>189</v>
      </c>
      <c r="B2072" t="s">
        <v>3529</v>
      </c>
      <c r="C2072" t="s">
        <v>3564</v>
      </c>
    </row>
    <row r="2073" spans="1:3" x14ac:dyDescent="0.25">
      <c r="A2073" t="s">
        <v>191</v>
      </c>
      <c r="B2073" t="s">
        <v>3529</v>
      </c>
      <c r="C2073" t="s">
        <v>3565</v>
      </c>
    </row>
    <row r="2074" spans="1:3" x14ac:dyDescent="0.25">
      <c r="A2074" t="s">
        <v>403</v>
      </c>
      <c r="B2074" t="s">
        <v>3529</v>
      </c>
      <c r="C2074" t="s">
        <v>3566</v>
      </c>
    </row>
    <row r="2075" spans="1:3" x14ac:dyDescent="0.25">
      <c r="A2075" t="s">
        <v>3567</v>
      </c>
      <c r="B2075" t="s">
        <v>3529</v>
      </c>
      <c r="C2075" t="s">
        <v>3568</v>
      </c>
    </row>
    <row r="2076" spans="1:3" x14ac:dyDescent="0.25">
      <c r="A2076" t="s">
        <v>3569</v>
      </c>
      <c r="B2076" t="s">
        <v>3529</v>
      </c>
      <c r="C2076" t="s">
        <v>3570</v>
      </c>
    </row>
    <row r="2077" spans="1:3" x14ac:dyDescent="0.25">
      <c r="A2077" t="s">
        <v>195</v>
      </c>
      <c r="B2077" t="s">
        <v>3529</v>
      </c>
      <c r="C2077" t="s">
        <v>3571</v>
      </c>
    </row>
    <row r="2078" spans="1:3" x14ac:dyDescent="0.25">
      <c r="A2078" t="s">
        <v>3572</v>
      </c>
      <c r="B2078" t="s">
        <v>3529</v>
      </c>
      <c r="C2078" t="s">
        <v>3573</v>
      </c>
    </row>
    <row r="2079" spans="1:3" x14ac:dyDescent="0.25">
      <c r="A2079" t="s">
        <v>799</v>
      </c>
      <c r="B2079" t="s">
        <v>3529</v>
      </c>
      <c r="C2079" t="s">
        <v>3574</v>
      </c>
    </row>
    <row r="2080" spans="1:3" x14ac:dyDescent="0.25">
      <c r="A2080" t="s">
        <v>999</v>
      </c>
      <c r="B2080" t="s">
        <v>3529</v>
      </c>
      <c r="C2080" t="s">
        <v>3575</v>
      </c>
    </row>
    <row r="2081" spans="1:3" x14ac:dyDescent="0.25">
      <c r="A2081" t="s">
        <v>1290</v>
      </c>
      <c r="B2081" t="s">
        <v>3529</v>
      </c>
      <c r="C2081" t="s">
        <v>3576</v>
      </c>
    </row>
    <row r="2082" spans="1:3" x14ac:dyDescent="0.25">
      <c r="A2082" t="s">
        <v>1437</v>
      </c>
      <c r="B2082" t="s">
        <v>3529</v>
      </c>
      <c r="C2082" t="s">
        <v>3577</v>
      </c>
    </row>
    <row r="2083" spans="1:3" x14ac:dyDescent="0.25">
      <c r="A2083" t="s">
        <v>199</v>
      </c>
      <c r="B2083" t="s">
        <v>3529</v>
      </c>
      <c r="C2083" t="s">
        <v>3578</v>
      </c>
    </row>
    <row r="2084" spans="1:3" x14ac:dyDescent="0.25">
      <c r="A2084" t="s">
        <v>3579</v>
      </c>
      <c r="B2084" t="s">
        <v>3529</v>
      </c>
      <c r="C2084" t="s">
        <v>3580</v>
      </c>
    </row>
    <row r="2085" spans="1:3" x14ac:dyDescent="0.25">
      <c r="A2085" t="s">
        <v>3581</v>
      </c>
      <c r="B2085" t="s">
        <v>3529</v>
      </c>
      <c r="C2085" t="s">
        <v>3582</v>
      </c>
    </row>
    <row r="2086" spans="1:3" x14ac:dyDescent="0.25">
      <c r="A2086" t="s">
        <v>811</v>
      </c>
      <c r="B2086" t="s">
        <v>3529</v>
      </c>
      <c r="C2086" t="s">
        <v>3583</v>
      </c>
    </row>
    <row r="2087" spans="1:3" x14ac:dyDescent="0.25">
      <c r="A2087" t="s">
        <v>2293</v>
      </c>
      <c r="B2087" t="s">
        <v>3529</v>
      </c>
      <c r="C2087" t="s">
        <v>3584</v>
      </c>
    </row>
    <row r="2088" spans="1:3" x14ac:dyDescent="0.25">
      <c r="A2088" t="s">
        <v>203</v>
      </c>
      <c r="B2088" t="s">
        <v>3529</v>
      </c>
      <c r="C2088" t="s">
        <v>3585</v>
      </c>
    </row>
    <row r="2089" spans="1:3" x14ac:dyDescent="0.25">
      <c r="A2089" t="s">
        <v>205</v>
      </c>
      <c r="B2089" t="s">
        <v>3529</v>
      </c>
      <c r="C2089" t="s">
        <v>3586</v>
      </c>
    </row>
    <row r="2090" spans="1:3" x14ac:dyDescent="0.25">
      <c r="A2090" t="s">
        <v>1311</v>
      </c>
      <c r="B2090" t="s">
        <v>3529</v>
      </c>
      <c r="C2090" t="s">
        <v>3587</v>
      </c>
    </row>
    <row r="2091" spans="1:3" x14ac:dyDescent="0.25">
      <c r="A2091" t="s">
        <v>526</v>
      </c>
      <c r="B2091" t="s">
        <v>3529</v>
      </c>
      <c r="C2091" t="s">
        <v>3588</v>
      </c>
    </row>
    <row r="2092" spans="1:3" x14ac:dyDescent="0.25">
      <c r="A2092" t="s">
        <v>211</v>
      </c>
      <c r="B2092" t="s">
        <v>3529</v>
      </c>
      <c r="C2092" t="s">
        <v>3589</v>
      </c>
    </row>
    <row r="2093" spans="1:3" x14ac:dyDescent="0.25">
      <c r="A2093" t="s">
        <v>3590</v>
      </c>
      <c r="B2093" t="s">
        <v>3529</v>
      </c>
      <c r="C2093" t="s">
        <v>3591</v>
      </c>
    </row>
    <row r="2094" spans="1:3" x14ac:dyDescent="0.25">
      <c r="A2094" t="s">
        <v>432</v>
      </c>
      <c r="B2094" t="s">
        <v>3529</v>
      </c>
      <c r="C2094" t="s">
        <v>3592</v>
      </c>
    </row>
    <row r="2095" spans="1:3" x14ac:dyDescent="0.25">
      <c r="A2095" t="s">
        <v>3593</v>
      </c>
      <c r="B2095" t="s">
        <v>3529</v>
      </c>
      <c r="C2095" t="s">
        <v>3594</v>
      </c>
    </row>
    <row r="2096" spans="1:3" x14ac:dyDescent="0.25">
      <c r="A2096" t="s">
        <v>1613</v>
      </c>
      <c r="B2096" t="s">
        <v>3529</v>
      </c>
      <c r="C2096" t="s">
        <v>3595</v>
      </c>
    </row>
    <row r="2097" spans="1:3" x14ac:dyDescent="0.25">
      <c r="A2097" t="s">
        <v>221</v>
      </c>
      <c r="B2097" t="s">
        <v>3529</v>
      </c>
      <c r="C2097" t="s">
        <v>3596</v>
      </c>
    </row>
    <row r="2098" spans="1:3" x14ac:dyDescent="0.25">
      <c r="A2098" t="s">
        <v>3597</v>
      </c>
      <c r="B2098" t="s">
        <v>3529</v>
      </c>
      <c r="C2098" t="s">
        <v>3598</v>
      </c>
    </row>
    <row r="2099" spans="1:3" x14ac:dyDescent="0.25">
      <c r="A2099" t="s">
        <v>225</v>
      </c>
      <c r="B2099" t="s">
        <v>3529</v>
      </c>
      <c r="C2099" t="s">
        <v>3599</v>
      </c>
    </row>
    <row r="2100" spans="1:3" x14ac:dyDescent="0.25">
      <c r="A2100" t="s">
        <v>3600</v>
      </c>
      <c r="B2100" t="s">
        <v>3529</v>
      </c>
      <c r="C2100" t="s">
        <v>3601</v>
      </c>
    </row>
    <row r="2101" spans="1:3" x14ac:dyDescent="0.25">
      <c r="A2101" t="s">
        <v>3602</v>
      </c>
      <c r="B2101" t="s">
        <v>3529</v>
      </c>
      <c r="C2101" t="s">
        <v>3603</v>
      </c>
    </row>
    <row r="2102" spans="1:3" x14ac:dyDescent="0.25">
      <c r="A2102" t="s">
        <v>1339</v>
      </c>
      <c r="B2102" t="s">
        <v>3529</v>
      </c>
      <c r="C2102" t="s">
        <v>3604</v>
      </c>
    </row>
    <row r="2103" spans="1:3" x14ac:dyDescent="0.25">
      <c r="A2103" t="s">
        <v>1466</v>
      </c>
      <c r="B2103" t="s">
        <v>3529</v>
      </c>
      <c r="C2103" t="s">
        <v>3605</v>
      </c>
    </row>
    <row r="2104" spans="1:3" x14ac:dyDescent="0.25">
      <c r="A2104" t="s">
        <v>231</v>
      </c>
      <c r="B2104" t="s">
        <v>3529</v>
      </c>
      <c r="C2104" t="s">
        <v>3606</v>
      </c>
    </row>
    <row r="2105" spans="1:3" x14ac:dyDescent="0.25">
      <c r="A2105" t="s">
        <v>233</v>
      </c>
      <c r="B2105" t="s">
        <v>3529</v>
      </c>
      <c r="C2105" t="s">
        <v>3607</v>
      </c>
    </row>
    <row r="2106" spans="1:3" x14ac:dyDescent="0.25">
      <c r="A2106" t="s">
        <v>235</v>
      </c>
      <c r="B2106" t="s">
        <v>3529</v>
      </c>
      <c r="C2106" t="s">
        <v>3608</v>
      </c>
    </row>
    <row r="2107" spans="1:3" x14ac:dyDescent="0.25">
      <c r="A2107" t="s">
        <v>3609</v>
      </c>
      <c r="B2107" t="s">
        <v>3529</v>
      </c>
      <c r="C2107" t="s">
        <v>3610</v>
      </c>
    </row>
    <row r="2108" spans="1:3" x14ac:dyDescent="0.25">
      <c r="A2108" t="s">
        <v>3611</v>
      </c>
      <c r="B2108" t="s">
        <v>3529</v>
      </c>
      <c r="C2108" t="s">
        <v>3612</v>
      </c>
    </row>
    <row r="2109" spans="1:3" x14ac:dyDescent="0.25">
      <c r="A2109" t="s">
        <v>1472</v>
      </c>
      <c r="B2109" t="s">
        <v>3529</v>
      </c>
      <c r="C2109" t="s">
        <v>3613</v>
      </c>
    </row>
    <row r="2110" spans="1:3" x14ac:dyDescent="0.25">
      <c r="A2110" t="s">
        <v>1790</v>
      </c>
      <c r="B2110" t="s">
        <v>3529</v>
      </c>
      <c r="C2110" t="s">
        <v>3614</v>
      </c>
    </row>
    <row r="2111" spans="1:3" x14ac:dyDescent="0.25">
      <c r="A2111" t="s">
        <v>1061</v>
      </c>
      <c r="B2111" t="s">
        <v>3529</v>
      </c>
      <c r="C2111" t="s">
        <v>3615</v>
      </c>
    </row>
    <row r="2112" spans="1:3" x14ac:dyDescent="0.25">
      <c r="A2112" t="s">
        <v>237</v>
      </c>
      <c r="B2112" t="s">
        <v>3529</v>
      </c>
      <c r="C2112" t="s">
        <v>3616</v>
      </c>
    </row>
    <row r="2113" spans="1:3" x14ac:dyDescent="0.25">
      <c r="A2113" t="s">
        <v>3617</v>
      </c>
      <c r="B2113" t="s">
        <v>3529</v>
      </c>
      <c r="C2113" t="s">
        <v>3618</v>
      </c>
    </row>
    <row r="2114" spans="1:3" x14ac:dyDescent="0.25">
      <c r="A2114" t="s">
        <v>241</v>
      </c>
      <c r="B2114" t="s">
        <v>3529</v>
      </c>
      <c r="C2114" t="s">
        <v>3619</v>
      </c>
    </row>
    <row r="2115" spans="1:3" x14ac:dyDescent="0.25">
      <c r="A2115" t="s">
        <v>3620</v>
      </c>
      <c r="B2115" t="s">
        <v>3529</v>
      </c>
      <c r="C2115" t="s">
        <v>3621</v>
      </c>
    </row>
    <row r="2116" spans="1:3" x14ac:dyDescent="0.25">
      <c r="A2116" t="s">
        <v>3622</v>
      </c>
      <c r="B2116" t="s">
        <v>3529</v>
      </c>
      <c r="C2116" t="s">
        <v>3623</v>
      </c>
    </row>
    <row r="2117" spans="1:3" x14ac:dyDescent="0.25">
      <c r="A2117" t="s">
        <v>851</v>
      </c>
      <c r="B2117" t="s">
        <v>3529</v>
      </c>
      <c r="C2117" t="s">
        <v>3624</v>
      </c>
    </row>
    <row r="2118" spans="1:3" x14ac:dyDescent="0.25">
      <c r="A2118" t="s">
        <v>1358</v>
      </c>
      <c r="B2118" t="s">
        <v>3529</v>
      </c>
      <c r="C2118" t="s">
        <v>3625</v>
      </c>
    </row>
    <row r="2119" spans="1:3" x14ac:dyDescent="0.25">
      <c r="A2119" t="s">
        <v>3626</v>
      </c>
      <c r="B2119" t="s">
        <v>3529</v>
      </c>
      <c r="C2119" t="s">
        <v>3627</v>
      </c>
    </row>
    <row r="2120" spans="1:3" x14ac:dyDescent="0.25">
      <c r="A2120" t="s">
        <v>3628</v>
      </c>
      <c r="B2120" t="s">
        <v>3529</v>
      </c>
      <c r="C2120" t="s">
        <v>3629</v>
      </c>
    </row>
    <row r="2121" spans="1:3" x14ac:dyDescent="0.25">
      <c r="A2121" t="s">
        <v>3630</v>
      </c>
      <c r="B2121" t="s">
        <v>3529</v>
      </c>
      <c r="C2121" t="s">
        <v>3631</v>
      </c>
    </row>
    <row r="2122" spans="1:3" x14ac:dyDescent="0.25">
      <c r="A2122" t="s">
        <v>3256</v>
      </c>
      <c r="B2122" t="s">
        <v>3529</v>
      </c>
      <c r="C2122" t="s">
        <v>3632</v>
      </c>
    </row>
    <row r="2123" spans="1:3" x14ac:dyDescent="0.25">
      <c r="A2123" t="s">
        <v>249</v>
      </c>
      <c r="B2123" t="s">
        <v>3529</v>
      </c>
      <c r="C2123" t="s">
        <v>3633</v>
      </c>
    </row>
    <row r="2124" spans="1:3" x14ac:dyDescent="0.25">
      <c r="A2124" t="s">
        <v>1370</v>
      </c>
      <c r="B2124" t="s">
        <v>3529</v>
      </c>
      <c r="C2124" t="s">
        <v>3634</v>
      </c>
    </row>
    <row r="2125" spans="1:3" x14ac:dyDescent="0.25">
      <c r="A2125" t="s">
        <v>721</v>
      </c>
      <c r="B2125" t="s">
        <v>3529</v>
      </c>
      <c r="C2125" t="s">
        <v>3635</v>
      </c>
    </row>
    <row r="2126" spans="1:3" x14ac:dyDescent="0.25">
      <c r="A2126" t="s">
        <v>3636</v>
      </c>
      <c r="B2126" t="s">
        <v>3529</v>
      </c>
      <c r="C2126" t="s">
        <v>3637</v>
      </c>
    </row>
    <row r="2127" spans="1:3" x14ac:dyDescent="0.25">
      <c r="A2127" t="s">
        <v>3638</v>
      </c>
      <c r="B2127" t="s">
        <v>3529</v>
      </c>
      <c r="C2127" t="s">
        <v>3639</v>
      </c>
    </row>
    <row r="2128" spans="1:3" x14ac:dyDescent="0.25">
      <c r="A2128" t="s">
        <v>481</v>
      </c>
      <c r="B2128" t="s">
        <v>3529</v>
      </c>
      <c r="C2128" t="s">
        <v>3640</v>
      </c>
    </row>
    <row r="2129" spans="1:3" x14ac:dyDescent="0.25">
      <c r="A2129" t="s">
        <v>3641</v>
      </c>
      <c r="B2129" t="s">
        <v>3529</v>
      </c>
      <c r="C2129" t="s">
        <v>3642</v>
      </c>
    </row>
    <row r="2130" spans="1:3" x14ac:dyDescent="0.25">
      <c r="A2130" t="s">
        <v>3643</v>
      </c>
      <c r="B2130" t="s">
        <v>3529</v>
      </c>
      <c r="C2130" t="s">
        <v>3644</v>
      </c>
    </row>
    <row r="2131" spans="1:3" x14ac:dyDescent="0.25">
      <c r="A2131" t="s">
        <v>1127</v>
      </c>
      <c r="B2131" t="s">
        <v>3529</v>
      </c>
      <c r="C2131" t="s">
        <v>3645</v>
      </c>
    </row>
    <row r="2132" spans="1:3" x14ac:dyDescent="0.25">
      <c r="A2132" t="s">
        <v>261</v>
      </c>
      <c r="B2132" t="s">
        <v>3529</v>
      </c>
      <c r="C2132" t="s">
        <v>3646</v>
      </c>
    </row>
    <row r="2133" spans="1:3" x14ac:dyDescent="0.25">
      <c r="A2133" t="s">
        <v>1130</v>
      </c>
      <c r="B2133" t="s">
        <v>3529</v>
      </c>
      <c r="C2133" t="s">
        <v>3647</v>
      </c>
    </row>
    <row r="2134" spans="1:3" x14ac:dyDescent="0.25">
      <c r="A2134" t="s">
        <v>3526</v>
      </c>
      <c r="B2134" t="s">
        <v>3529</v>
      </c>
      <c r="C2134" t="s">
        <v>3648</v>
      </c>
    </row>
    <row r="2135" spans="1:3" x14ac:dyDescent="0.25">
      <c r="A2135" t="s">
        <v>3649</v>
      </c>
      <c r="B2135" t="s">
        <v>3529</v>
      </c>
      <c r="C2135" t="s">
        <v>3650</v>
      </c>
    </row>
    <row r="2136" spans="1:3" x14ac:dyDescent="0.25">
      <c r="A2136" t="s">
        <v>3651</v>
      </c>
      <c r="B2136" t="s">
        <v>3529</v>
      </c>
      <c r="C2136" t="s">
        <v>3652</v>
      </c>
    </row>
    <row r="2137" spans="1:3" x14ac:dyDescent="0.25">
      <c r="A2137" t="s">
        <v>1531</v>
      </c>
      <c r="B2137" t="s">
        <v>3654</v>
      </c>
      <c r="C2137" t="s">
        <v>3655</v>
      </c>
    </row>
    <row r="2138" spans="1:3" x14ac:dyDescent="0.25">
      <c r="A2138" t="s">
        <v>3656</v>
      </c>
      <c r="B2138" t="s">
        <v>3654</v>
      </c>
      <c r="C2138" t="s">
        <v>3657</v>
      </c>
    </row>
    <row r="2139" spans="1:3" x14ac:dyDescent="0.25">
      <c r="A2139" t="s">
        <v>3658</v>
      </c>
      <c r="B2139" t="s">
        <v>3654</v>
      </c>
      <c r="C2139" t="s">
        <v>3659</v>
      </c>
    </row>
    <row r="2140" spans="1:3" x14ac:dyDescent="0.25">
      <c r="A2140" t="s">
        <v>3660</v>
      </c>
      <c r="B2140" t="s">
        <v>3654</v>
      </c>
      <c r="C2140" t="s">
        <v>3661</v>
      </c>
    </row>
    <row r="2141" spans="1:3" x14ac:dyDescent="0.25">
      <c r="A2141" t="s">
        <v>3662</v>
      </c>
      <c r="B2141" t="s">
        <v>3654</v>
      </c>
      <c r="C2141" t="s">
        <v>3663</v>
      </c>
    </row>
    <row r="2142" spans="1:3" x14ac:dyDescent="0.25">
      <c r="A2142" t="s">
        <v>1171</v>
      </c>
      <c r="B2142" t="s">
        <v>3654</v>
      </c>
      <c r="C2142" t="s">
        <v>3664</v>
      </c>
    </row>
    <row r="2143" spans="1:3" x14ac:dyDescent="0.25">
      <c r="A2143" t="s">
        <v>904</v>
      </c>
      <c r="B2143" t="s">
        <v>3654</v>
      </c>
      <c r="C2143" t="s">
        <v>3665</v>
      </c>
    </row>
    <row r="2144" spans="1:3" x14ac:dyDescent="0.25">
      <c r="A2144" t="s">
        <v>2044</v>
      </c>
      <c r="B2144" t="s">
        <v>3654</v>
      </c>
      <c r="C2144" t="s">
        <v>3666</v>
      </c>
    </row>
    <row r="2145" spans="1:3" x14ac:dyDescent="0.25">
      <c r="A2145" t="s">
        <v>3667</v>
      </c>
      <c r="B2145" t="s">
        <v>3654</v>
      </c>
      <c r="C2145" t="s">
        <v>3668</v>
      </c>
    </row>
    <row r="2146" spans="1:3" x14ac:dyDescent="0.25">
      <c r="A2146" t="s">
        <v>1887</v>
      </c>
      <c r="B2146" t="s">
        <v>3654</v>
      </c>
      <c r="C2146" t="s">
        <v>3669</v>
      </c>
    </row>
    <row r="2147" spans="1:3" x14ac:dyDescent="0.25">
      <c r="A2147" t="s">
        <v>151</v>
      </c>
      <c r="B2147" t="s">
        <v>3654</v>
      </c>
      <c r="C2147" t="s">
        <v>3670</v>
      </c>
    </row>
    <row r="2148" spans="1:3" x14ac:dyDescent="0.25">
      <c r="A2148" t="s">
        <v>155</v>
      </c>
      <c r="B2148" t="s">
        <v>3654</v>
      </c>
      <c r="C2148" t="s">
        <v>3671</v>
      </c>
    </row>
    <row r="2149" spans="1:3" x14ac:dyDescent="0.25">
      <c r="A2149" t="s">
        <v>3672</v>
      </c>
      <c r="B2149" t="s">
        <v>3654</v>
      </c>
      <c r="C2149" t="s">
        <v>3673</v>
      </c>
    </row>
    <row r="2150" spans="1:3" x14ac:dyDescent="0.25">
      <c r="A2150" t="s">
        <v>381</v>
      </c>
      <c r="B2150" t="s">
        <v>3654</v>
      </c>
      <c r="C2150" t="s">
        <v>3674</v>
      </c>
    </row>
    <row r="2151" spans="1:3" x14ac:dyDescent="0.25">
      <c r="A2151" t="s">
        <v>3675</v>
      </c>
      <c r="B2151" t="s">
        <v>3654</v>
      </c>
      <c r="C2151" t="s">
        <v>3676</v>
      </c>
    </row>
    <row r="2152" spans="1:3" x14ac:dyDescent="0.25">
      <c r="A2152" t="s">
        <v>1703</v>
      </c>
      <c r="B2152" t="s">
        <v>3654</v>
      </c>
      <c r="C2152" t="s">
        <v>3677</v>
      </c>
    </row>
    <row r="2153" spans="1:3" x14ac:dyDescent="0.25">
      <c r="A2153" t="s">
        <v>3678</v>
      </c>
      <c r="B2153" t="s">
        <v>3654</v>
      </c>
      <c r="C2153" t="s">
        <v>3679</v>
      </c>
    </row>
    <row r="2154" spans="1:3" x14ac:dyDescent="0.25">
      <c r="A2154" t="s">
        <v>3680</v>
      </c>
      <c r="B2154" t="s">
        <v>3654</v>
      </c>
      <c r="C2154" t="s">
        <v>3681</v>
      </c>
    </row>
    <row r="2155" spans="1:3" x14ac:dyDescent="0.25">
      <c r="A2155" t="s">
        <v>3682</v>
      </c>
      <c r="B2155" t="s">
        <v>3654</v>
      </c>
      <c r="C2155" t="s">
        <v>3683</v>
      </c>
    </row>
    <row r="2156" spans="1:3" x14ac:dyDescent="0.25">
      <c r="A2156" t="s">
        <v>638</v>
      </c>
      <c r="B2156" t="s">
        <v>3654</v>
      </c>
      <c r="C2156" t="s">
        <v>3684</v>
      </c>
    </row>
    <row r="2157" spans="1:3" x14ac:dyDescent="0.25">
      <c r="A2157" t="s">
        <v>1419</v>
      </c>
      <c r="B2157" t="s">
        <v>3654</v>
      </c>
      <c r="C2157" t="s">
        <v>3685</v>
      </c>
    </row>
    <row r="2158" spans="1:3" x14ac:dyDescent="0.25">
      <c r="A2158" t="s">
        <v>3686</v>
      </c>
      <c r="B2158" t="s">
        <v>3654</v>
      </c>
      <c r="C2158" t="s">
        <v>3687</v>
      </c>
    </row>
    <row r="2159" spans="1:3" x14ac:dyDescent="0.25">
      <c r="A2159" t="s">
        <v>1716</v>
      </c>
      <c r="B2159" t="s">
        <v>3654</v>
      </c>
      <c r="C2159" t="s">
        <v>3688</v>
      </c>
    </row>
    <row r="2160" spans="1:3" x14ac:dyDescent="0.25">
      <c r="A2160" t="s">
        <v>656</v>
      </c>
      <c r="B2160" t="s">
        <v>3654</v>
      </c>
      <c r="C2160" t="s">
        <v>3689</v>
      </c>
    </row>
    <row r="2161" spans="1:3" x14ac:dyDescent="0.25">
      <c r="A2161" t="s">
        <v>3690</v>
      </c>
      <c r="B2161" t="s">
        <v>3654</v>
      </c>
      <c r="C2161" t="s">
        <v>3691</v>
      </c>
    </row>
    <row r="2162" spans="1:3" x14ac:dyDescent="0.25">
      <c r="A2162" t="s">
        <v>990</v>
      </c>
      <c r="B2162" t="s">
        <v>3654</v>
      </c>
      <c r="C2162" t="s">
        <v>3692</v>
      </c>
    </row>
    <row r="2163" spans="1:3" x14ac:dyDescent="0.25">
      <c r="A2163" t="s">
        <v>407</v>
      </c>
      <c r="B2163" t="s">
        <v>3654</v>
      </c>
      <c r="C2163" t="s">
        <v>3693</v>
      </c>
    </row>
    <row r="2164" spans="1:3" x14ac:dyDescent="0.25">
      <c r="A2164" t="s">
        <v>3694</v>
      </c>
      <c r="B2164" t="s">
        <v>3654</v>
      </c>
      <c r="C2164" t="s">
        <v>3695</v>
      </c>
    </row>
    <row r="2165" spans="1:3" x14ac:dyDescent="0.25">
      <c r="A2165" t="s">
        <v>3696</v>
      </c>
      <c r="B2165" t="s">
        <v>3654</v>
      </c>
      <c r="C2165" t="s">
        <v>3697</v>
      </c>
    </row>
    <row r="2166" spans="1:3" x14ac:dyDescent="0.25">
      <c r="A2166" t="s">
        <v>1737</v>
      </c>
      <c r="B2166" t="s">
        <v>3654</v>
      </c>
      <c r="C2166" t="s">
        <v>3698</v>
      </c>
    </row>
    <row r="2167" spans="1:3" x14ac:dyDescent="0.25">
      <c r="A2167" t="s">
        <v>1741</v>
      </c>
      <c r="B2167" t="s">
        <v>3654</v>
      </c>
      <c r="C2167" t="s">
        <v>3699</v>
      </c>
    </row>
    <row r="2168" spans="1:3" x14ac:dyDescent="0.25">
      <c r="A2168" t="s">
        <v>3700</v>
      </c>
      <c r="B2168" t="s">
        <v>3654</v>
      </c>
      <c r="C2168" t="s">
        <v>3701</v>
      </c>
    </row>
    <row r="2169" spans="1:3" x14ac:dyDescent="0.25">
      <c r="A2169" t="s">
        <v>203</v>
      </c>
      <c r="B2169" t="s">
        <v>3654</v>
      </c>
      <c r="C2169" t="s">
        <v>3702</v>
      </c>
    </row>
    <row r="2170" spans="1:3" x14ac:dyDescent="0.25">
      <c r="A2170" t="s">
        <v>205</v>
      </c>
      <c r="B2170" t="s">
        <v>3654</v>
      </c>
      <c r="C2170" t="s">
        <v>3703</v>
      </c>
    </row>
    <row r="2171" spans="1:3" x14ac:dyDescent="0.25">
      <c r="A2171" t="s">
        <v>3363</v>
      </c>
      <c r="B2171" t="s">
        <v>3654</v>
      </c>
      <c r="C2171" t="s">
        <v>3704</v>
      </c>
    </row>
    <row r="2172" spans="1:3" x14ac:dyDescent="0.25">
      <c r="A2172" t="s">
        <v>3705</v>
      </c>
      <c r="B2172" t="s">
        <v>3654</v>
      </c>
      <c r="C2172" t="s">
        <v>3706</v>
      </c>
    </row>
    <row r="2173" spans="1:3" x14ac:dyDescent="0.25">
      <c r="A2173" t="s">
        <v>3707</v>
      </c>
      <c r="B2173" t="s">
        <v>3654</v>
      </c>
      <c r="C2173" t="s">
        <v>3708</v>
      </c>
    </row>
    <row r="2174" spans="1:3" x14ac:dyDescent="0.25">
      <c r="A2174" t="s">
        <v>670</v>
      </c>
      <c r="B2174" t="s">
        <v>3654</v>
      </c>
      <c r="C2174" t="s">
        <v>3709</v>
      </c>
    </row>
    <row r="2175" spans="1:3" x14ac:dyDescent="0.25">
      <c r="A2175" t="s">
        <v>3710</v>
      </c>
      <c r="B2175" t="s">
        <v>3654</v>
      </c>
      <c r="C2175" t="s">
        <v>3711</v>
      </c>
    </row>
    <row r="2176" spans="1:3" x14ac:dyDescent="0.25">
      <c r="A2176" t="s">
        <v>3712</v>
      </c>
      <c r="B2176" t="s">
        <v>3654</v>
      </c>
      <c r="C2176" t="s">
        <v>3713</v>
      </c>
    </row>
    <row r="2177" spans="1:3" x14ac:dyDescent="0.25">
      <c r="A2177" t="s">
        <v>428</v>
      </c>
      <c r="B2177" t="s">
        <v>3654</v>
      </c>
      <c r="C2177" t="s">
        <v>3714</v>
      </c>
    </row>
    <row r="2178" spans="1:3" x14ac:dyDescent="0.25">
      <c r="A2178" t="s">
        <v>432</v>
      </c>
      <c r="B2178" t="s">
        <v>3654</v>
      </c>
      <c r="C2178" t="s">
        <v>3715</v>
      </c>
    </row>
    <row r="2179" spans="1:3" x14ac:dyDescent="0.25">
      <c r="A2179" t="s">
        <v>3716</v>
      </c>
      <c r="B2179" t="s">
        <v>3654</v>
      </c>
      <c r="C2179" t="s">
        <v>3717</v>
      </c>
    </row>
    <row r="2180" spans="1:3" x14ac:dyDescent="0.25">
      <c r="A2180" t="s">
        <v>3718</v>
      </c>
      <c r="B2180" t="s">
        <v>3654</v>
      </c>
      <c r="C2180" t="s">
        <v>3719</v>
      </c>
    </row>
    <row r="2181" spans="1:3" x14ac:dyDescent="0.25">
      <c r="A2181" t="s">
        <v>3720</v>
      </c>
      <c r="B2181" t="s">
        <v>3654</v>
      </c>
      <c r="C2181" t="s">
        <v>3721</v>
      </c>
    </row>
    <row r="2182" spans="1:3" x14ac:dyDescent="0.25">
      <c r="A2182" t="s">
        <v>1039</v>
      </c>
      <c r="B2182" t="s">
        <v>3654</v>
      </c>
      <c r="C2182" t="s">
        <v>3722</v>
      </c>
    </row>
    <row r="2183" spans="1:3" x14ac:dyDescent="0.25">
      <c r="A2183" t="s">
        <v>3723</v>
      </c>
      <c r="B2183" t="s">
        <v>3654</v>
      </c>
      <c r="C2183" t="s">
        <v>3724</v>
      </c>
    </row>
    <row r="2184" spans="1:3" x14ac:dyDescent="0.25">
      <c r="A2184" t="s">
        <v>227</v>
      </c>
      <c r="B2184" t="s">
        <v>3654</v>
      </c>
      <c r="C2184" t="s">
        <v>3725</v>
      </c>
    </row>
    <row r="2185" spans="1:3" x14ac:dyDescent="0.25">
      <c r="A2185" t="s">
        <v>3726</v>
      </c>
      <c r="B2185" t="s">
        <v>3654</v>
      </c>
      <c r="C2185" t="s">
        <v>3727</v>
      </c>
    </row>
    <row r="2186" spans="1:3" x14ac:dyDescent="0.25">
      <c r="A2186" t="s">
        <v>1052</v>
      </c>
      <c r="B2186" t="s">
        <v>3654</v>
      </c>
      <c r="C2186" t="s">
        <v>3728</v>
      </c>
    </row>
    <row r="2187" spans="1:3" x14ac:dyDescent="0.25">
      <c r="A2187" t="s">
        <v>3729</v>
      </c>
      <c r="B2187" t="s">
        <v>3654</v>
      </c>
      <c r="C2187" t="s">
        <v>3730</v>
      </c>
    </row>
    <row r="2188" spans="1:3" x14ac:dyDescent="0.25">
      <c r="A2188" t="s">
        <v>1472</v>
      </c>
      <c r="B2188" t="s">
        <v>3654</v>
      </c>
      <c r="C2188" t="s">
        <v>3731</v>
      </c>
    </row>
    <row r="2189" spans="1:3" x14ac:dyDescent="0.25">
      <c r="A2189" t="s">
        <v>3732</v>
      </c>
      <c r="B2189" t="s">
        <v>3654</v>
      </c>
      <c r="C2189" t="s">
        <v>3733</v>
      </c>
    </row>
    <row r="2190" spans="1:3" x14ac:dyDescent="0.25">
      <c r="A2190" t="s">
        <v>3734</v>
      </c>
      <c r="B2190" t="s">
        <v>3654</v>
      </c>
      <c r="C2190" t="s">
        <v>3735</v>
      </c>
    </row>
    <row r="2191" spans="1:3" x14ac:dyDescent="0.25">
      <c r="A2191" t="s">
        <v>3736</v>
      </c>
      <c r="B2191" t="s">
        <v>3654</v>
      </c>
      <c r="C2191" t="s">
        <v>3737</v>
      </c>
    </row>
    <row r="2192" spans="1:3" x14ac:dyDescent="0.25">
      <c r="A2192" t="s">
        <v>3738</v>
      </c>
      <c r="B2192" t="s">
        <v>3654</v>
      </c>
      <c r="C2192" t="s">
        <v>3739</v>
      </c>
    </row>
    <row r="2193" spans="1:3" x14ac:dyDescent="0.25">
      <c r="A2193" t="s">
        <v>1786</v>
      </c>
      <c r="B2193" t="s">
        <v>3654</v>
      </c>
      <c r="C2193" t="s">
        <v>3740</v>
      </c>
    </row>
    <row r="2194" spans="1:3" x14ac:dyDescent="0.25">
      <c r="A2194" t="s">
        <v>1790</v>
      </c>
      <c r="B2194" t="s">
        <v>3654</v>
      </c>
      <c r="C2194" t="s">
        <v>3741</v>
      </c>
    </row>
    <row r="2195" spans="1:3" x14ac:dyDescent="0.25">
      <c r="A2195" t="s">
        <v>1792</v>
      </c>
      <c r="B2195" t="s">
        <v>3654</v>
      </c>
      <c r="C2195" t="s">
        <v>3742</v>
      </c>
    </row>
    <row r="2196" spans="1:3" x14ac:dyDescent="0.25">
      <c r="A2196" t="s">
        <v>3743</v>
      </c>
      <c r="B2196" t="s">
        <v>3654</v>
      </c>
      <c r="C2196" t="s">
        <v>3744</v>
      </c>
    </row>
    <row r="2197" spans="1:3" x14ac:dyDescent="0.25">
      <c r="A2197" t="s">
        <v>3745</v>
      </c>
      <c r="B2197" t="s">
        <v>3654</v>
      </c>
      <c r="C2197" t="s">
        <v>3746</v>
      </c>
    </row>
    <row r="2198" spans="1:3" x14ac:dyDescent="0.25">
      <c r="A2198" t="s">
        <v>2615</v>
      </c>
      <c r="B2198" t="s">
        <v>3654</v>
      </c>
      <c r="C2198" t="s">
        <v>3747</v>
      </c>
    </row>
    <row r="2199" spans="1:3" x14ac:dyDescent="0.25">
      <c r="A2199" t="s">
        <v>1795</v>
      </c>
      <c r="B2199" t="s">
        <v>3654</v>
      </c>
      <c r="C2199" t="s">
        <v>3748</v>
      </c>
    </row>
    <row r="2200" spans="1:3" x14ac:dyDescent="0.25">
      <c r="A2200" t="s">
        <v>3749</v>
      </c>
      <c r="B2200" t="s">
        <v>3654</v>
      </c>
      <c r="C2200" t="s">
        <v>3750</v>
      </c>
    </row>
    <row r="2201" spans="1:3" x14ac:dyDescent="0.25">
      <c r="A2201" t="s">
        <v>3751</v>
      </c>
      <c r="B2201" t="s">
        <v>3654</v>
      </c>
      <c r="C2201" t="s">
        <v>3752</v>
      </c>
    </row>
    <row r="2202" spans="1:3" x14ac:dyDescent="0.25">
      <c r="A2202" t="s">
        <v>3753</v>
      </c>
      <c r="B2202" t="s">
        <v>3654</v>
      </c>
      <c r="C2202" t="s">
        <v>3754</v>
      </c>
    </row>
    <row r="2203" spans="1:3" x14ac:dyDescent="0.25">
      <c r="A2203" t="s">
        <v>861</v>
      </c>
      <c r="B2203" t="s">
        <v>3654</v>
      </c>
      <c r="C2203" t="s">
        <v>3755</v>
      </c>
    </row>
    <row r="2204" spans="1:3" x14ac:dyDescent="0.25">
      <c r="A2204" t="s">
        <v>3756</v>
      </c>
      <c r="B2204" t="s">
        <v>3654</v>
      </c>
      <c r="C2204" t="s">
        <v>3757</v>
      </c>
    </row>
    <row r="2205" spans="1:3" x14ac:dyDescent="0.25">
      <c r="A2205" t="s">
        <v>1088</v>
      </c>
      <c r="B2205" t="s">
        <v>3654</v>
      </c>
      <c r="C2205" t="s">
        <v>3758</v>
      </c>
    </row>
    <row r="2206" spans="1:3" x14ac:dyDescent="0.25">
      <c r="A2206" t="s">
        <v>2798</v>
      </c>
      <c r="B2206" t="s">
        <v>3654</v>
      </c>
      <c r="C2206" t="s">
        <v>3759</v>
      </c>
    </row>
    <row r="2207" spans="1:3" x14ac:dyDescent="0.25">
      <c r="A2207" t="s">
        <v>3760</v>
      </c>
      <c r="B2207" t="s">
        <v>3654</v>
      </c>
      <c r="C2207" t="s">
        <v>3761</v>
      </c>
    </row>
    <row r="2208" spans="1:3" x14ac:dyDescent="0.25">
      <c r="A2208" t="s">
        <v>3762</v>
      </c>
      <c r="B2208" t="s">
        <v>3654</v>
      </c>
      <c r="C2208" t="s">
        <v>3763</v>
      </c>
    </row>
    <row r="2209" spans="1:3" x14ac:dyDescent="0.25">
      <c r="A2209" t="s">
        <v>3764</v>
      </c>
      <c r="B2209" t="s">
        <v>3654</v>
      </c>
      <c r="C2209" t="s">
        <v>3765</v>
      </c>
    </row>
    <row r="2210" spans="1:3" x14ac:dyDescent="0.25">
      <c r="A2210" t="s">
        <v>261</v>
      </c>
      <c r="B2210" t="s">
        <v>3654</v>
      </c>
      <c r="C2210" t="s">
        <v>3766</v>
      </c>
    </row>
    <row r="2211" spans="1:3" x14ac:dyDescent="0.25">
      <c r="A2211" t="s">
        <v>3767</v>
      </c>
      <c r="B2211" t="s">
        <v>3654</v>
      </c>
      <c r="C2211" t="s">
        <v>3768</v>
      </c>
    </row>
    <row r="2212" spans="1:3" x14ac:dyDescent="0.25">
      <c r="A2212" t="s">
        <v>3769</v>
      </c>
      <c r="B2212" t="s">
        <v>3654</v>
      </c>
      <c r="C2212" t="s">
        <v>3770</v>
      </c>
    </row>
    <row r="2213" spans="1:3" x14ac:dyDescent="0.25">
      <c r="A2213" t="s">
        <v>3771</v>
      </c>
      <c r="B2213" t="s">
        <v>3654</v>
      </c>
      <c r="C2213" t="s">
        <v>3772</v>
      </c>
    </row>
    <row r="2214" spans="1:3" x14ac:dyDescent="0.25">
      <c r="A2214" t="s">
        <v>762</v>
      </c>
      <c r="B2214" t="s">
        <v>3774</v>
      </c>
      <c r="C2214" t="s">
        <v>3775</v>
      </c>
    </row>
    <row r="2215" spans="1:3" x14ac:dyDescent="0.25">
      <c r="A2215" t="s">
        <v>366</v>
      </c>
      <c r="B2215" t="s">
        <v>3774</v>
      </c>
      <c r="C2215" t="s">
        <v>3776</v>
      </c>
    </row>
    <row r="2216" spans="1:3" x14ac:dyDescent="0.25">
      <c r="A2216" t="s">
        <v>3777</v>
      </c>
      <c r="B2216" t="s">
        <v>3774</v>
      </c>
      <c r="C2216" t="s">
        <v>3778</v>
      </c>
    </row>
    <row r="2217" spans="1:3" x14ac:dyDescent="0.25">
      <c r="A2217" t="s">
        <v>3779</v>
      </c>
      <c r="B2217" t="s">
        <v>3774</v>
      </c>
      <c r="C2217" t="s">
        <v>3780</v>
      </c>
    </row>
    <row r="2218" spans="1:3" x14ac:dyDescent="0.25">
      <c r="A2218" t="s">
        <v>383</v>
      </c>
      <c r="B2218" t="s">
        <v>3774</v>
      </c>
      <c r="C2218" t="s">
        <v>3781</v>
      </c>
    </row>
    <row r="2219" spans="1:3" x14ac:dyDescent="0.25">
      <c r="A2219" t="s">
        <v>3077</v>
      </c>
      <c r="B2219" t="s">
        <v>3774</v>
      </c>
      <c r="C2219" t="s">
        <v>3782</v>
      </c>
    </row>
    <row r="2220" spans="1:3" x14ac:dyDescent="0.25">
      <c r="A2220" t="s">
        <v>3783</v>
      </c>
      <c r="B2220" t="s">
        <v>3774</v>
      </c>
      <c r="C2220" t="s">
        <v>3784</v>
      </c>
    </row>
    <row r="2221" spans="1:3" x14ac:dyDescent="0.25">
      <c r="A2221" t="s">
        <v>3134</v>
      </c>
      <c r="B2221" t="s">
        <v>3774</v>
      </c>
      <c r="C2221" t="s">
        <v>3785</v>
      </c>
    </row>
    <row r="2222" spans="1:3" x14ac:dyDescent="0.25">
      <c r="A2222" t="s">
        <v>3786</v>
      </c>
      <c r="B2222" t="s">
        <v>3774</v>
      </c>
      <c r="C2222" t="s">
        <v>3787</v>
      </c>
    </row>
    <row r="2223" spans="1:3" x14ac:dyDescent="0.25">
      <c r="A2223" t="s">
        <v>646</v>
      </c>
      <c r="B2223" t="s">
        <v>3774</v>
      </c>
      <c r="C2223" t="s">
        <v>3788</v>
      </c>
    </row>
    <row r="2224" spans="1:3" x14ac:dyDescent="0.25">
      <c r="A2224" t="s">
        <v>3789</v>
      </c>
      <c r="B2224" t="s">
        <v>3774</v>
      </c>
      <c r="C2224" t="s">
        <v>3790</v>
      </c>
    </row>
    <row r="2225" spans="1:3" x14ac:dyDescent="0.25">
      <c r="A2225" t="s">
        <v>407</v>
      </c>
      <c r="B2225" t="s">
        <v>3774</v>
      </c>
      <c r="C2225" t="s">
        <v>3791</v>
      </c>
    </row>
    <row r="2226" spans="1:3" x14ac:dyDescent="0.25">
      <c r="A2226" t="s">
        <v>3792</v>
      </c>
      <c r="B2226" t="s">
        <v>3774</v>
      </c>
      <c r="C2226" t="s">
        <v>3793</v>
      </c>
    </row>
    <row r="2227" spans="1:3" x14ac:dyDescent="0.25">
      <c r="A2227" t="s">
        <v>3794</v>
      </c>
      <c r="B2227" t="s">
        <v>3774</v>
      </c>
      <c r="C2227" t="s">
        <v>3795</v>
      </c>
    </row>
    <row r="2228" spans="1:3" x14ac:dyDescent="0.25">
      <c r="A2228" t="s">
        <v>203</v>
      </c>
      <c r="B2228" t="s">
        <v>3774</v>
      </c>
      <c r="C2228" t="s">
        <v>3796</v>
      </c>
    </row>
    <row r="2229" spans="1:3" x14ac:dyDescent="0.25">
      <c r="A2229" t="s">
        <v>205</v>
      </c>
      <c r="B2229" t="s">
        <v>3774</v>
      </c>
      <c r="C2229" t="s">
        <v>3797</v>
      </c>
    </row>
    <row r="2230" spans="1:3" x14ac:dyDescent="0.25">
      <c r="A2230" t="s">
        <v>3798</v>
      </c>
      <c r="B2230" t="s">
        <v>3774</v>
      </c>
      <c r="C2230" t="s">
        <v>3799</v>
      </c>
    </row>
    <row r="2231" spans="1:3" x14ac:dyDescent="0.25">
      <c r="A2231" t="s">
        <v>3800</v>
      </c>
      <c r="B2231" t="s">
        <v>3774</v>
      </c>
      <c r="C2231" t="s">
        <v>3801</v>
      </c>
    </row>
    <row r="2232" spans="1:3" x14ac:dyDescent="0.25">
      <c r="A2232" t="s">
        <v>526</v>
      </c>
      <c r="B2232" t="s">
        <v>3774</v>
      </c>
      <c r="C2232" t="s">
        <v>3802</v>
      </c>
    </row>
    <row r="2233" spans="1:3" x14ac:dyDescent="0.25">
      <c r="A2233" t="s">
        <v>1757</v>
      </c>
      <c r="B2233" t="s">
        <v>3774</v>
      </c>
      <c r="C2233" t="s">
        <v>3803</v>
      </c>
    </row>
    <row r="2234" spans="1:3" x14ac:dyDescent="0.25">
      <c r="A2234" t="s">
        <v>428</v>
      </c>
      <c r="B2234" t="s">
        <v>3774</v>
      </c>
      <c r="C2234" t="s">
        <v>3804</v>
      </c>
    </row>
    <row r="2235" spans="1:3" x14ac:dyDescent="0.25">
      <c r="A2235" t="s">
        <v>1609</v>
      </c>
      <c r="B2235" t="s">
        <v>3774</v>
      </c>
      <c r="C2235" t="s">
        <v>3805</v>
      </c>
    </row>
    <row r="2236" spans="1:3" x14ac:dyDescent="0.25">
      <c r="A2236" t="s">
        <v>3806</v>
      </c>
      <c r="B2236" t="s">
        <v>3774</v>
      </c>
      <c r="C2236" t="s">
        <v>3807</v>
      </c>
    </row>
    <row r="2237" spans="1:3" x14ac:dyDescent="0.25">
      <c r="A2237" t="s">
        <v>225</v>
      </c>
      <c r="B2237" t="s">
        <v>3774</v>
      </c>
      <c r="C2237" t="s">
        <v>3808</v>
      </c>
    </row>
    <row r="2238" spans="1:3" x14ac:dyDescent="0.25">
      <c r="A2238" t="s">
        <v>3609</v>
      </c>
      <c r="B2238" t="s">
        <v>3774</v>
      </c>
      <c r="C2238" t="s">
        <v>3809</v>
      </c>
    </row>
    <row r="2239" spans="1:3" x14ac:dyDescent="0.25">
      <c r="A2239" t="s">
        <v>3810</v>
      </c>
      <c r="B2239" t="s">
        <v>3774</v>
      </c>
      <c r="C2239" t="s">
        <v>3811</v>
      </c>
    </row>
    <row r="2240" spans="1:3" x14ac:dyDescent="0.25">
      <c r="A2240" t="s">
        <v>456</v>
      </c>
      <c r="B2240" t="s">
        <v>3774</v>
      </c>
      <c r="C2240" t="s">
        <v>3812</v>
      </c>
    </row>
    <row r="2241" spans="1:3" x14ac:dyDescent="0.25">
      <c r="A2241" t="s">
        <v>1822</v>
      </c>
      <c r="B2241" t="s">
        <v>3774</v>
      </c>
      <c r="C2241" t="s">
        <v>3813</v>
      </c>
    </row>
    <row r="2242" spans="1:3" x14ac:dyDescent="0.25">
      <c r="A2242" t="s">
        <v>3814</v>
      </c>
      <c r="B2242" t="s">
        <v>3774</v>
      </c>
      <c r="C2242" t="s">
        <v>3815</v>
      </c>
    </row>
    <row r="2243" spans="1:3" x14ac:dyDescent="0.25">
      <c r="A2243" t="s">
        <v>3816</v>
      </c>
      <c r="B2243" t="s">
        <v>3774</v>
      </c>
      <c r="C2243" t="s">
        <v>3817</v>
      </c>
    </row>
    <row r="2244" spans="1:3" x14ac:dyDescent="0.25">
      <c r="A2244" t="s">
        <v>481</v>
      </c>
      <c r="B2244" t="s">
        <v>3774</v>
      </c>
      <c r="C2244" t="s">
        <v>3818</v>
      </c>
    </row>
    <row r="2245" spans="1:3" x14ac:dyDescent="0.25">
      <c r="A2245" t="s">
        <v>3819</v>
      </c>
      <c r="B2245" t="s">
        <v>3774</v>
      </c>
      <c r="C2245" t="s">
        <v>3820</v>
      </c>
    </row>
    <row r="2246" spans="1:3" x14ac:dyDescent="0.25">
      <c r="A2246" t="s">
        <v>3821</v>
      </c>
      <c r="B2246" t="s">
        <v>3774</v>
      </c>
      <c r="C2246" t="s">
        <v>3822</v>
      </c>
    </row>
    <row r="2247" spans="1:3" x14ac:dyDescent="0.25">
      <c r="A2247" t="s">
        <v>261</v>
      </c>
      <c r="B2247" t="s">
        <v>3774</v>
      </c>
      <c r="C2247" t="s">
        <v>3823</v>
      </c>
    </row>
    <row r="2248" spans="1:3" x14ac:dyDescent="0.25">
      <c r="A2248" t="s">
        <v>1134</v>
      </c>
      <c r="B2248" t="s">
        <v>3774</v>
      </c>
      <c r="C2248" t="s">
        <v>3824</v>
      </c>
    </row>
    <row r="2249" spans="1:3" x14ac:dyDescent="0.25">
      <c r="A2249" t="s">
        <v>3825</v>
      </c>
      <c r="B2249" t="s">
        <v>3774</v>
      </c>
      <c r="C2249" t="s">
        <v>3826</v>
      </c>
    </row>
    <row r="2250" spans="1:3" x14ac:dyDescent="0.25">
      <c r="A2250" t="s">
        <v>609</v>
      </c>
      <c r="B2250" t="s">
        <v>3828</v>
      </c>
      <c r="C2250" t="s">
        <v>3829</v>
      </c>
    </row>
    <row r="2251" spans="1:3" x14ac:dyDescent="0.25">
      <c r="A2251" t="s">
        <v>3830</v>
      </c>
      <c r="B2251" t="s">
        <v>3828</v>
      </c>
      <c r="C2251" t="s">
        <v>3831</v>
      </c>
    </row>
    <row r="2252" spans="1:3" x14ac:dyDescent="0.25">
      <c r="A2252" t="s">
        <v>3832</v>
      </c>
      <c r="B2252" t="s">
        <v>3828</v>
      </c>
      <c r="C2252" t="s">
        <v>3833</v>
      </c>
    </row>
    <row r="2253" spans="1:3" x14ac:dyDescent="0.25">
      <c r="A2253" t="s">
        <v>3660</v>
      </c>
      <c r="B2253" t="s">
        <v>3828</v>
      </c>
      <c r="C2253" t="s">
        <v>3834</v>
      </c>
    </row>
    <row r="2254" spans="1:3" x14ac:dyDescent="0.25">
      <c r="A2254" t="s">
        <v>3835</v>
      </c>
      <c r="B2254" t="s">
        <v>3828</v>
      </c>
      <c r="C2254" t="s">
        <v>3836</v>
      </c>
    </row>
    <row r="2255" spans="1:3" x14ac:dyDescent="0.25">
      <c r="A2255" t="s">
        <v>3837</v>
      </c>
      <c r="B2255" t="s">
        <v>3828</v>
      </c>
      <c r="C2255" t="s">
        <v>3838</v>
      </c>
    </row>
    <row r="2256" spans="1:3" x14ac:dyDescent="0.25">
      <c r="A2256" t="s">
        <v>3839</v>
      </c>
      <c r="B2256" t="s">
        <v>3828</v>
      </c>
      <c r="C2256" t="s">
        <v>3840</v>
      </c>
    </row>
    <row r="2257" spans="1:3" x14ac:dyDescent="0.25">
      <c r="A2257" t="s">
        <v>766</v>
      </c>
      <c r="B2257" t="s">
        <v>3828</v>
      </c>
      <c r="C2257" t="s">
        <v>3841</v>
      </c>
    </row>
    <row r="2258" spans="1:3" x14ac:dyDescent="0.25">
      <c r="A2258" t="s">
        <v>3842</v>
      </c>
      <c r="B2258" t="s">
        <v>3828</v>
      </c>
      <c r="C2258" t="s">
        <v>3843</v>
      </c>
    </row>
    <row r="2259" spans="1:3" x14ac:dyDescent="0.25">
      <c r="A2259" t="s">
        <v>145</v>
      </c>
      <c r="B2259" t="s">
        <v>3828</v>
      </c>
      <c r="C2259" t="s">
        <v>3844</v>
      </c>
    </row>
    <row r="2260" spans="1:3" x14ac:dyDescent="0.25">
      <c r="A2260" t="s">
        <v>3845</v>
      </c>
      <c r="B2260" t="s">
        <v>3828</v>
      </c>
      <c r="C2260" t="s">
        <v>3846</v>
      </c>
    </row>
    <row r="2261" spans="1:3" x14ac:dyDescent="0.25">
      <c r="A2261" t="s">
        <v>2049</v>
      </c>
      <c r="B2261" t="s">
        <v>3828</v>
      </c>
      <c r="C2261" t="s">
        <v>3847</v>
      </c>
    </row>
    <row r="2262" spans="1:3" x14ac:dyDescent="0.25">
      <c r="A2262" t="s">
        <v>2818</v>
      </c>
      <c r="B2262" t="s">
        <v>3828</v>
      </c>
      <c r="C2262" t="s">
        <v>3848</v>
      </c>
    </row>
    <row r="2263" spans="1:3" x14ac:dyDescent="0.25">
      <c r="A2263" t="s">
        <v>3849</v>
      </c>
      <c r="B2263" t="s">
        <v>3828</v>
      </c>
      <c r="C2263" t="s">
        <v>3850</v>
      </c>
    </row>
    <row r="2264" spans="1:3" x14ac:dyDescent="0.25">
      <c r="A2264" t="s">
        <v>3851</v>
      </c>
      <c r="B2264" t="s">
        <v>3828</v>
      </c>
      <c r="C2264" t="s">
        <v>3852</v>
      </c>
    </row>
    <row r="2265" spans="1:3" x14ac:dyDescent="0.25">
      <c r="A2265" t="s">
        <v>3853</v>
      </c>
      <c r="B2265" t="s">
        <v>3828</v>
      </c>
      <c r="C2265" t="s">
        <v>3854</v>
      </c>
    </row>
    <row r="2266" spans="1:3" x14ac:dyDescent="0.25">
      <c r="A2266" t="s">
        <v>3855</v>
      </c>
      <c r="B2266" t="s">
        <v>3828</v>
      </c>
      <c r="C2266" t="s">
        <v>3856</v>
      </c>
    </row>
    <row r="2267" spans="1:3" x14ac:dyDescent="0.25">
      <c r="A2267" t="s">
        <v>1259</v>
      </c>
      <c r="B2267" t="s">
        <v>3828</v>
      </c>
      <c r="C2267" t="s">
        <v>3857</v>
      </c>
    </row>
    <row r="2268" spans="1:3" x14ac:dyDescent="0.25">
      <c r="A2268" t="s">
        <v>383</v>
      </c>
      <c r="B2268" t="s">
        <v>3828</v>
      </c>
      <c r="C2268" t="s">
        <v>3858</v>
      </c>
    </row>
    <row r="2269" spans="1:3" x14ac:dyDescent="0.25">
      <c r="A2269" t="s">
        <v>389</v>
      </c>
      <c r="B2269" t="s">
        <v>3828</v>
      </c>
      <c r="C2269" t="s">
        <v>3859</v>
      </c>
    </row>
    <row r="2270" spans="1:3" x14ac:dyDescent="0.25">
      <c r="A2270" t="s">
        <v>1265</v>
      </c>
      <c r="B2270" t="s">
        <v>3828</v>
      </c>
      <c r="C2270" t="s">
        <v>3860</v>
      </c>
    </row>
    <row r="2271" spans="1:3" x14ac:dyDescent="0.25">
      <c r="A2271" t="s">
        <v>3861</v>
      </c>
      <c r="B2271" t="s">
        <v>3828</v>
      </c>
      <c r="C2271" t="s">
        <v>3862</v>
      </c>
    </row>
    <row r="2272" spans="1:3" x14ac:dyDescent="0.25">
      <c r="A2272" t="s">
        <v>1419</v>
      </c>
      <c r="B2272" t="s">
        <v>3828</v>
      </c>
      <c r="C2272" t="s">
        <v>3863</v>
      </c>
    </row>
    <row r="2273" spans="1:3" x14ac:dyDescent="0.25">
      <c r="A2273" t="s">
        <v>1714</v>
      </c>
      <c r="B2273" t="s">
        <v>3828</v>
      </c>
      <c r="C2273" t="s">
        <v>3864</v>
      </c>
    </row>
    <row r="2274" spans="1:3" x14ac:dyDescent="0.25">
      <c r="A2274" t="s">
        <v>3207</v>
      </c>
      <c r="B2274" t="s">
        <v>3828</v>
      </c>
      <c r="C2274" t="s">
        <v>3865</v>
      </c>
    </row>
    <row r="2275" spans="1:3" x14ac:dyDescent="0.25">
      <c r="A2275" t="s">
        <v>189</v>
      </c>
      <c r="B2275" t="s">
        <v>3828</v>
      </c>
      <c r="C2275" t="s">
        <v>3866</v>
      </c>
    </row>
    <row r="2276" spans="1:3" x14ac:dyDescent="0.25">
      <c r="A2276" t="s">
        <v>3867</v>
      </c>
      <c r="B2276" t="s">
        <v>3828</v>
      </c>
      <c r="C2276" t="s">
        <v>3868</v>
      </c>
    </row>
    <row r="2277" spans="1:3" x14ac:dyDescent="0.25">
      <c r="A2277" t="s">
        <v>191</v>
      </c>
      <c r="B2277" t="s">
        <v>3828</v>
      </c>
      <c r="C2277" t="s">
        <v>3869</v>
      </c>
    </row>
    <row r="2278" spans="1:3" x14ac:dyDescent="0.25">
      <c r="A2278" t="s">
        <v>403</v>
      </c>
      <c r="B2278" t="s">
        <v>3828</v>
      </c>
      <c r="C2278" t="s">
        <v>3870</v>
      </c>
    </row>
    <row r="2279" spans="1:3" x14ac:dyDescent="0.25">
      <c r="A2279" t="s">
        <v>195</v>
      </c>
      <c r="B2279" t="s">
        <v>3828</v>
      </c>
      <c r="C2279" t="s">
        <v>3871</v>
      </c>
    </row>
    <row r="2280" spans="1:3" x14ac:dyDescent="0.25">
      <c r="A2280" t="s">
        <v>3872</v>
      </c>
      <c r="B2280" t="s">
        <v>3828</v>
      </c>
      <c r="C2280" t="s">
        <v>3873</v>
      </c>
    </row>
    <row r="2281" spans="1:3" x14ac:dyDescent="0.25">
      <c r="A2281" t="s">
        <v>3874</v>
      </c>
      <c r="B2281" t="s">
        <v>3828</v>
      </c>
      <c r="C2281" t="s">
        <v>3875</v>
      </c>
    </row>
    <row r="2282" spans="1:3" x14ac:dyDescent="0.25">
      <c r="A2282" t="s">
        <v>205</v>
      </c>
      <c r="B2282" t="s">
        <v>3828</v>
      </c>
      <c r="C2282" t="s">
        <v>3876</v>
      </c>
    </row>
    <row r="2283" spans="1:3" x14ac:dyDescent="0.25">
      <c r="A2283" t="s">
        <v>3877</v>
      </c>
      <c r="B2283" t="s">
        <v>3828</v>
      </c>
      <c r="C2283" t="s">
        <v>3878</v>
      </c>
    </row>
    <row r="2284" spans="1:3" x14ac:dyDescent="0.25">
      <c r="A2284" t="s">
        <v>3879</v>
      </c>
      <c r="B2284" t="s">
        <v>3828</v>
      </c>
      <c r="C2284" t="s">
        <v>3880</v>
      </c>
    </row>
    <row r="2285" spans="1:3" x14ac:dyDescent="0.25">
      <c r="A2285" t="s">
        <v>2986</v>
      </c>
      <c r="B2285" t="s">
        <v>3828</v>
      </c>
      <c r="C2285" t="s">
        <v>3881</v>
      </c>
    </row>
    <row r="2286" spans="1:3" x14ac:dyDescent="0.25">
      <c r="A2286" t="s">
        <v>211</v>
      </c>
      <c r="B2286" t="s">
        <v>3828</v>
      </c>
      <c r="C2286" t="s">
        <v>3882</v>
      </c>
    </row>
    <row r="2287" spans="1:3" x14ac:dyDescent="0.25">
      <c r="A2287" t="s">
        <v>3883</v>
      </c>
      <c r="B2287" t="s">
        <v>3828</v>
      </c>
      <c r="C2287" t="s">
        <v>3884</v>
      </c>
    </row>
    <row r="2288" spans="1:3" x14ac:dyDescent="0.25">
      <c r="A2288" t="s">
        <v>3885</v>
      </c>
      <c r="B2288" t="s">
        <v>3828</v>
      </c>
      <c r="C2288" t="s">
        <v>3886</v>
      </c>
    </row>
    <row r="2289" spans="1:3" x14ac:dyDescent="0.25">
      <c r="A2289" t="s">
        <v>3887</v>
      </c>
      <c r="B2289" t="s">
        <v>3828</v>
      </c>
      <c r="C2289" t="s">
        <v>3888</v>
      </c>
    </row>
    <row r="2290" spans="1:3" x14ac:dyDescent="0.25">
      <c r="A2290" t="s">
        <v>3889</v>
      </c>
      <c r="B2290" t="s">
        <v>3828</v>
      </c>
      <c r="C2290" t="s">
        <v>3890</v>
      </c>
    </row>
    <row r="2291" spans="1:3" x14ac:dyDescent="0.25">
      <c r="A2291" t="s">
        <v>3891</v>
      </c>
      <c r="B2291" t="s">
        <v>3828</v>
      </c>
      <c r="C2291" t="s">
        <v>3892</v>
      </c>
    </row>
    <row r="2292" spans="1:3" x14ac:dyDescent="0.25">
      <c r="A2292" t="s">
        <v>1339</v>
      </c>
      <c r="B2292" t="s">
        <v>3828</v>
      </c>
      <c r="C2292" t="s">
        <v>3893</v>
      </c>
    </row>
    <row r="2293" spans="1:3" x14ac:dyDescent="0.25">
      <c r="A2293" t="s">
        <v>3894</v>
      </c>
      <c r="B2293" t="s">
        <v>3828</v>
      </c>
      <c r="C2293" t="s">
        <v>3895</v>
      </c>
    </row>
    <row r="2294" spans="1:3" x14ac:dyDescent="0.25">
      <c r="A2294" t="s">
        <v>231</v>
      </c>
      <c r="B2294" t="s">
        <v>3828</v>
      </c>
      <c r="C2294" t="s">
        <v>3896</v>
      </c>
    </row>
    <row r="2295" spans="1:3" x14ac:dyDescent="0.25">
      <c r="A2295" t="s">
        <v>233</v>
      </c>
      <c r="B2295" t="s">
        <v>3828</v>
      </c>
      <c r="C2295" t="s">
        <v>3897</v>
      </c>
    </row>
    <row r="2296" spans="1:3" x14ac:dyDescent="0.25">
      <c r="A2296" t="s">
        <v>3898</v>
      </c>
      <c r="B2296" t="s">
        <v>3828</v>
      </c>
      <c r="C2296" t="s">
        <v>3899</v>
      </c>
    </row>
    <row r="2297" spans="1:3" x14ac:dyDescent="0.25">
      <c r="A2297" t="s">
        <v>3385</v>
      </c>
      <c r="B2297" t="s">
        <v>3828</v>
      </c>
      <c r="C2297" t="s">
        <v>3900</v>
      </c>
    </row>
    <row r="2298" spans="1:3" x14ac:dyDescent="0.25">
      <c r="A2298" t="s">
        <v>3901</v>
      </c>
      <c r="B2298" t="s">
        <v>3828</v>
      </c>
      <c r="C2298" t="s">
        <v>3902</v>
      </c>
    </row>
    <row r="2299" spans="1:3" x14ac:dyDescent="0.25">
      <c r="A2299" t="s">
        <v>237</v>
      </c>
      <c r="B2299" t="s">
        <v>3828</v>
      </c>
      <c r="C2299" t="s">
        <v>3903</v>
      </c>
    </row>
    <row r="2300" spans="1:3" x14ac:dyDescent="0.25">
      <c r="A2300" t="s">
        <v>3904</v>
      </c>
      <c r="B2300" t="s">
        <v>3828</v>
      </c>
      <c r="C2300" t="s">
        <v>3905</v>
      </c>
    </row>
    <row r="2301" spans="1:3" x14ac:dyDescent="0.25">
      <c r="A2301" t="s">
        <v>241</v>
      </c>
      <c r="B2301" t="s">
        <v>3828</v>
      </c>
      <c r="C2301" t="s">
        <v>3906</v>
      </c>
    </row>
    <row r="2302" spans="1:3" x14ac:dyDescent="0.25">
      <c r="A2302" t="s">
        <v>3907</v>
      </c>
      <c r="B2302" t="s">
        <v>3828</v>
      </c>
      <c r="C2302" t="s">
        <v>3908</v>
      </c>
    </row>
    <row r="2303" spans="1:3" x14ac:dyDescent="0.25">
      <c r="A2303" t="s">
        <v>3909</v>
      </c>
      <c r="B2303" t="s">
        <v>3828</v>
      </c>
      <c r="C2303" t="s">
        <v>3910</v>
      </c>
    </row>
    <row r="2304" spans="1:3" x14ac:dyDescent="0.25">
      <c r="A2304" t="s">
        <v>3911</v>
      </c>
      <c r="B2304" t="s">
        <v>3828</v>
      </c>
      <c r="C2304" t="s">
        <v>3912</v>
      </c>
    </row>
    <row r="2305" spans="1:3" x14ac:dyDescent="0.25">
      <c r="A2305" t="s">
        <v>2162</v>
      </c>
      <c r="B2305" t="s">
        <v>3828</v>
      </c>
      <c r="C2305" t="s">
        <v>3913</v>
      </c>
    </row>
    <row r="2306" spans="1:3" x14ac:dyDescent="0.25">
      <c r="A2306" t="s">
        <v>1504</v>
      </c>
      <c r="B2306" t="s">
        <v>3828</v>
      </c>
      <c r="C2306" t="s">
        <v>3914</v>
      </c>
    </row>
    <row r="2307" spans="1:3" x14ac:dyDescent="0.25">
      <c r="A2307" t="s">
        <v>3915</v>
      </c>
      <c r="B2307" t="s">
        <v>3828</v>
      </c>
      <c r="C2307" t="s">
        <v>3916</v>
      </c>
    </row>
    <row r="2308" spans="1:3" x14ac:dyDescent="0.25">
      <c r="A2308" t="s">
        <v>3261</v>
      </c>
      <c r="B2308" t="s">
        <v>3828</v>
      </c>
      <c r="C2308" t="s">
        <v>3917</v>
      </c>
    </row>
    <row r="2309" spans="1:3" x14ac:dyDescent="0.25">
      <c r="A2309" t="s">
        <v>481</v>
      </c>
      <c r="B2309" t="s">
        <v>3828</v>
      </c>
      <c r="C2309" t="s">
        <v>3918</v>
      </c>
    </row>
    <row r="2310" spans="1:3" x14ac:dyDescent="0.25">
      <c r="A2310" t="s">
        <v>3919</v>
      </c>
      <c r="B2310" t="s">
        <v>3828</v>
      </c>
      <c r="C2310" t="s">
        <v>3920</v>
      </c>
    </row>
    <row r="2311" spans="1:3" x14ac:dyDescent="0.25">
      <c r="A2311" t="s">
        <v>1127</v>
      </c>
      <c r="B2311" t="s">
        <v>3828</v>
      </c>
      <c r="C2311" t="s">
        <v>3921</v>
      </c>
    </row>
    <row r="2312" spans="1:3" x14ac:dyDescent="0.25">
      <c r="A2312" t="s">
        <v>261</v>
      </c>
      <c r="B2312" t="s">
        <v>3828</v>
      </c>
      <c r="C2312" t="s">
        <v>3922</v>
      </c>
    </row>
    <row r="2313" spans="1:3" x14ac:dyDescent="0.25">
      <c r="A2313" t="s">
        <v>1130</v>
      </c>
      <c r="B2313" t="s">
        <v>3828</v>
      </c>
      <c r="C2313" t="s">
        <v>3923</v>
      </c>
    </row>
    <row r="2314" spans="1:3" x14ac:dyDescent="0.25">
      <c r="A2314" t="s">
        <v>3924</v>
      </c>
      <c r="B2314" t="s">
        <v>3828</v>
      </c>
      <c r="C2314" t="s">
        <v>3925</v>
      </c>
    </row>
    <row r="2315" spans="1:3" x14ac:dyDescent="0.25">
      <c r="A2315" t="s">
        <v>3272</v>
      </c>
      <c r="B2315" t="s">
        <v>3828</v>
      </c>
      <c r="C2315" t="s">
        <v>3926</v>
      </c>
    </row>
    <row r="2316" spans="1:3" x14ac:dyDescent="0.25">
      <c r="A2316" t="s">
        <v>2167</v>
      </c>
      <c r="B2316" t="s">
        <v>3828</v>
      </c>
      <c r="C2316" t="s">
        <v>3927</v>
      </c>
    </row>
    <row r="2317" spans="1:3" x14ac:dyDescent="0.25">
      <c r="A2317" t="s">
        <v>2218</v>
      </c>
      <c r="B2317" t="s">
        <v>3929</v>
      </c>
      <c r="C2317" t="s">
        <v>3930</v>
      </c>
    </row>
    <row r="2318" spans="1:3" x14ac:dyDescent="0.25">
      <c r="A2318" t="s">
        <v>748</v>
      </c>
      <c r="B2318" t="s">
        <v>3929</v>
      </c>
      <c r="C2318" t="s">
        <v>3931</v>
      </c>
    </row>
    <row r="2319" spans="1:3" x14ac:dyDescent="0.25">
      <c r="A2319" t="s">
        <v>3932</v>
      </c>
      <c r="B2319" t="s">
        <v>3929</v>
      </c>
      <c r="C2319" t="s">
        <v>3933</v>
      </c>
    </row>
    <row r="2320" spans="1:3" x14ac:dyDescent="0.25">
      <c r="A2320" t="s">
        <v>3934</v>
      </c>
      <c r="B2320" t="s">
        <v>3929</v>
      </c>
      <c r="C2320" t="s">
        <v>3935</v>
      </c>
    </row>
    <row r="2321" spans="1:3" x14ac:dyDescent="0.25">
      <c r="A2321" t="s">
        <v>261</v>
      </c>
      <c r="B2321" t="s">
        <v>3929</v>
      </c>
      <c r="C2321" t="s">
        <v>3936</v>
      </c>
    </row>
    <row r="2322" spans="1:3" x14ac:dyDescent="0.25">
      <c r="A2322" t="s">
        <v>3938</v>
      </c>
      <c r="B2322" t="s">
        <v>3939</v>
      </c>
      <c r="C2322" t="s">
        <v>3940</v>
      </c>
    </row>
    <row r="2323" spans="1:3" x14ac:dyDescent="0.25">
      <c r="A2323" t="s">
        <v>3941</v>
      </c>
      <c r="B2323" t="s">
        <v>3939</v>
      </c>
      <c r="C2323" t="s">
        <v>3942</v>
      </c>
    </row>
    <row r="2324" spans="1:3" x14ac:dyDescent="0.25">
      <c r="A2324" t="s">
        <v>3943</v>
      </c>
      <c r="B2324" t="s">
        <v>3939</v>
      </c>
      <c r="C2324" t="s">
        <v>3944</v>
      </c>
    </row>
    <row r="2325" spans="1:3" x14ac:dyDescent="0.25">
      <c r="A2325" t="s">
        <v>1679</v>
      </c>
      <c r="B2325" t="s">
        <v>3939</v>
      </c>
      <c r="C2325" t="s">
        <v>3945</v>
      </c>
    </row>
    <row r="2326" spans="1:3" x14ac:dyDescent="0.25">
      <c r="A2326" t="s">
        <v>3946</v>
      </c>
      <c r="B2326" t="s">
        <v>3939</v>
      </c>
      <c r="C2326" t="s">
        <v>3947</v>
      </c>
    </row>
    <row r="2327" spans="1:3" x14ac:dyDescent="0.25">
      <c r="A2327" t="s">
        <v>3948</v>
      </c>
      <c r="B2327" t="s">
        <v>3939</v>
      </c>
      <c r="C2327" t="s">
        <v>3949</v>
      </c>
    </row>
    <row r="2328" spans="1:3" x14ac:dyDescent="0.25">
      <c r="A2328" t="s">
        <v>3289</v>
      </c>
      <c r="B2328" t="s">
        <v>3939</v>
      </c>
      <c r="C2328" t="s">
        <v>3950</v>
      </c>
    </row>
    <row r="2329" spans="1:3" x14ac:dyDescent="0.25">
      <c r="A2329" t="s">
        <v>3951</v>
      </c>
      <c r="B2329" t="s">
        <v>3939</v>
      </c>
      <c r="C2329" t="s">
        <v>3952</v>
      </c>
    </row>
    <row r="2330" spans="1:3" x14ac:dyDescent="0.25">
      <c r="A2330" t="s">
        <v>147</v>
      </c>
      <c r="B2330" t="s">
        <v>3939</v>
      </c>
      <c r="C2330" t="s">
        <v>3953</v>
      </c>
    </row>
    <row r="2331" spans="1:3" x14ac:dyDescent="0.25">
      <c r="A2331" t="s">
        <v>3954</v>
      </c>
      <c r="B2331" t="s">
        <v>3939</v>
      </c>
      <c r="C2331" t="s">
        <v>3955</v>
      </c>
    </row>
    <row r="2332" spans="1:3" x14ac:dyDescent="0.25">
      <c r="A2332" t="s">
        <v>151</v>
      </c>
      <c r="B2332" t="s">
        <v>3939</v>
      </c>
      <c r="C2332" t="s">
        <v>3956</v>
      </c>
    </row>
    <row r="2333" spans="1:3" x14ac:dyDescent="0.25">
      <c r="A2333" t="s">
        <v>3851</v>
      </c>
      <c r="B2333" t="s">
        <v>3939</v>
      </c>
      <c r="C2333" t="s">
        <v>3957</v>
      </c>
    </row>
    <row r="2334" spans="1:3" x14ac:dyDescent="0.25">
      <c r="A2334" t="s">
        <v>3958</v>
      </c>
      <c r="B2334" t="s">
        <v>3939</v>
      </c>
      <c r="C2334" t="s">
        <v>3959</v>
      </c>
    </row>
    <row r="2335" spans="1:3" x14ac:dyDescent="0.25">
      <c r="A2335" t="s">
        <v>3960</v>
      </c>
      <c r="B2335" t="s">
        <v>3939</v>
      </c>
      <c r="C2335" t="s">
        <v>3961</v>
      </c>
    </row>
    <row r="2336" spans="1:3" x14ac:dyDescent="0.25">
      <c r="A2336" t="s">
        <v>3962</v>
      </c>
      <c r="B2336" t="s">
        <v>3939</v>
      </c>
      <c r="C2336" t="s">
        <v>3963</v>
      </c>
    </row>
    <row r="2337" spans="1:3" x14ac:dyDescent="0.25">
      <c r="A2337" t="s">
        <v>3964</v>
      </c>
      <c r="B2337" t="s">
        <v>3939</v>
      </c>
      <c r="C2337" t="s">
        <v>3965</v>
      </c>
    </row>
    <row r="2338" spans="1:3" x14ac:dyDescent="0.25">
      <c r="A2338" t="s">
        <v>3966</v>
      </c>
      <c r="B2338" t="s">
        <v>3939</v>
      </c>
      <c r="C2338" t="s">
        <v>3967</v>
      </c>
    </row>
    <row r="2339" spans="1:3" x14ac:dyDescent="0.25">
      <c r="A2339" t="s">
        <v>2186</v>
      </c>
      <c r="B2339" t="s">
        <v>3939</v>
      </c>
      <c r="C2339" t="s">
        <v>3968</v>
      </c>
    </row>
    <row r="2340" spans="1:3" x14ac:dyDescent="0.25">
      <c r="A2340" t="s">
        <v>3969</v>
      </c>
      <c r="B2340" t="s">
        <v>3939</v>
      </c>
      <c r="C2340" t="s">
        <v>3970</v>
      </c>
    </row>
    <row r="2341" spans="1:3" x14ac:dyDescent="0.25">
      <c r="A2341" t="s">
        <v>730</v>
      </c>
      <c r="B2341" t="s">
        <v>3939</v>
      </c>
      <c r="C2341" t="s">
        <v>3971</v>
      </c>
    </row>
    <row r="2342" spans="1:3" x14ac:dyDescent="0.25">
      <c r="A2342" t="s">
        <v>3972</v>
      </c>
      <c r="B2342" t="s">
        <v>3939</v>
      </c>
      <c r="C2342" t="s">
        <v>3973</v>
      </c>
    </row>
    <row r="2343" spans="1:3" x14ac:dyDescent="0.25">
      <c r="A2343" t="s">
        <v>3974</v>
      </c>
      <c r="B2343" t="s">
        <v>3939</v>
      </c>
      <c r="C2343" t="s">
        <v>3975</v>
      </c>
    </row>
    <row r="2344" spans="1:3" x14ac:dyDescent="0.25">
      <c r="A2344" t="s">
        <v>3976</v>
      </c>
      <c r="B2344" t="s">
        <v>3939</v>
      </c>
      <c r="C2344" t="s">
        <v>3977</v>
      </c>
    </row>
    <row r="2345" spans="1:3" x14ac:dyDescent="0.25">
      <c r="A2345" t="s">
        <v>1734</v>
      </c>
      <c r="B2345" t="s">
        <v>3939</v>
      </c>
      <c r="C2345" t="s">
        <v>3978</v>
      </c>
    </row>
    <row r="2346" spans="1:3" x14ac:dyDescent="0.25">
      <c r="A2346" t="s">
        <v>3979</v>
      </c>
      <c r="B2346" t="s">
        <v>3939</v>
      </c>
      <c r="C2346" t="s">
        <v>3980</v>
      </c>
    </row>
    <row r="2347" spans="1:3" x14ac:dyDescent="0.25">
      <c r="A2347" t="s">
        <v>3981</v>
      </c>
      <c r="B2347" t="s">
        <v>3939</v>
      </c>
      <c r="C2347" t="s">
        <v>3982</v>
      </c>
    </row>
    <row r="2348" spans="1:3" x14ac:dyDescent="0.25">
      <c r="A2348" t="s">
        <v>1014</v>
      </c>
      <c r="B2348" t="s">
        <v>3939</v>
      </c>
      <c r="C2348" t="s">
        <v>3983</v>
      </c>
    </row>
    <row r="2349" spans="1:3" x14ac:dyDescent="0.25">
      <c r="A2349" t="s">
        <v>3984</v>
      </c>
      <c r="B2349" t="s">
        <v>3939</v>
      </c>
      <c r="C2349" t="s">
        <v>3985</v>
      </c>
    </row>
    <row r="2350" spans="1:3" x14ac:dyDescent="0.25">
      <c r="A2350" t="s">
        <v>2986</v>
      </c>
      <c r="B2350" t="s">
        <v>3939</v>
      </c>
      <c r="C2350" t="s">
        <v>3986</v>
      </c>
    </row>
    <row r="2351" spans="1:3" x14ac:dyDescent="0.25">
      <c r="A2351" t="s">
        <v>1027</v>
      </c>
      <c r="B2351" t="s">
        <v>3939</v>
      </c>
      <c r="C2351" t="s">
        <v>3987</v>
      </c>
    </row>
    <row r="2352" spans="1:3" x14ac:dyDescent="0.25">
      <c r="A2352" t="s">
        <v>213</v>
      </c>
      <c r="B2352" t="s">
        <v>3939</v>
      </c>
      <c r="C2352" t="s">
        <v>3988</v>
      </c>
    </row>
    <row r="2353" spans="1:3" x14ac:dyDescent="0.25">
      <c r="A2353" t="s">
        <v>3989</v>
      </c>
      <c r="B2353" t="s">
        <v>3939</v>
      </c>
      <c r="C2353" t="s">
        <v>3990</v>
      </c>
    </row>
    <row r="2354" spans="1:3" x14ac:dyDescent="0.25">
      <c r="A2354" t="s">
        <v>3991</v>
      </c>
      <c r="B2354" t="s">
        <v>3939</v>
      </c>
      <c r="C2354" t="s">
        <v>3992</v>
      </c>
    </row>
    <row r="2355" spans="1:3" x14ac:dyDescent="0.25">
      <c r="A2355" t="s">
        <v>225</v>
      </c>
      <c r="B2355" t="s">
        <v>3939</v>
      </c>
      <c r="C2355" t="s">
        <v>3993</v>
      </c>
    </row>
    <row r="2356" spans="1:3" x14ac:dyDescent="0.25">
      <c r="A2356" t="s">
        <v>3994</v>
      </c>
      <c r="B2356" t="s">
        <v>3939</v>
      </c>
      <c r="C2356" t="s">
        <v>3995</v>
      </c>
    </row>
    <row r="2357" spans="1:3" x14ac:dyDescent="0.25">
      <c r="A2357" t="s">
        <v>3996</v>
      </c>
      <c r="B2357" t="s">
        <v>3939</v>
      </c>
      <c r="C2357" t="s">
        <v>3997</v>
      </c>
    </row>
    <row r="2358" spans="1:3" x14ac:dyDescent="0.25">
      <c r="A2358" t="s">
        <v>1057</v>
      </c>
      <c r="B2358" t="s">
        <v>3939</v>
      </c>
      <c r="C2358" t="s">
        <v>3998</v>
      </c>
    </row>
    <row r="2359" spans="1:3" x14ac:dyDescent="0.25">
      <c r="A2359" t="s">
        <v>3999</v>
      </c>
      <c r="B2359" t="s">
        <v>3939</v>
      </c>
      <c r="C2359" t="s">
        <v>4000</v>
      </c>
    </row>
    <row r="2360" spans="1:3" x14ac:dyDescent="0.25">
      <c r="A2360" t="s">
        <v>239</v>
      </c>
      <c r="B2360" t="s">
        <v>3939</v>
      </c>
      <c r="C2360" t="s">
        <v>4001</v>
      </c>
    </row>
    <row r="2361" spans="1:3" x14ac:dyDescent="0.25">
      <c r="A2361" t="s">
        <v>1358</v>
      </c>
      <c r="B2361" t="s">
        <v>3939</v>
      </c>
      <c r="C2361" t="s">
        <v>4002</v>
      </c>
    </row>
    <row r="2362" spans="1:3" x14ac:dyDescent="0.25">
      <c r="A2362" t="s">
        <v>4003</v>
      </c>
      <c r="B2362" t="s">
        <v>3939</v>
      </c>
      <c r="C2362" t="s">
        <v>4004</v>
      </c>
    </row>
    <row r="2363" spans="1:3" x14ac:dyDescent="0.25">
      <c r="A2363" t="s">
        <v>4005</v>
      </c>
      <c r="B2363" t="s">
        <v>3939</v>
      </c>
      <c r="C2363" t="s">
        <v>4006</v>
      </c>
    </row>
    <row r="2364" spans="1:3" x14ac:dyDescent="0.25">
      <c r="A2364" t="s">
        <v>251</v>
      </c>
      <c r="B2364" t="s">
        <v>3939</v>
      </c>
      <c r="C2364" t="s">
        <v>4007</v>
      </c>
    </row>
    <row r="2365" spans="1:3" x14ac:dyDescent="0.25">
      <c r="A2365" t="s">
        <v>481</v>
      </c>
      <c r="B2365" t="s">
        <v>3939</v>
      </c>
      <c r="C2365" t="s">
        <v>4008</v>
      </c>
    </row>
    <row r="2366" spans="1:3" x14ac:dyDescent="0.25">
      <c r="A2366" t="s">
        <v>4009</v>
      </c>
      <c r="B2366" t="s">
        <v>3939</v>
      </c>
      <c r="C2366" t="s">
        <v>4010</v>
      </c>
    </row>
    <row r="2367" spans="1:3" x14ac:dyDescent="0.25">
      <c r="A2367" t="s">
        <v>2167</v>
      </c>
      <c r="B2367" t="s">
        <v>3939</v>
      </c>
      <c r="C2367" t="s">
        <v>4011</v>
      </c>
    </row>
    <row r="2368" spans="1:3" x14ac:dyDescent="0.25">
      <c r="A2368" t="s">
        <v>4013</v>
      </c>
      <c r="B2368" t="s">
        <v>4014</v>
      </c>
      <c r="C2368" t="s">
        <v>4015</v>
      </c>
    </row>
    <row r="2369" spans="1:3" x14ac:dyDescent="0.25">
      <c r="A2369" t="s">
        <v>4016</v>
      </c>
      <c r="B2369" t="s">
        <v>4014</v>
      </c>
      <c r="C2369" t="s">
        <v>4017</v>
      </c>
    </row>
    <row r="2370" spans="1:3" x14ac:dyDescent="0.25">
      <c r="A2370" t="s">
        <v>4018</v>
      </c>
      <c r="B2370" t="s">
        <v>4014</v>
      </c>
      <c r="C2370" t="s">
        <v>4019</v>
      </c>
    </row>
    <row r="2371" spans="1:3" x14ac:dyDescent="0.25">
      <c r="A2371" t="s">
        <v>4020</v>
      </c>
      <c r="B2371" t="s">
        <v>4014</v>
      </c>
      <c r="C2371" t="s">
        <v>4021</v>
      </c>
    </row>
    <row r="2372" spans="1:3" x14ac:dyDescent="0.25">
      <c r="A2372" t="s">
        <v>4022</v>
      </c>
      <c r="B2372" t="s">
        <v>4014</v>
      </c>
      <c r="C2372" t="s">
        <v>4023</v>
      </c>
    </row>
    <row r="2373" spans="1:3" x14ac:dyDescent="0.25">
      <c r="A2373" t="s">
        <v>1245</v>
      </c>
      <c r="B2373" t="s">
        <v>4014</v>
      </c>
      <c r="C2373" t="s">
        <v>4024</v>
      </c>
    </row>
    <row r="2374" spans="1:3" x14ac:dyDescent="0.25">
      <c r="A2374" t="s">
        <v>4025</v>
      </c>
      <c r="B2374" t="s">
        <v>4014</v>
      </c>
      <c r="C2374" t="s">
        <v>4026</v>
      </c>
    </row>
    <row r="2375" spans="1:3" x14ac:dyDescent="0.25">
      <c r="A2375" t="s">
        <v>2920</v>
      </c>
      <c r="B2375" t="s">
        <v>4014</v>
      </c>
      <c r="C2375" t="s">
        <v>4027</v>
      </c>
    </row>
    <row r="2376" spans="1:3" x14ac:dyDescent="0.25">
      <c r="A2376" t="s">
        <v>500</v>
      </c>
      <c r="B2376" t="s">
        <v>4014</v>
      </c>
      <c r="C2376" t="s">
        <v>4028</v>
      </c>
    </row>
    <row r="2377" spans="1:3" x14ac:dyDescent="0.25">
      <c r="A2377" t="s">
        <v>1882</v>
      </c>
      <c r="B2377" t="s">
        <v>4014</v>
      </c>
      <c r="C2377" t="s">
        <v>4029</v>
      </c>
    </row>
    <row r="2378" spans="1:3" x14ac:dyDescent="0.25">
      <c r="A2378" t="s">
        <v>4030</v>
      </c>
      <c r="B2378" t="s">
        <v>4014</v>
      </c>
      <c r="C2378" t="s">
        <v>4031</v>
      </c>
    </row>
    <row r="2379" spans="1:3" x14ac:dyDescent="0.25">
      <c r="A2379" t="s">
        <v>377</v>
      </c>
      <c r="B2379" t="s">
        <v>4014</v>
      </c>
      <c r="C2379" t="s">
        <v>4032</v>
      </c>
    </row>
    <row r="2380" spans="1:3" x14ac:dyDescent="0.25">
      <c r="A2380" t="s">
        <v>159</v>
      </c>
      <c r="B2380" t="s">
        <v>4014</v>
      </c>
      <c r="C2380" t="s">
        <v>4033</v>
      </c>
    </row>
    <row r="2381" spans="1:3" x14ac:dyDescent="0.25">
      <c r="A2381" t="s">
        <v>4034</v>
      </c>
      <c r="B2381" t="s">
        <v>4014</v>
      </c>
      <c r="C2381" t="s">
        <v>4035</v>
      </c>
    </row>
    <row r="2382" spans="1:3" x14ac:dyDescent="0.25">
      <c r="A2382" t="s">
        <v>4036</v>
      </c>
      <c r="B2382" t="s">
        <v>4014</v>
      </c>
      <c r="C2382" t="s">
        <v>4037</v>
      </c>
    </row>
    <row r="2383" spans="1:3" x14ac:dyDescent="0.25">
      <c r="A2383" t="s">
        <v>638</v>
      </c>
      <c r="B2383" t="s">
        <v>4014</v>
      </c>
      <c r="C2383" t="s">
        <v>4038</v>
      </c>
    </row>
    <row r="2384" spans="1:3" x14ac:dyDescent="0.25">
      <c r="A2384" t="s">
        <v>4039</v>
      </c>
      <c r="B2384" t="s">
        <v>4014</v>
      </c>
      <c r="C2384" t="s">
        <v>4040</v>
      </c>
    </row>
    <row r="2385" spans="1:3" x14ac:dyDescent="0.25">
      <c r="A2385" t="s">
        <v>4041</v>
      </c>
      <c r="B2385" t="s">
        <v>4014</v>
      </c>
      <c r="C2385" t="s">
        <v>4042</v>
      </c>
    </row>
    <row r="2386" spans="1:3" x14ac:dyDescent="0.25">
      <c r="A2386" t="s">
        <v>2941</v>
      </c>
      <c r="B2386" t="s">
        <v>4014</v>
      </c>
      <c r="C2386" t="s">
        <v>4043</v>
      </c>
    </row>
    <row r="2387" spans="1:3" x14ac:dyDescent="0.25">
      <c r="A2387" t="s">
        <v>3686</v>
      </c>
      <c r="B2387" t="s">
        <v>4014</v>
      </c>
      <c r="C2387" t="s">
        <v>4044</v>
      </c>
    </row>
    <row r="2388" spans="1:3" x14ac:dyDescent="0.25">
      <c r="A2388" t="s">
        <v>646</v>
      </c>
      <c r="B2388" t="s">
        <v>4014</v>
      </c>
      <c r="C2388" t="s">
        <v>4045</v>
      </c>
    </row>
    <row r="2389" spans="1:3" x14ac:dyDescent="0.25">
      <c r="A2389" t="s">
        <v>4046</v>
      </c>
      <c r="B2389" t="s">
        <v>4014</v>
      </c>
      <c r="C2389" t="s">
        <v>4047</v>
      </c>
    </row>
    <row r="2390" spans="1:3" x14ac:dyDescent="0.25">
      <c r="A2390" t="s">
        <v>4048</v>
      </c>
      <c r="B2390" t="s">
        <v>4014</v>
      </c>
      <c r="C2390" t="s">
        <v>4049</v>
      </c>
    </row>
    <row r="2391" spans="1:3" x14ac:dyDescent="0.25">
      <c r="A2391" t="s">
        <v>4050</v>
      </c>
      <c r="B2391" t="s">
        <v>4014</v>
      </c>
      <c r="C2391" t="s">
        <v>4051</v>
      </c>
    </row>
    <row r="2392" spans="1:3" x14ac:dyDescent="0.25">
      <c r="A2392" t="s">
        <v>407</v>
      </c>
      <c r="B2392" t="s">
        <v>4014</v>
      </c>
      <c r="C2392" t="s">
        <v>4052</v>
      </c>
    </row>
    <row r="2393" spans="1:3" x14ac:dyDescent="0.25">
      <c r="A2393" t="s">
        <v>4053</v>
      </c>
      <c r="B2393" t="s">
        <v>4014</v>
      </c>
      <c r="C2393" t="s">
        <v>4054</v>
      </c>
    </row>
    <row r="2394" spans="1:3" x14ac:dyDescent="0.25">
      <c r="A2394" t="s">
        <v>4055</v>
      </c>
      <c r="B2394" t="s">
        <v>4014</v>
      </c>
      <c r="C2394" t="s">
        <v>4056</v>
      </c>
    </row>
    <row r="2395" spans="1:3" x14ac:dyDescent="0.25">
      <c r="A2395" t="s">
        <v>4057</v>
      </c>
      <c r="B2395" t="s">
        <v>4014</v>
      </c>
      <c r="C2395" t="s">
        <v>4058</v>
      </c>
    </row>
    <row r="2396" spans="1:3" x14ac:dyDescent="0.25">
      <c r="A2396" t="s">
        <v>4059</v>
      </c>
      <c r="B2396" t="s">
        <v>4014</v>
      </c>
      <c r="C2396" t="s">
        <v>4060</v>
      </c>
    </row>
    <row r="2397" spans="1:3" x14ac:dyDescent="0.25">
      <c r="A2397" t="s">
        <v>4061</v>
      </c>
      <c r="B2397" t="s">
        <v>4014</v>
      </c>
      <c r="C2397" t="s">
        <v>4062</v>
      </c>
    </row>
    <row r="2398" spans="1:3" x14ac:dyDescent="0.25">
      <c r="A2398" t="s">
        <v>3145</v>
      </c>
      <c r="B2398" t="s">
        <v>4014</v>
      </c>
      <c r="C2398" t="s">
        <v>4063</v>
      </c>
    </row>
    <row r="2399" spans="1:3" x14ac:dyDescent="0.25">
      <c r="A2399" t="s">
        <v>3700</v>
      </c>
      <c r="B2399" t="s">
        <v>4014</v>
      </c>
      <c r="C2399" t="s">
        <v>4064</v>
      </c>
    </row>
    <row r="2400" spans="1:3" x14ac:dyDescent="0.25">
      <c r="A2400" t="s">
        <v>4065</v>
      </c>
      <c r="B2400" t="s">
        <v>4014</v>
      </c>
      <c r="C2400" t="s">
        <v>4066</v>
      </c>
    </row>
    <row r="2401" spans="1:3" x14ac:dyDescent="0.25">
      <c r="A2401" t="s">
        <v>3358</v>
      </c>
      <c r="B2401" t="s">
        <v>4014</v>
      </c>
      <c r="C2401" t="s">
        <v>4067</v>
      </c>
    </row>
    <row r="2402" spans="1:3" x14ac:dyDescent="0.25">
      <c r="A2402" t="s">
        <v>203</v>
      </c>
      <c r="B2402" t="s">
        <v>4014</v>
      </c>
      <c r="C2402" t="s">
        <v>4068</v>
      </c>
    </row>
    <row r="2403" spans="1:3" x14ac:dyDescent="0.25">
      <c r="A2403" t="s">
        <v>4069</v>
      </c>
      <c r="B2403" t="s">
        <v>4014</v>
      </c>
      <c r="C2403" t="s">
        <v>4070</v>
      </c>
    </row>
    <row r="2404" spans="1:3" x14ac:dyDescent="0.25">
      <c r="A2404" t="s">
        <v>1022</v>
      </c>
      <c r="B2404" t="s">
        <v>4014</v>
      </c>
      <c r="C2404" t="s">
        <v>4071</v>
      </c>
    </row>
    <row r="2405" spans="1:3" x14ac:dyDescent="0.25">
      <c r="A2405" t="s">
        <v>4072</v>
      </c>
      <c r="B2405" t="s">
        <v>4014</v>
      </c>
      <c r="C2405" t="s">
        <v>4073</v>
      </c>
    </row>
    <row r="2406" spans="1:3" x14ac:dyDescent="0.25">
      <c r="A2406" t="s">
        <v>526</v>
      </c>
      <c r="B2406" t="s">
        <v>4014</v>
      </c>
      <c r="C2406" t="s">
        <v>4074</v>
      </c>
    </row>
    <row r="2407" spans="1:3" x14ac:dyDescent="0.25">
      <c r="A2407" t="s">
        <v>211</v>
      </c>
      <c r="B2407" t="s">
        <v>4014</v>
      </c>
      <c r="C2407" t="s">
        <v>4075</v>
      </c>
    </row>
    <row r="2408" spans="1:3" x14ac:dyDescent="0.25">
      <c r="A2408" t="s">
        <v>428</v>
      </c>
      <c r="B2408" t="s">
        <v>4014</v>
      </c>
      <c r="C2408" t="s">
        <v>4076</v>
      </c>
    </row>
    <row r="2409" spans="1:3" x14ac:dyDescent="0.25">
      <c r="A2409" t="s">
        <v>4077</v>
      </c>
      <c r="B2409" t="s">
        <v>4014</v>
      </c>
      <c r="C2409" t="s">
        <v>4078</v>
      </c>
    </row>
    <row r="2410" spans="1:3" x14ac:dyDescent="0.25">
      <c r="A2410" t="s">
        <v>4079</v>
      </c>
      <c r="B2410" t="s">
        <v>4014</v>
      </c>
      <c r="C2410" t="s">
        <v>4080</v>
      </c>
    </row>
    <row r="2411" spans="1:3" x14ac:dyDescent="0.25">
      <c r="A2411" t="s">
        <v>1765</v>
      </c>
      <c r="B2411" t="s">
        <v>4014</v>
      </c>
      <c r="C2411" t="s">
        <v>4081</v>
      </c>
    </row>
    <row r="2412" spans="1:3" x14ac:dyDescent="0.25">
      <c r="A2412" t="s">
        <v>227</v>
      </c>
      <c r="B2412" t="s">
        <v>4014</v>
      </c>
      <c r="C2412" t="s">
        <v>4082</v>
      </c>
    </row>
    <row r="2413" spans="1:3" x14ac:dyDescent="0.25">
      <c r="A2413" t="s">
        <v>1769</v>
      </c>
      <c r="B2413" t="s">
        <v>4014</v>
      </c>
      <c r="C2413" t="s">
        <v>4083</v>
      </c>
    </row>
    <row r="2414" spans="1:3" x14ac:dyDescent="0.25">
      <c r="A2414" t="s">
        <v>4084</v>
      </c>
      <c r="B2414" t="s">
        <v>4014</v>
      </c>
      <c r="C2414" t="s">
        <v>4085</v>
      </c>
    </row>
    <row r="2415" spans="1:3" x14ac:dyDescent="0.25">
      <c r="A2415" t="s">
        <v>4086</v>
      </c>
      <c r="B2415" t="s">
        <v>4014</v>
      </c>
      <c r="C2415" t="s">
        <v>4087</v>
      </c>
    </row>
    <row r="2416" spans="1:3" x14ac:dyDescent="0.25">
      <c r="A2416" t="s">
        <v>4088</v>
      </c>
      <c r="B2416" t="s">
        <v>4014</v>
      </c>
      <c r="C2416" t="s">
        <v>4089</v>
      </c>
    </row>
    <row r="2417" spans="1:3" x14ac:dyDescent="0.25">
      <c r="A2417" t="s">
        <v>4090</v>
      </c>
      <c r="B2417" t="s">
        <v>4014</v>
      </c>
      <c r="C2417" t="s">
        <v>4091</v>
      </c>
    </row>
    <row r="2418" spans="1:3" x14ac:dyDescent="0.25">
      <c r="A2418" t="s">
        <v>2481</v>
      </c>
      <c r="B2418" t="s">
        <v>4014</v>
      </c>
      <c r="C2418" t="s">
        <v>4092</v>
      </c>
    </row>
    <row r="2419" spans="1:3" x14ac:dyDescent="0.25">
      <c r="A2419" t="s">
        <v>3006</v>
      </c>
      <c r="B2419" t="s">
        <v>4014</v>
      </c>
      <c r="C2419" t="s">
        <v>4093</v>
      </c>
    </row>
    <row r="2420" spans="1:3" x14ac:dyDescent="0.25">
      <c r="A2420" t="s">
        <v>3907</v>
      </c>
      <c r="B2420" t="s">
        <v>4014</v>
      </c>
      <c r="C2420" t="s">
        <v>4094</v>
      </c>
    </row>
    <row r="2421" spans="1:3" x14ac:dyDescent="0.25">
      <c r="A2421" t="s">
        <v>4095</v>
      </c>
      <c r="B2421" t="s">
        <v>4014</v>
      </c>
      <c r="C2421" t="s">
        <v>4096</v>
      </c>
    </row>
    <row r="2422" spans="1:3" x14ac:dyDescent="0.25">
      <c r="A2422" t="s">
        <v>4097</v>
      </c>
      <c r="B2422" t="s">
        <v>4014</v>
      </c>
      <c r="C2422" t="s">
        <v>4098</v>
      </c>
    </row>
    <row r="2423" spans="1:3" x14ac:dyDescent="0.25">
      <c r="A2423" t="s">
        <v>2789</v>
      </c>
      <c r="B2423" t="s">
        <v>4014</v>
      </c>
      <c r="C2423" t="s">
        <v>4099</v>
      </c>
    </row>
    <row r="2424" spans="1:3" x14ac:dyDescent="0.25">
      <c r="A2424" t="s">
        <v>4100</v>
      </c>
      <c r="B2424" t="s">
        <v>4014</v>
      </c>
      <c r="C2424" t="s">
        <v>4101</v>
      </c>
    </row>
    <row r="2425" spans="1:3" x14ac:dyDescent="0.25">
      <c r="A2425" t="s">
        <v>4102</v>
      </c>
      <c r="B2425" t="s">
        <v>4014</v>
      </c>
      <c r="C2425" t="s">
        <v>4103</v>
      </c>
    </row>
    <row r="2426" spans="1:3" x14ac:dyDescent="0.25">
      <c r="A2426" t="s">
        <v>4104</v>
      </c>
      <c r="B2426" t="s">
        <v>4014</v>
      </c>
      <c r="C2426" t="s">
        <v>4105</v>
      </c>
    </row>
    <row r="2427" spans="1:3" x14ac:dyDescent="0.25">
      <c r="A2427" t="s">
        <v>2012</v>
      </c>
      <c r="B2427" t="s">
        <v>4014</v>
      </c>
      <c r="C2427" t="s">
        <v>4106</v>
      </c>
    </row>
    <row r="2428" spans="1:3" x14ac:dyDescent="0.25">
      <c r="A2428" t="s">
        <v>4107</v>
      </c>
      <c r="B2428" t="s">
        <v>4014</v>
      </c>
      <c r="C2428" t="s">
        <v>4108</v>
      </c>
    </row>
    <row r="2429" spans="1:3" x14ac:dyDescent="0.25">
      <c r="A2429" t="s">
        <v>1116</v>
      </c>
      <c r="B2429" t="s">
        <v>4014</v>
      </c>
      <c r="C2429" t="s">
        <v>4109</v>
      </c>
    </row>
    <row r="2430" spans="1:3" x14ac:dyDescent="0.25">
      <c r="A2430" t="s">
        <v>481</v>
      </c>
      <c r="B2430" t="s">
        <v>4014</v>
      </c>
      <c r="C2430" t="s">
        <v>4110</v>
      </c>
    </row>
    <row r="2431" spans="1:3" x14ac:dyDescent="0.25">
      <c r="A2431" t="s">
        <v>4111</v>
      </c>
      <c r="B2431" t="s">
        <v>4014</v>
      </c>
      <c r="C2431" t="s">
        <v>4112</v>
      </c>
    </row>
    <row r="2432" spans="1:3" x14ac:dyDescent="0.25">
      <c r="A2432" t="s">
        <v>4113</v>
      </c>
      <c r="B2432" t="s">
        <v>4014</v>
      </c>
      <c r="C2432" t="s">
        <v>4114</v>
      </c>
    </row>
    <row r="2433" spans="1:3" x14ac:dyDescent="0.25">
      <c r="A2433" t="s">
        <v>4115</v>
      </c>
      <c r="B2433" t="s">
        <v>4014</v>
      </c>
      <c r="C2433" t="s">
        <v>4116</v>
      </c>
    </row>
    <row r="2434" spans="1:3" x14ac:dyDescent="0.25">
      <c r="A2434" t="s">
        <v>1679</v>
      </c>
      <c r="B2434" t="s">
        <v>4118</v>
      </c>
      <c r="C2434" t="s">
        <v>4119</v>
      </c>
    </row>
    <row r="2435" spans="1:3" x14ac:dyDescent="0.25">
      <c r="A2435" t="s">
        <v>3835</v>
      </c>
      <c r="B2435" t="s">
        <v>4118</v>
      </c>
      <c r="C2435" t="s">
        <v>4120</v>
      </c>
    </row>
    <row r="2436" spans="1:3" x14ac:dyDescent="0.25">
      <c r="A2436" t="s">
        <v>366</v>
      </c>
      <c r="B2436" t="s">
        <v>4118</v>
      </c>
      <c r="C2436" t="s">
        <v>4121</v>
      </c>
    </row>
    <row r="2437" spans="1:3" x14ac:dyDescent="0.25">
      <c r="A2437" t="s">
        <v>4122</v>
      </c>
      <c r="B2437" t="s">
        <v>4118</v>
      </c>
      <c r="C2437" t="s">
        <v>4123</v>
      </c>
    </row>
    <row r="2438" spans="1:3" x14ac:dyDescent="0.25">
      <c r="A2438" t="s">
        <v>141</v>
      </c>
      <c r="B2438" t="s">
        <v>4118</v>
      </c>
      <c r="C2438" t="s">
        <v>4124</v>
      </c>
    </row>
    <row r="2439" spans="1:3" x14ac:dyDescent="0.25">
      <c r="A2439" t="s">
        <v>370</v>
      </c>
      <c r="B2439" t="s">
        <v>4118</v>
      </c>
      <c r="C2439" t="s">
        <v>4125</v>
      </c>
    </row>
    <row r="2440" spans="1:3" x14ac:dyDescent="0.25">
      <c r="A2440" t="s">
        <v>1882</v>
      </c>
      <c r="B2440" t="s">
        <v>4118</v>
      </c>
      <c r="C2440" t="s">
        <v>4126</v>
      </c>
    </row>
    <row r="2441" spans="1:3" x14ac:dyDescent="0.25">
      <c r="A2441" t="s">
        <v>4127</v>
      </c>
      <c r="B2441" t="s">
        <v>4118</v>
      </c>
      <c r="C2441" t="s">
        <v>4128</v>
      </c>
    </row>
    <row r="2442" spans="1:3" x14ac:dyDescent="0.25">
      <c r="A2442" t="s">
        <v>373</v>
      </c>
      <c r="B2442" t="s">
        <v>4118</v>
      </c>
      <c r="C2442" t="s">
        <v>4129</v>
      </c>
    </row>
    <row r="2443" spans="1:3" x14ac:dyDescent="0.25">
      <c r="A2443" t="s">
        <v>1887</v>
      </c>
      <c r="B2443" t="s">
        <v>4118</v>
      </c>
      <c r="C2443" t="s">
        <v>4130</v>
      </c>
    </row>
    <row r="2444" spans="1:3" x14ac:dyDescent="0.25">
      <c r="A2444" t="s">
        <v>4131</v>
      </c>
      <c r="B2444" t="s">
        <v>4118</v>
      </c>
      <c r="C2444" t="s">
        <v>4132</v>
      </c>
    </row>
    <row r="2445" spans="1:3" x14ac:dyDescent="0.25">
      <c r="A2445" t="s">
        <v>3851</v>
      </c>
      <c r="B2445" t="s">
        <v>4118</v>
      </c>
      <c r="C2445" t="s">
        <v>4133</v>
      </c>
    </row>
    <row r="2446" spans="1:3" x14ac:dyDescent="0.25">
      <c r="A2446" t="s">
        <v>2053</v>
      </c>
      <c r="B2446" t="s">
        <v>4118</v>
      </c>
      <c r="C2446" t="s">
        <v>4134</v>
      </c>
    </row>
    <row r="2447" spans="1:3" x14ac:dyDescent="0.25">
      <c r="A2447" t="s">
        <v>159</v>
      </c>
      <c r="B2447" t="s">
        <v>4118</v>
      </c>
      <c r="C2447" t="s">
        <v>4135</v>
      </c>
    </row>
    <row r="2448" spans="1:3" x14ac:dyDescent="0.25">
      <c r="A2448" t="s">
        <v>4136</v>
      </c>
      <c r="B2448" t="s">
        <v>4118</v>
      </c>
      <c r="C2448" t="s">
        <v>4137</v>
      </c>
    </row>
    <row r="2449" spans="1:3" x14ac:dyDescent="0.25">
      <c r="A2449" t="s">
        <v>163</v>
      </c>
      <c r="B2449" t="s">
        <v>4118</v>
      </c>
      <c r="C2449" t="s">
        <v>4138</v>
      </c>
    </row>
    <row r="2450" spans="1:3" x14ac:dyDescent="0.25">
      <c r="A2450" t="s">
        <v>4139</v>
      </c>
      <c r="B2450" t="s">
        <v>4118</v>
      </c>
      <c r="C2450" t="s">
        <v>4140</v>
      </c>
    </row>
    <row r="2451" spans="1:3" x14ac:dyDescent="0.25">
      <c r="A2451" t="s">
        <v>1265</v>
      </c>
      <c r="B2451" t="s">
        <v>4118</v>
      </c>
      <c r="C2451" t="s">
        <v>4141</v>
      </c>
    </row>
    <row r="2452" spans="1:3" x14ac:dyDescent="0.25">
      <c r="A2452" t="s">
        <v>3325</v>
      </c>
      <c r="B2452" t="s">
        <v>4118</v>
      </c>
      <c r="C2452" t="s">
        <v>4142</v>
      </c>
    </row>
    <row r="2453" spans="1:3" x14ac:dyDescent="0.25">
      <c r="A2453" t="s">
        <v>952</v>
      </c>
      <c r="B2453" t="s">
        <v>4118</v>
      </c>
      <c r="C2453" t="s">
        <v>4143</v>
      </c>
    </row>
    <row r="2454" spans="1:3" x14ac:dyDescent="0.25">
      <c r="A2454" t="s">
        <v>181</v>
      </c>
      <c r="B2454" t="s">
        <v>4118</v>
      </c>
      <c r="C2454" t="s">
        <v>4144</v>
      </c>
    </row>
    <row r="2455" spans="1:3" x14ac:dyDescent="0.25">
      <c r="A2455" t="s">
        <v>4145</v>
      </c>
      <c r="B2455" t="s">
        <v>4118</v>
      </c>
      <c r="C2455" t="s">
        <v>4146</v>
      </c>
    </row>
    <row r="2456" spans="1:3" x14ac:dyDescent="0.25">
      <c r="A2456" t="s">
        <v>4147</v>
      </c>
      <c r="B2456" t="s">
        <v>4118</v>
      </c>
      <c r="C2456" t="s">
        <v>4148</v>
      </c>
    </row>
    <row r="2457" spans="1:3" x14ac:dyDescent="0.25">
      <c r="A2457" t="s">
        <v>189</v>
      </c>
      <c r="B2457" t="s">
        <v>4118</v>
      </c>
      <c r="C2457" t="s">
        <v>4149</v>
      </c>
    </row>
    <row r="2458" spans="1:3" x14ac:dyDescent="0.25">
      <c r="A2458" t="s">
        <v>4150</v>
      </c>
      <c r="B2458" t="s">
        <v>4118</v>
      </c>
      <c r="C2458" t="s">
        <v>4151</v>
      </c>
    </row>
    <row r="2459" spans="1:3" x14ac:dyDescent="0.25">
      <c r="A2459" t="s">
        <v>191</v>
      </c>
      <c r="B2459" t="s">
        <v>4118</v>
      </c>
      <c r="C2459" t="s">
        <v>4152</v>
      </c>
    </row>
    <row r="2460" spans="1:3" x14ac:dyDescent="0.25">
      <c r="A2460" t="s">
        <v>1431</v>
      </c>
      <c r="B2460" t="s">
        <v>4118</v>
      </c>
      <c r="C2460" t="s">
        <v>4153</v>
      </c>
    </row>
    <row r="2461" spans="1:3" x14ac:dyDescent="0.25">
      <c r="A2461" t="s">
        <v>4154</v>
      </c>
      <c r="B2461" t="s">
        <v>4118</v>
      </c>
      <c r="C2461" t="s">
        <v>4155</v>
      </c>
    </row>
    <row r="2462" spans="1:3" x14ac:dyDescent="0.25">
      <c r="A2462" t="s">
        <v>4156</v>
      </c>
      <c r="B2462" t="s">
        <v>4118</v>
      </c>
      <c r="C2462" t="s">
        <v>4157</v>
      </c>
    </row>
    <row r="2463" spans="1:3" x14ac:dyDescent="0.25">
      <c r="A2463" t="s">
        <v>195</v>
      </c>
      <c r="B2463" t="s">
        <v>4118</v>
      </c>
      <c r="C2463" t="s">
        <v>4158</v>
      </c>
    </row>
    <row r="2464" spans="1:3" x14ac:dyDescent="0.25">
      <c r="A2464" t="s">
        <v>1286</v>
      </c>
      <c r="B2464" t="s">
        <v>4118</v>
      </c>
      <c r="C2464" t="s">
        <v>4159</v>
      </c>
    </row>
    <row r="2465" spans="1:3" x14ac:dyDescent="0.25">
      <c r="A2465" t="s">
        <v>4160</v>
      </c>
      <c r="B2465" t="s">
        <v>4118</v>
      </c>
      <c r="C2465" t="s">
        <v>4161</v>
      </c>
    </row>
    <row r="2466" spans="1:3" x14ac:dyDescent="0.25">
      <c r="A2466" t="s">
        <v>799</v>
      </c>
      <c r="B2466" t="s">
        <v>4118</v>
      </c>
      <c r="C2466" t="s">
        <v>4162</v>
      </c>
    </row>
    <row r="2467" spans="1:3" x14ac:dyDescent="0.25">
      <c r="A2467" t="s">
        <v>999</v>
      </c>
      <c r="B2467" t="s">
        <v>4118</v>
      </c>
      <c r="C2467" t="s">
        <v>4163</v>
      </c>
    </row>
    <row r="2468" spans="1:3" x14ac:dyDescent="0.25">
      <c r="A2468" t="s">
        <v>4164</v>
      </c>
      <c r="B2468" t="s">
        <v>4118</v>
      </c>
      <c r="C2468" t="s">
        <v>4165</v>
      </c>
    </row>
    <row r="2469" spans="1:3" x14ac:dyDescent="0.25">
      <c r="A2469" t="s">
        <v>1290</v>
      </c>
      <c r="B2469" t="s">
        <v>4118</v>
      </c>
      <c r="C2469" t="s">
        <v>4166</v>
      </c>
    </row>
    <row r="2470" spans="1:3" x14ac:dyDescent="0.25">
      <c r="A2470" t="s">
        <v>4167</v>
      </c>
      <c r="B2470" t="s">
        <v>4118</v>
      </c>
      <c r="C2470" t="s">
        <v>4168</v>
      </c>
    </row>
    <row r="2471" spans="1:3" x14ac:dyDescent="0.25">
      <c r="A2471" t="s">
        <v>3351</v>
      </c>
      <c r="B2471" t="s">
        <v>4118</v>
      </c>
      <c r="C2471" t="s">
        <v>4169</v>
      </c>
    </row>
    <row r="2472" spans="1:3" x14ac:dyDescent="0.25">
      <c r="A2472" t="s">
        <v>1292</v>
      </c>
      <c r="B2472" t="s">
        <v>4118</v>
      </c>
      <c r="C2472" t="s">
        <v>4170</v>
      </c>
    </row>
    <row r="2473" spans="1:3" x14ac:dyDescent="0.25">
      <c r="A2473" t="s">
        <v>199</v>
      </c>
      <c r="B2473" t="s">
        <v>4118</v>
      </c>
      <c r="C2473" t="s">
        <v>4171</v>
      </c>
    </row>
    <row r="2474" spans="1:3" x14ac:dyDescent="0.25">
      <c r="A2474" t="s">
        <v>1930</v>
      </c>
      <c r="B2474" t="s">
        <v>4118</v>
      </c>
      <c r="C2474" t="s">
        <v>4172</v>
      </c>
    </row>
    <row r="2475" spans="1:3" x14ac:dyDescent="0.25">
      <c r="A2475" t="s">
        <v>201</v>
      </c>
      <c r="B2475" t="s">
        <v>4118</v>
      </c>
      <c r="C2475" t="s">
        <v>4173</v>
      </c>
    </row>
    <row r="2476" spans="1:3" x14ac:dyDescent="0.25">
      <c r="A2476" t="s">
        <v>2573</v>
      </c>
      <c r="B2476" t="s">
        <v>4118</v>
      </c>
      <c r="C2476" t="s">
        <v>4174</v>
      </c>
    </row>
    <row r="2477" spans="1:3" x14ac:dyDescent="0.25">
      <c r="A2477" t="s">
        <v>203</v>
      </c>
      <c r="B2477" t="s">
        <v>4118</v>
      </c>
      <c r="C2477" t="s">
        <v>4175</v>
      </c>
    </row>
    <row r="2478" spans="1:3" x14ac:dyDescent="0.25">
      <c r="A2478" t="s">
        <v>205</v>
      </c>
      <c r="B2478" t="s">
        <v>4118</v>
      </c>
      <c r="C2478" t="s">
        <v>4176</v>
      </c>
    </row>
    <row r="2479" spans="1:3" x14ac:dyDescent="0.25">
      <c r="A2479" t="s">
        <v>422</v>
      </c>
      <c r="B2479" t="s">
        <v>4118</v>
      </c>
      <c r="C2479" t="s">
        <v>4177</v>
      </c>
    </row>
    <row r="2480" spans="1:3" x14ac:dyDescent="0.25">
      <c r="A2480" t="s">
        <v>1311</v>
      </c>
      <c r="B2480" t="s">
        <v>4118</v>
      </c>
      <c r="C2480" t="s">
        <v>4178</v>
      </c>
    </row>
    <row r="2481" spans="1:3" x14ac:dyDescent="0.25">
      <c r="A2481" t="s">
        <v>526</v>
      </c>
      <c r="B2481" t="s">
        <v>4118</v>
      </c>
      <c r="C2481" t="s">
        <v>4179</v>
      </c>
    </row>
    <row r="2482" spans="1:3" x14ac:dyDescent="0.25">
      <c r="A2482" t="s">
        <v>209</v>
      </c>
      <c r="B2482" t="s">
        <v>4118</v>
      </c>
      <c r="C2482" t="s">
        <v>4180</v>
      </c>
    </row>
    <row r="2483" spans="1:3" x14ac:dyDescent="0.25">
      <c r="A2483" t="s">
        <v>211</v>
      </c>
      <c r="B2483" t="s">
        <v>4118</v>
      </c>
      <c r="C2483" t="s">
        <v>4181</v>
      </c>
    </row>
    <row r="2484" spans="1:3" x14ac:dyDescent="0.25">
      <c r="A2484" t="s">
        <v>1212</v>
      </c>
      <c r="B2484" t="s">
        <v>4118</v>
      </c>
      <c r="C2484" t="s">
        <v>4182</v>
      </c>
    </row>
    <row r="2485" spans="1:3" x14ac:dyDescent="0.25">
      <c r="A2485" t="s">
        <v>428</v>
      </c>
      <c r="B2485" t="s">
        <v>4118</v>
      </c>
      <c r="C2485" t="s">
        <v>4183</v>
      </c>
    </row>
    <row r="2486" spans="1:3" x14ac:dyDescent="0.25">
      <c r="A2486" t="s">
        <v>4184</v>
      </c>
      <c r="B2486" t="s">
        <v>4118</v>
      </c>
      <c r="C2486" t="s">
        <v>4185</v>
      </c>
    </row>
    <row r="2487" spans="1:3" x14ac:dyDescent="0.25">
      <c r="A2487" t="s">
        <v>4186</v>
      </c>
      <c r="B2487" t="s">
        <v>4118</v>
      </c>
      <c r="C2487" t="s">
        <v>4187</v>
      </c>
    </row>
    <row r="2488" spans="1:3" x14ac:dyDescent="0.25">
      <c r="A2488" t="s">
        <v>4188</v>
      </c>
      <c r="B2488" t="s">
        <v>4118</v>
      </c>
      <c r="C2488" t="s">
        <v>4189</v>
      </c>
    </row>
    <row r="2489" spans="1:3" x14ac:dyDescent="0.25">
      <c r="A2489" t="s">
        <v>219</v>
      </c>
      <c r="B2489" t="s">
        <v>4118</v>
      </c>
      <c r="C2489" t="s">
        <v>4190</v>
      </c>
    </row>
    <row r="2490" spans="1:3" x14ac:dyDescent="0.25">
      <c r="A2490" t="s">
        <v>221</v>
      </c>
      <c r="B2490" t="s">
        <v>4118</v>
      </c>
      <c r="C2490" t="s">
        <v>4191</v>
      </c>
    </row>
    <row r="2491" spans="1:3" x14ac:dyDescent="0.25">
      <c r="A2491" t="s">
        <v>225</v>
      </c>
      <c r="B2491" t="s">
        <v>4118</v>
      </c>
      <c r="C2491" t="s">
        <v>4192</v>
      </c>
    </row>
    <row r="2492" spans="1:3" x14ac:dyDescent="0.25">
      <c r="A2492" t="s">
        <v>227</v>
      </c>
      <c r="B2492" t="s">
        <v>4118</v>
      </c>
      <c r="C2492" t="s">
        <v>4193</v>
      </c>
    </row>
    <row r="2493" spans="1:3" x14ac:dyDescent="0.25">
      <c r="A2493" t="s">
        <v>4194</v>
      </c>
      <c r="B2493" t="s">
        <v>4118</v>
      </c>
      <c r="C2493" t="s">
        <v>4195</v>
      </c>
    </row>
    <row r="2494" spans="1:3" x14ac:dyDescent="0.25">
      <c r="A2494" t="s">
        <v>3602</v>
      </c>
      <c r="B2494" t="s">
        <v>4118</v>
      </c>
      <c r="C2494" t="s">
        <v>4196</v>
      </c>
    </row>
    <row r="2495" spans="1:3" x14ac:dyDescent="0.25">
      <c r="A2495" t="s">
        <v>231</v>
      </c>
      <c r="B2495" t="s">
        <v>4118</v>
      </c>
      <c r="C2495" t="s">
        <v>4197</v>
      </c>
    </row>
    <row r="2496" spans="1:3" x14ac:dyDescent="0.25">
      <c r="A2496" t="s">
        <v>233</v>
      </c>
      <c r="B2496" t="s">
        <v>4118</v>
      </c>
      <c r="C2496" t="s">
        <v>4198</v>
      </c>
    </row>
    <row r="2497" spans="1:3" x14ac:dyDescent="0.25">
      <c r="A2497" t="s">
        <v>3379</v>
      </c>
      <c r="B2497" t="s">
        <v>4118</v>
      </c>
      <c r="C2497" t="s">
        <v>4199</v>
      </c>
    </row>
    <row r="2498" spans="1:3" x14ac:dyDescent="0.25">
      <c r="A2498" t="s">
        <v>235</v>
      </c>
      <c r="B2498" t="s">
        <v>4118</v>
      </c>
      <c r="C2498" t="s">
        <v>4200</v>
      </c>
    </row>
    <row r="2499" spans="1:3" x14ac:dyDescent="0.25">
      <c r="A2499" t="s">
        <v>4201</v>
      </c>
      <c r="B2499" t="s">
        <v>4118</v>
      </c>
      <c r="C2499" t="s">
        <v>4202</v>
      </c>
    </row>
    <row r="2500" spans="1:3" x14ac:dyDescent="0.25">
      <c r="A2500" t="s">
        <v>4203</v>
      </c>
      <c r="B2500" t="s">
        <v>4118</v>
      </c>
      <c r="C2500" t="s">
        <v>4204</v>
      </c>
    </row>
    <row r="2501" spans="1:3" x14ac:dyDescent="0.25">
      <c r="A2501" t="s">
        <v>237</v>
      </c>
      <c r="B2501" t="s">
        <v>4118</v>
      </c>
      <c r="C2501" t="s">
        <v>4205</v>
      </c>
    </row>
    <row r="2502" spans="1:3" x14ac:dyDescent="0.25">
      <c r="A2502" t="s">
        <v>4206</v>
      </c>
      <c r="B2502" t="s">
        <v>4118</v>
      </c>
      <c r="C2502" t="s">
        <v>4207</v>
      </c>
    </row>
    <row r="2503" spans="1:3" x14ac:dyDescent="0.25">
      <c r="A2503" t="s">
        <v>456</v>
      </c>
      <c r="B2503" t="s">
        <v>4118</v>
      </c>
      <c r="C2503" t="s">
        <v>4208</v>
      </c>
    </row>
    <row r="2504" spans="1:3" x14ac:dyDescent="0.25">
      <c r="A2504" t="s">
        <v>851</v>
      </c>
      <c r="B2504" t="s">
        <v>4118</v>
      </c>
      <c r="C2504" t="s">
        <v>4209</v>
      </c>
    </row>
    <row r="2505" spans="1:3" x14ac:dyDescent="0.25">
      <c r="A2505" t="s">
        <v>4210</v>
      </c>
      <c r="B2505" t="s">
        <v>4118</v>
      </c>
      <c r="C2505" t="s">
        <v>4211</v>
      </c>
    </row>
    <row r="2506" spans="1:3" x14ac:dyDescent="0.25">
      <c r="A2506" t="s">
        <v>4212</v>
      </c>
      <c r="B2506" t="s">
        <v>4118</v>
      </c>
      <c r="C2506" t="s">
        <v>4213</v>
      </c>
    </row>
    <row r="2507" spans="1:3" x14ac:dyDescent="0.25">
      <c r="A2507" t="s">
        <v>1999</v>
      </c>
      <c r="B2507" t="s">
        <v>4118</v>
      </c>
      <c r="C2507" t="s">
        <v>4214</v>
      </c>
    </row>
    <row r="2508" spans="1:3" x14ac:dyDescent="0.25">
      <c r="A2508" t="s">
        <v>3409</v>
      </c>
      <c r="B2508" t="s">
        <v>4118</v>
      </c>
      <c r="C2508" t="s">
        <v>4215</v>
      </c>
    </row>
    <row r="2509" spans="1:3" x14ac:dyDescent="0.25">
      <c r="A2509" t="s">
        <v>469</v>
      </c>
      <c r="B2509" t="s">
        <v>4118</v>
      </c>
      <c r="C2509" t="s">
        <v>4216</v>
      </c>
    </row>
    <row r="2510" spans="1:3" x14ac:dyDescent="0.25">
      <c r="A2510" t="s">
        <v>4217</v>
      </c>
      <c r="B2510" t="s">
        <v>4118</v>
      </c>
      <c r="C2510" t="s">
        <v>4218</v>
      </c>
    </row>
    <row r="2511" spans="1:3" x14ac:dyDescent="0.25">
      <c r="A2511" t="s">
        <v>475</v>
      </c>
      <c r="B2511" t="s">
        <v>4118</v>
      </c>
      <c r="C2511" t="s">
        <v>4219</v>
      </c>
    </row>
    <row r="2512" spans="1:3" x14ac:dyDescent="0.25">
      <c r="A2512" t="s">
        <v>249</v>
      </c>
      <c r="B2512" t="s">
        <v>4118</v>
      </c>
      <c r="C2512" t="s">
        <v>4220</v>
      </c>
    </row>
    <row r="2513" spans="1:3" x14ac:dyDescent="0.25">
      <c r="A2513" t="s">
        <v>1824</v>
      </c>
      <c r="B2513" t="s">
        <v>4118</v>
      </c>
      <c r="C2513" t="s">
        <v>4221</v>
      </c>
    </row>
    <row r="2514" spans="1:3" x14ac:dyDescent="0.25">
      <c r="A2514" t="s">
        <v>1090</v>
      </c>
      <c r="B2514" t="s">
        <v>4118</v>
      </c>
      <c r="C2514" t="s">
        <v>4222</v>
      </c>
    </row>
    <row r="2515" spans="1:3" x14ac:dyDescent="0.25">
      <c r="A2515" t="s">
        <v>1504</v>
      </c>
      <c r="B2515" t="s">
        <v>4118</v>
      </c>
      <c r="C2515" t="s">
        <v>4223</v>
      </c>
    </row>
    <row r="2516" spans="1:3" x14ac:dyDescent="0.25">
      <c r="A2516" t="s">
        <v>1832</v>
      </c>
      <c r="B2516" t="s">
        <v>4118</v>
      </c>
      <c r="C2516" t="s">
        <v>4224</v>
      </c>
    </row>
    <row r="2517" spans="1:3" x14ac:dyDescent="0.25">
      <c r="A2517" t="s">
        <v>1510</v>
      </c>
      <c r="B2517" t="s">
        <v>4118</v>
      </c>
      <c r="C2517" t="s">
        <v>4225</v>
      </c>
    </row>
    <row r="2518" spans="1:3" x14ac:dyDescent="0.25">
      <c r="A2518" t="s">
        <v>4226</v>
      </c>
      <c r="B2518" t="s">
        <v>4118</v>
      </c>
      <c r="C2518" t="s">
        <v>4227</v>
      </c>
    </row>
    <row r="2519" spans="1:3" x14ac:dyDescent="0.25">
      <c r="A2519" t="s">
        <v>4228</v>
      </c>
      <c r="B2519" t="s">
        <v>4118</v>
      </c>
      <c r="C2519" t="s">
        <v>4229</v>
      </c>
    </row>
    <row r="2520" spans="1:3" x14ac:dyDescent="0.25">
      <c r="A2520" t="s">
        <v>481</v>
      </c>
      <c r="B2520" t="s">
        <v>4118</v>
      </c>
      <c r="C2520" t="s">
        <v>4230</v>
      </c>
    </row>
    <row r="2521" spans="1:3" x14ac:dyDescent="0.25">
      <c r="A2521" t="s">
        <v>483</v>
      </c>
      <c r="B2521" t="s">
        <v>4118</v>
      </c>
      <c r="C2521" t="s">
        <v>4231</v>
      </c>
    </row>
    <row r="2522" spans="1:3" x14ac:dyDescent="0.25">
      <c r="A2522" t="s">
        <v>1127</v>
      </c>
      <c r="B2522" t="s">
        <v>4118</v>
      </c>
      <c r="C2522" t="s">
        <v>4232</v>
      </c>
    </row>
    <row r="2523" spans="1:3" x14ac:dyDescent="0.25">
      <c r="A2523" t="s">
        <v>261</v>
      </c>
      <c r="B2523" t="s">
        <v>4118</v>
      </c>
      <c r="C2523" t="s">
        <v>4233</v>
      </c>
    </row>
    <row r="2524" spans="1:3" x14ac:dyDescent="0.25">
      <c r="A2524" t="s">
        <v>1130</v>
      </c>
      <c r="B2524" t="s">
        <v>4118</v>
      </c>
      <c r="C2524" t="s">
        <v>4234</v>
      </c>
    </row>
    <row r="2525" spans="1:3" x14ac:dyDescent="0.25">
      <c r="A2525" t="s">
        <v>4235</v>
      </c>
      <c r="B2525" t="s">
        <v>4118</v>
      </c>
      <c r="C2525" t="s">
        <v>4236</v>
      </c>
    </row>
    <row r="2526" spans="1:3" x14ac:dyDescent="0.25">
      <c r="A2526" t="s">
        <v>486</v>
      </c>
      <c r="B2526" t="s">
        <v>4118</v>
      </c>
      <c r="C2526" t="s">
        <v>4237</v>
      </c>
    </row>
    <row r="2527" spans="1:3" x14ac:dyDescent="0.25">
      <c r="A2527" t="s">
        <v>1389</v>
      </c>
      <c r="B2527" t="s">
        <v>4118</v>
      </c>
      <c r="C2527" t="s">
        <v>4238</v>
      </c>
    </row>
    <row r="2528" spans="1:3" x14ac:dyDescent="0.25">
      <c r="A2528" t="s">
        <v>1844</v>
      </c>
      <c r="B2528" t="s">
        <v>4118</v>
      </c>
      <c r="C2528" t="s">
        <v>4239</v>
      </c>
    </row>
    <row r="2529" spans="1:3" x14ac:dyDescent="0.25">
      <c r="A2529" t="s">
        <v>1679</v>
      </c>
      <c r="B2529" t="s">
        <v>4241</v>
      </c>
      <c r="C2529" t="s">
        <v>4242</v>
      </c>
    </row>
    <row r="2530" spans="1:3" x14ac:dyDescent="0.25">
      <c r="A2530" t="s">
        <v>4243</v>
      </c>
      <c r="B2530" t="s">
        <v>4241</v>
      </c>
      <c r="C2530" t="s">
        <v>4244</v>
      </c>
    </row>
    <row r="2531" spans="1:3" x14ac:dyDescent="0.25">
      <c r="A2531" t="s">
        <v>4245</v>
      </c>
      <c r="B2531" t="s">
        <v>4241</v>
      </c>
      <c r="C2531" t="s">
        <v>4246</v>
      </c>
    </row>
    <row r="2532" spans="1:3" x14ac:dyDescent="0.25">
      <c r="A2532" t="s">
        <v>4247</v>
      </c>
      <c r="B2532" t="s">
        <v>4241</v>
      </c>
      <c r="C2532" t="s">
        <v>4248</v>
      </c>
    </row>
    <row r="2533" spans="1:3" x14ac:dyDescent="0.25">
      <c r="A2533" t="s">
        <v>4249</v>
      </c>
      <c r="B2533" t="s">
        <v>4241</v>
      </c>
      <c r="C2533" t="s">
        <v>4250</v>
      </c>
    </row>
    <row r="2534" spans="1:3" x14ac:dyDescent="0.25">
      <c r="A2534" t="s">
        <v>3832</v>
      </c>
      <c r="B2534" t="s">
        <v>4241</v>
      </c>
      <c r="C2534" t="s">
        <v>4251</v>
      </c>
    </row>
    <row r="2535" spans="1:3" x14ac:dyDescent="0.25">
      <c r="A2535" t="s">
        <v>4252</v>
      </c>
      <c r="B2535" t="s">
        <v>4241</v>
      </c>
      <c r="C2535" t="s">
        <v>4253</v>
      </c>
    </row>
    <row r="2536" spans="1:3" x14ac:dyDescent="0.25">
      <c r="A2536" t="s">
        <v>4254</v>
      </c>
      <c r="B2536" t="s">
        <v>4241</v>
      </c>
      <c r="C2536" t="s">
        <v>4255</v>
      </c>
    </row>
    <row r="2537" spans="1:3" x14ac:dyDescent="0.25">
      <c r="A2537" t="s">
        <v>4256</v>
      </c>
      <c r="B2537" t="s">
        <v>4241</v>
      </c>
      <c r="C2537" t="s">
        <v>4257</v>
      </c>
    </row>
    <row r="2538" spans="1:3" x14ac:dyDescent="0.25">
      <c r="A2538" t="s">
        <v>4258</v>
      </c>
      <c r="B2538" t="s">
        <v>4241</v>
      </c>
      <c r="C2538" t="s">
        <v>4259</v>
      </c>
    </row>
    <row r="2539" spans="1:3" x14ac:dyDescent="0.25">
      <c r="A2539" t="s">
        <v>4260</v>
      </c>
      <c r="B2539" t="s">
        <v>4241</v>
      </c>
      <c r="C2539" t="s">
        <v>4261</v>
      </c>
    </row>
    <row r="2540" spans="1:3" x14ac:dyDescent="0.25">
      <c r="A2540" t="s">
        <v>4262</v>
      </c>
      <c r="B2540" t="s">
        <v>4241</v>
      </c>
      <c r="C2540" t="s">
        <v>4263</v>
      </c>
    </row>
    <row r="2541" spans="1:3" x14ac:dyDescent="0.25">
      <c r="A2541" t="s">
        <v>4264</v>
      </c>
      <c r="B2541" t="s">
        <v>4241</v>
      </c>
      <c r="C2541" t="s">
        <v>4265</v>
      </c>
    </row>
    <row r="2542" spans="1:3" x14ac:dyDescent="0.25">
      <c r="A2542" t="s">
        <v>1861</v>
      </c>
      <c r="B2542" t="s">
        <v>4241</v>
      </c>
      <c r="C2542" t="s">
        <v>4266</v>
      </c>
    </row>
    <row r="2543" spans="1:3" x14ac:dyDescent="0.25">
      <c r="A2543" t="s">
        <v>4267</v>
      </c>
      <c r="B2543" t="s">
        <v>4241</v>
      </c>
      <c r="C2543" t="s">
        <v>4268</v>
      </c>
    </row>
    <row r="2544" spans="1:3" x14ac:dyDescent="0.25">
      <c r="A2544" t="s">
        <v>4269</v>
      </c>
      <c r="B2544" t="s">
        <v>4241</v>
      </c>
      <c r="C2544" t="s">
        <v>4270</v>
      </c>
    </row>
    <row r="2545" spans="1:3" x14ac:dyDescent="0.25">
      <c r="A2545" t="s">
        <v>4271</v>
      </c>
      <c r="B2545" t="s">
        <v>4241</v>
      </c>
      <c r="C2545" t="s">
        <v>4272</v>
      </c>
    </row>
    <row r="2546" spans="1:3" x14ac:dyDescent="0.25">
      <c r="A2546" t="s">
        <v>4273</v>
      </c>
      <c r="B2546" t="s">
        <v>4241</v>
      </c>
      <c r="C2546" t="s">
        <v>4274</v>
      </c>
    </row>
    <row r="2547" spans="1:3" x14ac:dyDescent="0.25">
      <c r="A2547" t="s">
        <v>4275</v>
      </c>
      <c r="B2547" t="s">
        <v>4241</v>
      </c>
      <c r="C2547" t="s">
        <v>4276</v>
      </c>
    </row>
    <row r="2548" spans="1:3" x14ac:dyDescent="0.25">
      <c r="A2548" t="s">
        <v>4277</v>
      </c>
      <c r="B2548" t="s">
        <v>4241</v>
      </c>
      <c r="C2548" t="s">
        <v>4278</v>
      </c>
    </row>
    <row r="2549" spans="1:3" x14ac:dyDescent="0.25">
      <c r="A2549" t="s">
        <v>4279</v>
      </c>
      <c r="B2549" t="s">
        <v>4241</v>
      </c>
      <c r="C2549" t="s">
        <v>4280</v>
      </c>
    </row>
    <row r="2550" spans="1:3" x14ac:dyDescent="0.25">
      <c r="A2550" t="s">
        <v>4281</v>
      </c>
      <c r="B2550" t="s">
        <v>4241</v>
      </c>
      <c r="C2550" t="s">
        <v>4282</v>
      </c>
    </row>
    <row r="2551" spans="1:3" x14ac:dyDescent="0.25">
      <c r="A2551" t="s">
        <v>4283</v>
      </c>
      <c r="B2551" t="s">
        <v>4241</v>
      </c>
      <c r="C2551" t="s">
        <v>4284</v>
      </c>
    </row>
    <row r="2552" spans="1:3" x14ac:dyDescent="0.25">
      <c r="A2552" t="s">
        <v>902</v>
      </c>
      <c r="B2552" t="s">
        <v>4241</v>
      </c>
      <c r="C2552" t="s">
        <v>4285</v>
      </c>
    </row>
    <row r="2553" spans="1:3" x14ac:dyDescent="0.25">
      <c r="A2553" t="s">
        <v>1245</v>
      </c>
      <c r="B2553" t="s">
        <v>4241</v>
      </c>
      <c r="C2553" t="s">
        <v>4286</v>
      </c>
    </row>
    <row r="2554" spans="1:3" x14ac:dyDescent="0.25">
      <c r="A2554" t="s">
        <v>4287</v>
      </c>
      <c r="B2554" t="s">
        <v>4241</v>
      </c>
      <c r="C2554" t="s">
        <v>4288</v>
      </c>
    </row>
    <row r="2555" spans="1:3" x14ac:dyDescent="0.25">
      <c r="A2555" t="s">
        <v>4289</v>
      </c>
      <c r="B2555" t="s">
        <v>4241</v>
      </c>
      <c r="C2555" t="s">
        <v>4290</v>
      </c>
    </row>
    <row r="2556" spans="1:3" x14ac:dyDescent="0.25">
      <c r="A2556" t="s">
        <v>1878</v>
      </c>
      <c r="B2556" t="s">
        <v>4241</v>
      </c>
      <c r="C2556" t="s">
        <v>4291</v>
      </c>
    </row>
    <row r="2557" spans="1:3" x14ac:dyDescent="0.25">
      <c r="A2557" t="s">
        <v>147</v>
      </c>
      <c r="B2557" t="s">
        <v>4241</v>
      </c>
      <c r="C2557" t="s">
        <v>4292</v>
      </c>
    </row>
    <row r="2558" spans="1:3" x14ac:dyDescent="0.25">
      <c r="A2558" t="s">
        <v>4293</v>
      </c>
      <c r="B2558" t="s">
        <v>4241</v>
      </c>
      <c r="C2558" t="s">
        <v>4294</v>
      </c>
    </row>
    <row r="2559" spans="1:3" x14ac:dyDescent="0.25">
      <c r="A2559" t="s">
        <v>2049</v>
      </c>
      <c r="B2559" t="s">
        <v>4241</v>
      </c>
      <c r="C2559" t="s">
        <v>4295</v>
      </c>
    </row>
    <row r="2560" spans="1:3" x14ac:dyDescent="0.25">
      <c r="A2560" t="s">
        <v>4296</v>
      </c>
      <c r="B2560" t="s">
        <v>4241</v>
      </c>
      <c r="C2560" t="s">
        <v>4297</v>
      </c>
    </row>
    <row r="2561" spans="1:3" x14ac:dyDescent="0.25">
      <c r="A2561" t="s">
        <v>4298</v>
      </c>
      <c r="B2561" t="s">
        <v>4241</v>
      </c>
      <c r="C2561" t="s">
        <v>4299</v>
      </c>
    </row>
    <row r="2562" spans="1:3" x14ac:dyDescent="0.25">
      <c r="A2562" t="s">
        <v>1251</v>
      </c>
      <c r="B2562" t="s">
        <v>4241</v>
      </c>
      <c r="C2562" t="s">
        <v>4300</v>
      </c>
    </row>
    <row r="2563" spans="1:3" x14ac:dyDescent="0.25">
      <c r="A2563" t="s">
        <v>4301</v>
      </c>
      <c r="B2563" t="s">
        <v>4241</v>
      </c>
      <c r="C2563" t="s">
        <v>4302</v>
      </c>
    </row>
    <row r="2564" spans="1:3" x14ac:dyDescent="0.25">
      <c r="A2564" t="s">
        <v>149</v>
      </c>
      <c r="B2564" t="s">
        <v>4241</v>
      </c>
      <c r="C2564" t="s">
        <v>4303</v>
      </c>
    </row>
    <row r="2565" spans="1:3" x14ac:dyDescent="0.25">
      <c r="A2565" t="s">
        <v>151</v>
      </c>
      <c r="B2565" t="s">
        <v>4241</v>
      </c>
      <c r="C2565" t="s">
        <v>4304</v>
      </c>
    </row>
    <row r="2566" spans="1:3" x14ac:dyDescent="0.25">
      <c r="A2566" t="s">
        <v>4305</v>
      </c>
      <c r="B2566" t="s">
        <v>4241</v>
      </c>
      <c r="C2566" t="s">
        <v>4306</v>
      </c>
    </row>
    <row r="2567" spans="1:3" x14ac:dyDescent="0.25">
      <c r="A2567" t="s">
        <v>159</v>
      </c>
      <c r="B2567" t="s">
        <v>4241</v>
      </c>
      <c r="C2567" t="s">
        <v>4307</v>
      </c>
    </row>
    <row r="2568" spans="1:3" x14ac:dyDescent="0.25">
      <c r="A2568" t="s">
        <v>4308</v>
      </c>
      <c r="B2568" t="s">
        <v>4241</v>
      </c>
      <c r="C2568" t="s">
        <v>4309</v>
      </c>
    </row>
    <row r="2569" spans="1:3" x14ac:dyDescent="0.25">
      <c r="A2569" t="s">
        <v>4310</v>
      </c>
      <c r="B2569" t="s">
        <v>4241</v>
      </c>
      <c r="C2569" t="s">
        <v>4311</v>
      </c>
    </row>
    <row r="2570" spans="1:3" x14ac:dyDescent="0.25">
      <c r="A2570" t="s">
        <v>4312</v>
      </c>
      <c r="B2570" t="s">
        <v>4241</v>
      </c>
      <c r="C2570" t="s">
        <v>4313</v>
      </c>
    </row>
    <row r="2571" spans="1:3" x14ac:dyDescent="0.25">
      <c r="A2571" t="s">
        <v>4314</v>
      </c>
      <c r="B2571" t="s">
        <v>4241</v>
      </c>
      <c r="C2571" t="s">
        <v>4315</v>
      </c>
    </row>
    <row r="2572" spans="1:3" x14ac:dyDescent="0.25">
      <c r="A2572" t="s">
        <v>4316</v>
      </c>
      <c r="B2572" t="s">
        <v>4241</v>
      </c>
      <c r="C2572" t="s">
        <v>4317</v>
      </c>
    </row>
    <row r="2573" spans="1:3" x14ac:dyDescent="0.25">
      <c r="A2573" t="s">
        <v>4318</v>
      </c>
      <c r="B2573" t="s">
        <v>4241</v>
      </c>
      <c r="C2573" t="s">
        <v>4319</v>
      </c>
    </row>
    <row r="2574" spans="1:3" x14ac:dyDescent="0.25">
      <c r="A2574" t="s">
        <v>4320</v>
      </c>
      <c r="B2574" t="s">
        <v>4241</v>
      </c>
      <c r="C2574" t="s">
        <v>4321</v>
      </c>
    </row>
    <row r="2575" spans="1:3" x14ac:dyDescent="0.25">
      <c r="A2575" t="s">
        <v>1703</v>
      </c>
      <c r="B2575" t="s">
        <v>4241</v>
      </c>
      <c r="C2575" t="s">
        <v>4322</v>
      </c>
    </row>
    <row r="2576" spans="1:3" x14ac:dyDescent="0.25">
      <c r="A2576" t="s">
        <v>4323</v>
      </c>
      <c r="B2576" t="s">
        <v>4241</v>
      </c>
      <c r="C2576" t="s">
        <v>4324</v>
      </c>
    </row>
    <row r="2577" spans="1:3" x14ac:dyDescent="0.25">
      <c r="A2577" t="s">
        <v>4325</v>
      </c>
      <c r="B2577" t="s">
        <v>4241</v>
      </c>
      <c r="C2577" t="s">
        <v>4326</v>
      </c>
    </row>
    <row r="2578" spans="1:3" x14ac:dyDescent="0.25">
      <c r="A2578" t="s">
        <v>4327</v>
      </c>
      <c r="B2578" t="s">
        <v>4241</v>
      </c>
      <c r="C2578" t="s">
        <v>4328</v>
      </c>
    </row>
    <row r="2579" spans="1:3" x14ac:dyDescent="0.25">
      <c r="A2579" t="s">
        <v>4329</v>
      </c>
      <c r="B2579" t="s">
        <v>4241</v>
      </c>
      <c r="C2579" t="s">
        <v>4330</v>
      </c>
    </row>
    <row r="2580" spans="1:3" x14ac:dyDescent="0.25">
      <c r="A2580" t="s">
        <v>4331</v>
      </c>
      <c r="B2580" t="s">
        <v>4241</v>
      </c>
      <c r="C2580" t="s">
        <v>4332</v>
      </c>
    </row>
    <row r="2581" spans="1:3" x14ac:dyDescent="0.25">
      <c r="A2581" t="s">
        <v>4139</v>
      </c>
      <c r="B2581" t="s">
        <v>4241</v>
      </c>
      <c r="C2581" t="s">
        <v>4333</v>
      </c>
    </row>
    <row r="2582" spans="1:3" x14ac:dyDescent="0.25">
      <c r="A2582" t="s">
        <v>4334</v>
      </c>
      <c r="B2582" t="s">
        <v>4241</v>
      </c>
      <c r="C2582" t="s">
        <v>4335</v>
      </c>
    </row>
    <row r="2583" spans="1:3" x14ac:dyDescent="0.25">
      <c r="A2583" t="s">
        <v>4336</v>
      </c>
      <c r="B2583" t="s">
        <v>4241</v>
      </c>
      <c r="C2583" t="s">
        <v>4337</v>
      </c>
    </row>
    <row r="2584" spans="1:3" x14ac:dyDescent="0.25">
      <c r="A2584" t="s">
        <v>4338</v>
      </c>
      <c r="B2584" t="s">
        <v>4241</v>
      </c>
      <c r="C2584" t="s">
        <v>4339</v>
      </c>
    </row>
    <row r="2585" spans="1:3" x14ac:dyDescent="0.25">
      <c r="A2585" t="s">
        <v>179</v>
      </c>
      <c r="B2585" t="s">
        <v>4241</v>
      </c>
      <c r="C2585" t="s">
        <v>4340</v>
      </c>
    </row>
    <row r="2586" spans="1:3" x14ac:dyDescent="0.25">
      <c r="A2586" t="s">
        <v>950</v>
      </c>
      <c r="B2586" t="s">
        <v>4241</v>
      </c>
      <c r="C2586" t="s">
        <v>4341</v>
      </c>
    </row>
    <row r="2587" spans="1:3" x14ac:dyDescent="0.25">
      <c r="A2587" t="s">
        <v>4342</v>
      </c>
      <c r="B2587" t="s">
        <v>4241</v>
      </c>
      <c r="C2587" t="s">
        <v>4343</v>
      </c>
    </row>
    <row r="2588" spans="1:3" x14ac:dyDescent="0.25">
      <c r="A2588" t="s">
        <v>640</v>
      </c>
      <c r="B2588" t="s">
        <v>4241</v>
      </c>
      <c r="C2588" t="s">
        <v>4344</v>
      </c>
    </row>
    <row r="2589" spans="1:3" x14ac:dyDescent="0.25">
      <c r="A2589" t="s">
        <v>4345</v>
      </c>
      <c r="B2589" t="s">
        <v>4241</v>
      </c>
      <c r="C2589" t="s">
        <v>4346</v>
      </c>
    </row>
    <row r="2590" spans="1:3" x14ac:dyDescent="0.25">
      <c r="A2590" t="s">
        <v>4347</v>
      </c>
      <c r="B2590" t="s">
        <v>4241</v>
      </c>
      <c r="C2590" t="s">
        <v>4348</v>
      </c>
    </row>
    <row r="2591" spans="1:3" x14ac:dyDescent="0.25">
      <c r="A2591" t="s">
        <v>4349</v>
      </c>
      <c r="B2591" t="s">
        <v>4241</v>
      </c>
      <c r="C2591" t="s">
        <v>4350</v>
      </c>
    </row>
    <row r="2592" spans="1:3" x14ac:dyDescent="0.25">
      <c r="A2592" t="s">
        <v>4351</v>
      </c>
      <c r="B2592" t="s">
        <v>4241</v>
      </c>
      <c r="C2592" t="s">
        <v>4352</v>
      </c>
    </row>
    <row r="2593" spans="1:3" x14ac:dyDescent="0.25">
      <c r="A2593" t="s">
        <v>4353</v>
      </c>
      <c r="B2593" t="s">
        <v>4241</v>
      </c>
      <c r="C2593" t="s">
        <v>4354</v>
      </c>
    </row>
    <row r="2594" spans="1:3" x14ac:dyDescent="0.25">
      <c r="A2594" t="s">
        <v>785</v>
      </c>
      <c r="B2594" t="s">
        <v>4241</v>
      </c>
      <c r="C2594" t="s">
        <v>4355</v>
      </c>
    </row>
    <row r="2595" spans="1:3" x14ac:dyDescent="0.25">
      <c r="A2595" t="s">
        <v>4356</v>
      </c>
      <c r="B2595" t="s">
        <v>4241</v>
      </c>
      <c r="C2595" t="s">
        <v>4357</v>
      </c>
    </row>
    <row r="2596" spans="1:3" x14ac:dyDescent="0.25">
      <c r="A2596" t="s">
        <v>4358</v>
      </c>
      <c r="B2596" t="s">
        <v>4241</v>
      </c>
      <c r="C2596" t="s">
        <v>4359</v>
      </c>
    </row>
    <row r="2597" spans="1:3" x14ac:dyDescent="0.25">
      <c r="A2597" t="s">
        <v>1275</v>
      </c>
      <c r="B2597" t="s">
        <v>4241</v>
      </c>
      <c r="C2597" t="s">
        <v>4360</v>
      </c>
    </row>
    <row r="2598" spans="1:3" x14ac:dyDescent="0.25">
      <c r="A2598" t="s">
        <v>1716</v>
      </c>
      <c r="B2598" t="s">
        <v>4241</v>
      </c>
      <c r="C2598" t="s">
        <v>4361</v>
      </c>
    </row>
    <row r="2599" spans="1:3" x14ac:dyDescent="0.25">
      <c r="A2599" t="s">
        <v>652</v>
      </c>
      <c r="B2599" t="s">
        <v>4241</v>
      </c>
      <c r="C2599" t="s">
        <v>4362</v>
      </c>
    </row>
    <row r="2600" spans="1:3" x14ac:dyDescent="0.25">
      <c r="A2600" t="s">
        <v>4363</v>
      </c>
      <c r="B2600" t="s">
        <v>4241</v>
      </c>
      <c r="C2600" t="s">
        <v>4364</v>
      </c>
    </row>
    <row r="2601" spans="1:3" x14ac:dyDescent="0.25">
      <c r="A2601" t="s">
        <v>4365</v>
      </c>
      <c r="B2601" t="s">
        <v>4241</v>
      </c>
      <c r="C2601" t="s">
        <v>4366</v>
      </c>
    </row>
    <row r="2602" spans="1:3" x14ac:dyDescent="0.25">
      <c r="A2602" t="s">
        <v>973</v>
      </c>
      <c r="B2602" t="s">
        <v>4241</v>
      </c>
      <c r="C2602" t="s">
        <v>4367</v>
      </c>
    </row>
    <row r="2603" spans="1:3" x14ac:dyDescent="0.25">
      <c r="A2603" t="s">
        <v>189</v>
      </c>
      <c r="B2603" t="s">
        <v>4241</v>
      </c>
      <c r="C2603" t="s">
        <v>4368</v>
      </c>
    </row>
    <row r="2604" spans="1:3" x14ac:dyDescent="0.25">
      <c r="A2604" t="s">
        <v>4369</v>
      </c>
      <c r="B2604" t="s">
        <v>4241</v>
      </c>
      <c r="C2604" t="s">
        <v>4370</v>
      </c>
    </row>
    <row r="2605" spans="1:3" x14ac:dyDescent="0.25">
      <c r="A2605" t="s">
        <v>976</v>
      </c>
      <c r="B2605" t="s">
        <v>4241</v>
      </c>
      <c r="C2605" t="s">
        <v>4371</v>
      </c>
    </row>
    <row r="2606" spans="1:3" x14ac:dyDescent="0.25">
      <c r="A2606" t="s">
        <v>4372</v>
      </c>
      <c r="B2606" t="s">
        <v>4241</v>
      </c>
      <c r="C2606" t="s">
        <v>4373</v>
      </c>
    </row>
    <row r="2607" spans="1:3" x14ac:dyDescent="0.25">
      <c r="A2607" t="s">
        <v>4374</v>
      </c>
      <c r="B2607" t="s">
        <v>4241</v>
      </c>
      <c r="C2607" t="s">
        <v>4375</v>
      </c>
    </row>
    <row r="2608" spans="1:3" x14ac:dyDescent="0.25">
      <c r="A2608" t="s">
        <v>191</v>
      </c>
      <c r="B2608" t="s">
        <v>4241</v>
      </c>
      <c r="C2608" t="s">
        <v>4376</v>
      </c>
    </row>
    <row r="2609" spans="1:3" x14ac:dyDescent="0.25">
      <c r="A2609" t="s">
        <v>4377</v>
      </c>
      <c r="B2609" t="s">
        <v>4241</v>
      </c>
      <c r="C2609" t="s">
        <v>4378</v>
      </c>
    </row>
    <row r="2610" spans="1:3" x14ac:dyDescent="0.25">
      <c r="A2610" t="s">
        <v>4379</v>
      </c>
      <c r="B2610" t="s">
        <v>4241</v>
      </c>
      <c r="C2610" t="s">
        <v>4380</v>
      </c>
    </row>
    <row r="2611" spans="1:3" x14ac:dyDescent="0.25">
      <c r="A2611" t="s">
        <v>4381</v>
      </c>
      <c r="B2611" t="s">
        <v>4241</v>
      </c>
      <c r="C2611" t="s">
        <v>4382</v>
      </c>
    </row>
    <row r="2612" spans="1:3" x14ac:dyDescent="0.25">
      <c r="A2612" t="s">
        <v>4383</v>
      </c>
      <c r="B2612" t="s">
        <v>4241</v>
      </c>
      <c r="C2612" t="s">
        <v>4384</v>
      </c>
    </row>
    <row r="2613" spans="1:3" x14ac:dyDescent="0.25">
      <c r="A2613" t="s">
        <v>4385</v>
      </c>
      <c r="B2613" t="s">
        <v>4241</v>
      </c>
      <c r="C2613" t="s">
        <v>4386</v>
      </c>
    </row>
    <row r="2614" spans="1:3" x14ac:dyDescent="0.25">
      <c r="A2614" t="s">
        <v>4387</v>
      </c>
      <c r="B2614" t="s">
        <v>4241</v>
      </c>
      <c r="C2614" t="s">
        <v>4388</v>
      </c>
    </row>
    <row r="2615" spans="1:3" x14ac:dyDescent="0.25">
      <c r="A2615" t="s">
        <v>4389</v>
      </c>
      <c r="B2615" t="s">
        <v>4241</v>
      </c>
      <c r="C2615" t="s">
        <v>4390</v>
      </c>
    </row>
    <row r="2616" spans="1:3" x14ac:dyDescent="0.25">
      <c r="A2616" t="s">
        <v>4391</v>
      </c>
      <c r="B2616" t="s">
        <v>4241</v>
      </c>
      <c r="C2616" t="s">
        <v>4392</v>
      </c>
    </row>
    <row r="2617" spans="1:3" x14ac:dyDescent="0.25">
      <c r="A2617" t="s">
        <v>4393</v>
      </c>
      <c r="B2617" t="s">
        <v>4241</v>
      </c>
      <c r="C2617" t="s">
        <v>4394</v>
      </c>
    </row>
    <row r="2618" spans="1:3" x14ac:dyDescent="0.25">
      <c r="A2618" t="s">
        <v>1730</v>
      </c>
      <c r="B2618" t="s">
        <v>4241</v>
      </c>
      <c r="C2618" t="s">
        <v>4395</v>
      </c>
    </row>
    <row r="2619" spans="1:3" x14ac:dyDescent="0.25">
      <c r="A2619" t="s">
        <v>1916</v>
      </c>
      <c r="B2619" t="s">
        <v>4241</v>
      </c>
      <c r="C2619" t="s">
        <v>4396</v>
      </c>
    </row>
    <row r="2620" spans="1:3" x14ac:dyDescent="0.25">
      <c r="A2620" t="s">
        <v>4397</v>
      </c>
      <c r="B2620" t="s">
        <v>4241</v>
      </c>
      <c r="C2620" t="s">
        <v>4398</v>
      </c>
    </row>
    <row r="2621" spans="1:3" x14ac:dyDescent="0.25">
      <c r="A2621" t="s">
        <v>4399</v>
      </c>
      <c r="B2621" t="s">
        <v>4241</v>
      </c>
      <c r="C2621" t="s">
        <v>4400</v>
      </c>
    </row>
    <row r="2622" spans="1:3" x14ac:dyDescent="0.25">
      <c r="A2622" t="s">
        <v>3143</v>
      </c>
      <c r="B2622" t="s">
        <v>4241</v>
      </c>
      <c r="C2622" t="s">
        <v>4401</v>
      </c>
    </row>
    <row r="2623" spans="1:3" x14ac:dyDescent="0.25">
      <c r="A2623" t="s">
        <v>197</v>
      </c>
      <c r="B2623" t="s">
        <v>4241</v>
      </c>
      <c r="C2623" t="s">
        <v>4402</v>
      </c>
    </row>
    <row r="2624" spans="1:3" x14ac:dyDescent="0.25">
      <c r="A2624" t="s">
        <v>997</v>
      </c>
      <c r="B2624" t="s">
        <v>4241</v>
      </c>
      <c r="C2624" t="s">
        <v>4403</v>
      </c>
    </row>
    <row r="2625" spans="1:3" x14ac:dyDescent="0.25">
      <c r="A2625" t="s">
        <v>799</v>
      </c>
      <c r="B2625" t="s">
        <v>4241</v>
      </c>
      <c r="C2625" t="s">
        <v>4404</v>
      </c>
    </row>
    <row r="2626" spans="1:3" x14ac:dyDescent="0.25">
      <c r="A2626" t="s">
        <v>4405</v>
      </c>
      <c r="B2626" t="s">
        <v>4241</v>
      </c>
      <c r="C2626" t="s">
        <v>4406</v>
      </c>
    </row>
    <row r="2627" spans="1:3" x14ac:dyDescent="0.25">
      <c r="A2627" t="s">
        <v>4164</v>
      </c>
      <c r="B2627" t="s">
        <v>4241</v>
      </c>
      <c r="C2627" t="s">
        <v>4407</v>
      </c>
    </row>
    <row r="2628" spans="1:3" x14ac:dyDescent="0.25">
      <c r="A2628" t="s">
        <v>1290</v>
      </c>
      <c r="B2628" t="s">
        <v>4241</v>
      </c>
      <c r="C2628" t="s">
        <v>4408</v>
      </c>
    </row>
    <row r="2629" spans="1:3" x14ac:dyDescent="0.25">
      <c r="A2629" t="s">
        <v>1003</v>
      </c>
      <c r="B2629" t="s">
        <v>4241</v>
      </c>
      <c r="C2629" t="s">
        <v>4409</v>
      </c>
    </row>
    <row r="2630" spans="1:3" x14ac:dyDescent="0.25">
      <c r="A2630" t="s">
        <v>1437</v>
      </c>
      <c r="B2630" t="s">
        <v>4241</v>
      </c>
      <c r="C2630" t="s">
        <v>4410</v>
      </c>
    </row>
    <row r="2631" spans="1:3" x14ac:dyDescent="0.25">
      <c r="A2631" t="s">
        <v>4411</v>
      </c>
      <c r="B2631" t="s">
        <v>4241</v>
      </c>
      <c r="C2631" t="s">
        <v>4412</v>
      </c>
    </row>
    <row r="2632" spans="1:3" x14ac:dyDescent="0.25">
      <c r="A2632" t="s">
        <v>1741</v>
      </c>
      <c r="B2632" t="s">
        <v>4241</v>
      </c>
      <c r="C2632" t="s">
        <v>4413</v>
      </c>
    </row>
    <row r="2633" spans="1:3" x14ac:dyDescent="0.25">
      <c r="A2633" t="s">
        <v>4414</v>
      </c>
      <c r="B2633" t="s">
        <v>4241</v>
      </c>
      <c r="C2633" t="s">
        <v>4415</v>
      </c>
    </row>
    <row r="2634" spans="1:3" x14ac:dyDescent="0.25">
      <c r="A2634" t="s">
        <v>4416</v>
      </c>
      <c r="B2634" t="s">
        <v>4241</v>
      </c>
      <c r="C2634" t="s">
        <v>4417</v>
      </c>
    </row>
    <row r="2635" spans="1:3" x14ac:dyDescent="0.25">
      <c r="A2635" t="s">
        <v>1292</v>
      </c>
      <c r="B2635" t="s">
        <v>4241</v>
      </c>
      <c r="C2635" t="s">
        <v>4418</v>
      </c>
    </row>
    <row r="2636" spans="1:3" x14ac:dyDescent="0.25">
      <c r="A2636" t="s">
        <v>3147</v>
      </c>
      <c r="B2636" t="s">
        <v>4241</v>
      </c>
      <c r="C2636" t="s">
        <v>4419</v>
      </c>
    </row>
    <row r="2637" spans="1:3" x14ac:dyDescent="0.25">
      <c r="A2637" t="s">
        <v>2845</v>
      </c>
      <c r="B2637" t="s">
        <v>4241</v>
      </c>
      <c r="C2637" t="s">
        <v>4420</v>
      </c>
    </row>
    <row r="2638" spans="1:3" x14ac:dyDescent="0.25">
      <c r="A2638" t="s">
        <v>4421</v>
      </c>
      <c r="B2638" t="s">
        <v>4241</v>
      </c>
      <c r="C2638" t="s">
        <v>4422</v>
      </c>
    </row>
    <row r="2639" spans="1:3" x14ac:dyDescent="0.25">
      <c r="A2639" t="s">
        <v>4423</v>
      </c>
      <c r="B2639" t="s">
        <v>4241</v>
      </c>
      <c r="C2639" t="s">
        <v>4424</v>
      </c>
    </row>
    <row r="2640" spans="1:3" x14ac:dyDescent="0.25">
      <c r="A2640" t="s">
        <v>1932</v>
      </c>
      <c r="B2640" t="s">
        <v>4241</v>
      </c>
      <c r="C2640" t="s">
        <v>4425</v>
      </c>
    </row>
    <row r="2641" spans="1:3" x14ac:dyDescent="0.25">
      <c r="A2641" t="s">
        <v>201</v>
      </c>
      <c r="B2641" t="s">
        <v>4241</v>
      </c>
      <c r="C2641" t="s">
        <v>4426</v>
      </c>
    </row>
    <row r="2642" spans="1:3" x14ac:dyDescent="0.25">
      <c r="A2642" t="s">
        <v>414</v>
      </c>
      <c r="B2642" t="s">
        <v>4241</v>
      </c>
      <c r="C2642" t="s">
        <v>4427</v>
      </c>
    </row>
    <row r="2643" spans="1:3" x14ac:dyDescent="0.25">
      <c r="A2643" t="s">
        <v>4428</v>
      </c>
      <c r="B2643" t="s">
        <v>4241</v>
      </c>
      <c r="C2643" t="s">
        <v>4429</v>
      </c>
    </row>
    <row r="2644" spans="1:3" x14ac:dyDescent="0.25">
      <c r="A2644" t="s">
        <v>4430</v>
      </c>
      <c r="B2644" t="s">
        <v>4241</v>
      </c>
      <c r="C2644" t="s">
        <v>4431</v>
      </c>
    </row>
    <row r="2645" spans="1:3" x14ac:dyDescent="0.25">
      <c r="A2645" t="s">
        <v>4065</v>
      </c>
      <c r="B2645" t="s">
        <v>4241</v>
      </c>
      <c r="C2645" t="s">
        <v>4432</v>
      </c>
    </row>
    <row r="2646" spans="1:3" x14ac:dyDescent="0.25">
      <c r="A2646" t="s">
        <v>4433</v>
      </c>
      <c r="B2646" t="s">
        <v>4241</v>
      </c>
      <c r="C2646" t="s">
        <v>4434</v>
      </c>
    </row>
    <row r="2647" spans="1:3" x14ac:dyDescent="0.25">
      <c r="A2647" t="s">
        <v>4435</v>
      </c>
      <c r="B2647" t="s">
        <v>4241</v>
      </c>
      <c r="C2647" t="s">
        <v>4436</v>
      </c>
    </row>
    <row r="2648" spans="1:3" x14ac:dyDescent="0.25">
      <c r="A2648" t="s">
        <v>203</v>
      </c>
      <c r="B2648" t="s">
        <v>4241</v>
      </c>
      <c r="C2648" t="s">
        <v>4437</v>
      </c>
    </row>
    <row r="2649" spans="1:3" x14ac:dyDescent="0.25">
      <c r="A2649" t="s">
        <v>1014</v>
      </c>
      <c r="B2649" t="s">
        <v>4241</v>
      </c>
      <c r="C2649" t="s">
        <v>4438</v>
      </c>
    </row>
    <row r="2650" spans="1:3" x14ac:dyDescent="0.25">
      <c r="A2650" t="s">
        <v>1016</v>
      </c>
      <c r="B2650" t="s">
        <v>4241</v>
      </c>
      <c r="C2650" t="s">
        <v>4439</v>
      </c>
    </row>
    <row r="2651" spans="1:3" x14ac:dyDescent="0.25">
      <c r="A2651" t="s">
        <v>205</v>
      </c>
      <c r="B2651" t="s">
        <v>4241</v>
      </c>
      <c r="C2651" t="s">
        <v>4440</v>
      </c>
    </row>
    <row r="2652" spans="1:3" x14ac:dyDescent="0.25">
      <c r="A2652" t="s">
        <v>4441</v>
      </c>
      <c r="B2652" t="s">
        <v>4241</v>
      </c>
      <c r="C2652" t="s">
        <v>4442</v>
      </c>
    </row>
    <row r="2653" spans="1:3" x14ac:dyDescent="0.25">
      <c r="A2653" t="s">
        <v>4443</v>
      </c>
      <c r="B2653" t="s">
        <v>4241</v>
      </c>
      <c r="C2653" t="s">
        <v>4444</v>
      </c>
    </row>
    <row r="2654" spans="1:3" x14ac:dyDescent="0.25">
      <c r="A2654" t="s">
        <v>422</v>
      </c>
      <c r="B2654" t="s">
        <v>4241</v>
      </c>
      <c r="C2654" t="s">
        <v>4445</v>
      </c>
    </row>
    <row r="2655" spans="1:3" x14ac:dyDescent="0.25">
      <c r="A2655" t="s">
        <v>1022</v>
      </c>
      <c r="B2655" t="s">
        <v>4241</v>
      </c>
      <c r="C2655" t="s">
        <v>4446</v>
      </c>
    </row>
    <row r="2656" spans="1:3" x14ac:dyDescent="0.25">
      <c r="A2656" t="s">
        <v>4447</v>
      </c>
      <c r="B2656" t="s">
        <v>4241</v>
      </c>
      <c r="C2656" t="s">
        <v>4448</v>
      </c>
    </row>
    <row r="2657" spans="1:3" x14ac:dyDescent="0.25">
      <c r="A2657" t="s">
        <v>4449</v>
      </c>
      <c r="B2657" t="s">
        <v>4241</v>
      </c>
      <c r="C2657" t="s">
        <v>4450</v>
      </c>
    </row>
    <row r="2658" spans="1:3" x14ac:dyDescent="0.25">
      <c r="A2658" t="s">
        <v>1309</v>
      </c>
      <c r="B2658" t="s">
        <v>4241</v>
      </c>
      <c r="C2658" t="s">
        <v>4451</v>
      </c>
    </row>
    <row r="2659" spans="1:3" x14ac:dyDescent="0.25">
      <c r="A2659" t="s">
        <v>4452</v>
      </c>
      <c r="B2659" t="s">
        <v>4241</v>
      </c>
      <c r="C2659" t="s">
        <v>4453</v>
      </c>
    </row>
    <row r="2660" spans="1:3" x14ac:dyDescent="0.25">
      <c r="A2660" t="s">
        <v>748</v>
      </c>
      <c r="B2660" t="s">
        <v>4241</v>
      </c>
      <c r="C2660" t="s">
        <v>4454</v>
      </c>
    </row>
    <row r="2661" spans="1:3" x14ac:dyDescent="0.25">
      <c r="A2661" t="s">
        <v>4455</v>
      </c>
      <c r="B2661" t="s">
        <v>4241</v>
      </c>
      <c r="C2661" t="s">
        <v>4456</v>
      </c>
    </row>
    <row r="2662" spans="1:3" x14ac:dyDescent="0.25">
      <c r="A2662" t="s">
        <v>4457</v>
      </c>
      <c r="B2662" t="s">
        <v>4241</v>
      </c>
      <c r="C2662" t="s">
        <v>4458</v>
      </c>
    </row>
    <row r="2663" spans="1:3" x14ac:dyDescent="0.25">
      <c r="A2663" t="s">
        <v>4459</v>
      </c>
      <c r="B2663" t="s">
        <v>4241</v>
      </c>
      <c r="C2663" t="s">
        <v>4460</v>
      </c>
    </row>
    <row r="2664" spans="1:3" x14ac:dyDescent="0.25">
      <c r="A2664" t="s">
        <v>4461</v>
      </c>
      <c r="B2664" t="s">
        <v>4241</v>
      </c>
      <c r="C2664" t="s">
        <v>4462</v>
      </c>
    </row>
    <row r="2665" spans="1:3" x14ac:dyDescent="0.25">
      <c r="A2665" t="s">
        <v>4463</v>
      </c>
      <c r="B2665" t="s">
        <v>4241</v>
      </c>
      <c r="C2665" t="s">
        <v>4464</v>
      </c>
    </row>
    <row r="2666" spans="1:3" x14ac:dyDescent="0.25">
      <c r="A2666" t="s">
        <v>1311</v>
      </c>
      <c r="B2666" t="s">
        <v>4241</v>
      </c>
      <c r="C2666" t="s">
        <v>4465</v>
      </c>
    </row>
    <row r="2667" spans="1:3" x14ac:dyDescent="0.25">
      <c r="A2667" t="s">
        <v>207</v>
      </c>
      <c r="B2667" t="s">
        <v>4241</v>
      </c>
      <c r="C2667" t="s">
        <v>4466</v>
      </c>
    </row>
    <row r="2668" spans="1:3" x14ac:dyDescent="0.25">
      <c r="A2668" t="s">
        <v>4467</v>
      </c>
      <c r="B2668" t="s">
        <v>4241</v>
      </c>
      <c r="C2668" t="s">
        <v>4468</v>
      </c>
    </row>
    <row r="2669" spans="1:3" x14ac:dyDescent="0.25">
      <c r="A2669" t="s">
        <v>4469</v>
      </c>
      <c r="B2669" t="s">
        <v>4241</v>
      </c>
      <c r="C2669" t="s">
        <v>4470</v>
      </c>
    </row>
    <row r="2670" spans="1:3" x14ac:dyDescent="0.25">
      <c r="A2670" t="s">
        <v>2080</v>
      </c>
      <c r="B2670" t="s">
        <v>4241</v>
      </c>
      <c r="C2670" t="s">
        <v>4471</v>
      </c>
    </row>
    <row r="2671" spans="1:3" x14ac:dyDescent="0.25">
      <c r="A2671" t="s">
        <v>4472</v>
      </c>
      <c r="B2671" t="s">
        <v>4241</v>
      </c>
      <c r="C2671" t="s">
        <v>4473</v>
      </c>
    </row>
    <row r="2672" spans="1:3" x14ac:dyDescent="0.25">
      <c r="A2672" t="s">
        <v>213</v>
      </c>
      <c r="B2672" t="s">
        <v>4241</v>
      </c>
      <c r="C2672" t="s">
        <v>4474</v>
      </c>
    </row>
    <row r="2673" spans="1:3" x14ac:dyDescent="0.25">
      <c r="A2673" t="s">
        <v>820</v>
      </c>
      <c r="B2673" t="s">
        <v>4241</v>
      </c>
      <c r="C2673" t="s">
        <v>4475</v>
      </c>
    </row>
    <row r="2674" spans="1:3" x14ac:dyDescent="0.25">
      <c r="A2674" t="s">
        <v>824</v>
      </c>
      <c r="B2674" t="s">
        <v>4241</v>
      </c>
      <c r="C2674" t="s">
        <v>4476</v>
      </c>
    </row>
    <row r="2675" spans="1:3" x14ac:dyDescent="0.25">
      <c r="A2675" t="s">
        <v>215</v>
      </c>
      <c r="B2675" t="s">
        <v>4241</v>
      </c>
      <c r="C2675" t="s">
        <v>4477</v>
      </c>
    </row>
    <row r="2676" spans="1:3" x14ac:dyDescent="0.25">
      <c r="A2676" t="s">
        <v>4478</v>
      </c>
      <c r="B2676" t="s">
        <v>4241</v>
      </c>
      <c r="C2676" t="s">
        <v>4479</v>
      </c>
    </row>
    <row r="2677" spans="1:3" x14ac:dyDescent="0.25">
      <c r="A2677" t="s">
        <v>4480</v>
      </c>
      <c r="B2677" t="s">
        <v>4241</v>
      </c>
      <c r="C2677" t="s">
        <v>4481</v>
      </c>
    </row>
    <row r="2678" spans="1:3" x14ac:dyDescent="0.25">
      <c r="A2678" t="s">
        <v>4482</v>
      </c>
      <c r="B2678" t="s">
        <v>4241</v>
      </c>
      <c r="C2678" t="s">
        <v>4483</v>
      </c>
    </row>
    <row r="2679" spans="1:3" x14ac:dyDescent="0.25">
      <c r="A2679" t="s">
        <v>4484</v>
      </c>
      <c r="B2679" t="s">
        <v>4241</v>
      </c>
      <c r="C2679" t="s">
        <v>4485</v>
      </c>
    </row>
    <row r="2680" spans="1:3" x14ac:dyDescent="0.25">
      <c r="A2680" t="s">
        <v>4486</v>
      </c>
      <c r="B2680" t="s">
        <v>4241</v>
      </c>
      <c r="C2680" t="s">
        <v>4487</v>
      </c>
    </row>
    <row r="2681" spans="1:3" x14ac:dyDescent="0.25">
      <c r="A2681" t="s">
        <v>4488</v>
      </c>
      <c r="B2681" t="s">
        <v>4241</v>
      </c>
      <c r="C2681" t="s">
        <v>4489</v>
      </c>
    </row>
    <row r="2682" spans="1:3" x14ac:dyDescent="0.25">
      <c r="A2682" t="s">
        <v>4490</v>
      </c>
      <c r="B2682" t="s">
        <v>4241</v>
      </c>
      <c r="C2682" t="s">
        <v>4491</v>
      </c>
    </row>
    <row r="2683" spans="1:3" x14ac:dyDescent="0.25">
      <c r="A2683" t="s">
        <v>4492</v>
      </c>
      <c r="B2683" t="s">
        <v>4241</v>
      </c>
      <c r="C2683" t="s">
        <v>4493</v>
      </c>
    </row>
    <row r="2684" spans="1:3" x14ac:dyDescent="0.25">
      <c r="A2684" t="s">
        <v>4494</v>
      </c>
      <c r="B2684" t="s">
        <v>4241</v>
      </c>
      <c r="C2684" t="s">
        <v>4495</v>
      </c>
    </row>
    <row r="2685" spans="1:3" x14ac:dyDescent="0.25">
      <c r="A2685" t="s">
        <v>221</v>
      </c>
      <c r="B2685" t="s">
        <v>4241</v>
      </c>
      <c r="C2685" t="s">
        <v>4496</v>
      </c>
    </row>
    <row r="2686" spans="1:3" x14ac:dyDescent="0.25">
      <c r="A2686" t="s">
        <v>225</v>
      </c>
      <c r="B2686" t="s">
        <v>4241</v>
      </c>
      <c r="C2686" t="s">
        <v>4497</v>
      </c>
    </row>
    <row r="2687" spans="1:3" x14ac:dyDescent="0.25">
      <c r="A2687" t="s">
        <v>830</v>
      </c>
      <c r="B2687" t="s">
        <v>4241</v>
      </c>
      <c r="C2687" t="s">
        <v>4498</v>
      </c>
    </row>
    <row r="2688" spans="1:3" x14ac:dyDescent="0.25">
      <c r="A2688" t="s">
        <v>1333</v>
      </c>
      <c r="B2688" t="s">
        <v>4241</v>
      </c>
      <c r="C2688" t="s">
        <v>4499</v>
      </c>
    </row>
    <row r="2689" spans="1:3" x14ac:dyDescent="0.25">
      <c r="A2689" t="s">
        <v>4500</v>
      </c>
      <c r="B2689" t="s">
        <v>4241</v>
      </c>
      <c r="C2689" t="s">
        <v>4501</v>
      </c>
    </row>
    <row r="2690" spans="1:3" x14ac:dyDescent="0.25">
      <c r="A2690" t="s">
        <v>4502</v>
      </c>
      <c r="B2690" t="s">
        <v>4241</v>
      </c>
      <c r="C2690" t="s">
        <v>4503</v>
      </c>
    </row>
    <row r="2691" spans="1:3" x14ac:dyDescent="0.25">
      <c r="A2691" t="s">
        <v>3600</v>
      </c>
      <c r="B2691" t="s">
        <v>4241</v>
      </c>
      <c r="C2691" t="s">
        <v>4504</v>
      </c>
    </row>
    <row r="2692" spans="1:3" x14ac:dyDescent="0.25">
      <c r="A2692" t="s">
        <v>1337</v>
      </c>
      <c r="B2692" t="s">
        <v>4241</v>
      </c>
      <c r="C2692" t="s">
        <v>4505</v>
      </c>
    </row>
    <row r="2693" spans="1:3" x14ac:dyDescent="0.25">
      <c r="A2693" t="s">
        <v>2336</v>
      </c>
      <c r="B2693" t="s">
        <v>4241</v>
      </c>
      <c r="C2693" t="s">
        <v>4506</v>
      </c>
    </row>
    <row r="2694" spans="1:3" x14ac:dyDescent="0.25">
      <c r="A2694" t="s">
        <v>4507</v>
      </c>
      <c r="B2694" t="s">
        <v>4241</v>
      </c>
      <c r="C2694" t="s">
        <v>4508</v>
      </c>
    </row>
    <row r="2695" spans="1:3" x14ac:dyDescent="0.25">
      <c r="A2695" t="s">
        <v>1622</v>
      </c>
      <c r="B2695" t="s">
        <v>4241</v>
      </c>
      <c r="C2695" t="s">
        <v>4509</v>
      </c>
    </row>
    <row r="2696" spans="1:3" x14ac:dyDescent="0.25">
      <c r="A2696" t="s">
        <v>1047</v>
      </c>
      <c r="B2696" t="s">
        <v>4241</v>
      </c>
      <c r="C2696" t="s">
        <v>4510</v>
      </c>
    </row>
    <row r="2697" spans="1:3" x14ac:dyDescent="0.25">
      <c r="A2697" t="s">
        <v>4511</v>
      </c>
      <c r="B2697" t="s">
        <v>4241</v>
      </c>
      <c r="C2697" t="s">
        <v>4512</v>
      </c>
    </row>
    <row r="2698" spans="1:3" x14ac:dyDescent="0.25">
      <c r="A2698" t="s">
        <v>233</v>
      </c>
      <c r="B2698" t="s">
        <v>4241</v>
      </c>
      <c r="C2698" t="s">
        <v>4513</v>
      </c>
    </row>
    <row r="2699" spans="1:3" x14ac:dyDescent="0.25">
      <c r="A2699" t="s">
        <v>3379</v>
      </c>
      <c r="B2699" t="s">
        <v>4241</v>
      </c>
      <c r="C2699" t="s">
        <v>4514</v>
      </c>
    </row>
    <row r="2700" spans="1:3" x14ac:dyDescent="0.25">
      <c r="A2700" t="s">
        <v>1774</v>
      </c>
      <c r="B2700" t="s">
        <v>4241</v>
      </c>
      <c r="C2700" t="s">
        <v>4515</v>
      </c>
    </row>
    <row r="2701" spans="1:3" x14ac:dyDescent="0.25">
      <c r="A2701" t="s">
        <v>4516</v>
      </c>
      <c r="B2701" t="s">
        <v>4241</v>
      </c>
      <c r="C2701" t="s">
        <v>4517</v>
      </c>
    </row>
    <row r="2702" spans="1:3" x14ac:dyDescent="0.25">
      <c r="A2702" t="s">
        <v>4518</v>
      </c>
      <c r="B2702" t="s">
        <v>4241</v>
      </c>
      <c r="C2702" t="s">
        <v>4519</v>
      </c>
    </row>
    <row r="2703" spans="1:3" x14ac:dyDescent="0.25">
      <c r="A2703" t="s">
        <v>4520</v>
      </c>
      <c r="B2703" t="s">
        <v>4241</v>
      </c>
      <c r="C2703" t="s">
        <v>4521</v>
      </c>
    </row>
    <row r="2704" spans="1:3" x14ac:dyDescent="0.25">
      <c r="A2704" t="s">
        <v>446</v>
      </c>
      <c r="B2704" t="s">
        <v>4241</v>
      </c>
      <c r="C2704" t="s">
        <v>4522</v>
      </c>
    </row>
    <row r="2705" spans="1:3" x14ac:dyDescent="0.25">
      <c r="A2705" t="s">
        <v>4523</v>
      </c>
      <c r="B2705" t="s">
        <v>4241</v>
      </c>
      <c r="C2705" t="s">
        <v>4524</v>
      </c>
    </row>
    <row r="2706" spans="1:3" x14ac:dyDescent="0.25">
      <c r="A2706" t="s">
        <v>4525</v>
      </c>
      <c r="B2706" t="s">
        <v>4241</v>
      </c>
      <c r="C2706" t="s">
        <v>4526</v>
      </c>
    </row>
    <row r="2707" spans="1:3" x14ac:dyDescent="0.25">
      <c r="A2707" t="s">
        <v>4527</v>
      </c>
      <c r="B2707" t="s">
        <v>4241</v>
      </c>
      <c r="C2707" t="s">
        <v>4528</v>
      </c>
    </row>
    <row r="2708" spans="1:3" x14ac:dyDescent="0.25">
      <c r="A2708" t="s">
        <v>1987</v>
      </c>
      <c r="B2708" t="s">
        <v>4241</v>
      </c>
      <c r="C2708" t="s">
        <v>4529</v>
      </c>
    </row>
    <row r="2709" spans="1:3" x14ac:dyDescent="0.25">
      <c r="A2709" t="s">
        <v>551</v>
      </c>
      <c r="B2709" t="s">
        <v>4241</v>
      </c>
      <c r="C2709" t="s">
        <v>4530</v>
      </c>
    </row>
    <row r="2710" spans="1:3" x14ac:dyDescent="0.25">
      <c r="A2710" t="s">
        <v>4531</v>
      </c>
      <c r="B2710" t="s">
        <v>4241</v>
      </c>
      <c r="C2710" t="s">
        <v>4532</v>
      </c>
    </row>
    <row r="2711" spans="1:3" x14ac:dyDescent="0.25">
      <c r="A2711" t="s">
        <v>2609</v>
      </c>
      <c r="B2711" t="s">
        <v>4241</v>
      </c>
      <c r="C2711" t="s">
        <v>4533</v>
      </c>
    </row>
    <row r="2712" spans="1:3" x14ac:dyDescent="0.25">
      <c r="A2712" t="s">
        <v>4534</v>
      </c>
      <c r="B2712" t="s">
        <v>4241</v>
      </c>
      <c r="C2712" t="s">
        <v>4535</v>
      </c>
    </row>
    <row r="2713" spans="1:3" x14ac:dyDescent="0.25">
      <c r="A2713" t="s">
        <v>4536</v>
      </c>
      <c r="B2713" t="s">
        <v>4241</v>
      </c>
      <c r="C2713" t="s">
        <v>4537</v>
      </c>
    </row>
    <row r="2714" spans="1:3" x14ac:dyDescent="0.25">
      <c r="A2714" t="s">
        <v>4538</v>
      </c>
      <c r="B2714" t="s">
        <v>4241</v>
      </c>
      <c r="C2714" t="s">
        <v>4539</v>
      </c>
    </row>
    <row r="2715" spans="1:3" x14ac:dyDescent="0.25">
      <c r="A2715" t="s">
        <v>456</v>
      </c>
      <c r="B2715" t="s">
        <v>4241</v>
      </c>
      <c r="C2715" t="s">
        <v>4540</v>
      </c>
    </row>
    <row r="2716" spans="1:3" x14ac:dyDescent="0.25">
      <c r="A2716" t="s">
        <v>3907</v>
      </c>
      <c r="B2716" t="s">
        <v>4241</v>
      </c>
      <c r="C2716" t="s">
        <v>4541</v>
      </c>
    </row>
    <row r="2717" spans="1:3" x14ac:dyDescent="0.25">
      <c r="A2717" t="s">
        <v>4542</v>
      </c>
      <c r="B2717" t="s">
        <v>4241</v>
      </c>
      <c r="C2717" t="s">
        <v>4543</v>
      </c>
    </row>
    <row r="2718" spans="1:3" x14ac:dyDescent="0.25">
      <c r="A2718" t="s">
        <v>4544</v>
      </c>
      <c r="B2718" t="s">
        <v>4241</v>
      </c>
      <c r="C2718" t="s">
        <v>4545</v>
      </c>
    </row>
    <row r="2719" spans="1:3" x14ac:dyDescent="0.25">
      <c r="A2719" t="s">
        <v>4546</v>
      </c>
      <c r="B2719" t="s">
        <v>4241</v>
      </c>
      <c r="C2719" t="s">
        <v>4547</v>
      </c>
    </row>
    <row r="2720" spans="1:3" x14ac:dyDescent="0.25">
      <c r="A2720" t="s">
        <v>4548</v>
      </c>
      <c r="B2720" t="s">
        <v>4241</v>
      </c>
      <c r="C2720" t="s">
        <v>4549</v>
      </c>
    </row>
    <row r="2721" spans="1:3" x14ac:dyDescent="0.25">
      <c r="A2721" t="s">
        <v>4550</v>
      </c>
      <c r="B2721" t="s">
        <v>4241</v>
      </c>
      <c r="C2721" t="s">
        <v>4551</v>
      </c>
    </row>
    <row r="2722" spans="1:3" x14ac:dyDescent="0.25">
      <c r="A2722" t="s">
        <v>2098</v>
      </c>
      <c r="B2722" t="s">
        <v>4241</v>
      </c>
      <c r="C2722" t="s">
        <v>4552</v>
      </c>
    </row>
    <row r="2723" spans="1:3" x14ac:dyDescent="0.25">
      <c r="A2723" t="s">
        <v>4553</v>
      </c>
      <c r="B2723" t="s">
        <v>4241</v>
      </c>
      <c r="C2723" t="s">
        <v>4554</v>
      </c>
    </row>
    <row r="2724" spans="1:3" x14ac:dyDescent="0.25">
      <c r="A2724" t="s">
        <v>4555</v>
      </c>
      <c r="B2724" t="s">
        <v>4241</v>
      </c>
      <c r="C2724" t="s">
        <v>4556</v>
      </c>
    </row>
    <row r="2725" spans="1:3" x14ac:dyDescent="0.25">
      <c r="A2725" t="s">
        <v>4095</v>
      </c>
      <c r="B2725" t="s">
        <v>4241</v>
      </c>
      <c r="C2725" t="s">
        <v>4557</v>
      </c>
    </row>
    <row r="2726" spans="1:3" x14ac:dyDescent="0.25">
      <c r="A2726" t="s">
        <v>1999</v>
      </c>
      <c r="B2726" t="s">
        <v>4241</v>
      </c>
      <c r="C2726" t="s">
        <v>4558</v>
      </c>
    </row>
    <row r="2727" spans="1:3" x14ac:dyDescent="0.25">
      <c r="A2727" t="s">
        <v>4559</v>
      </c>
      <c r="B2727" t="s">
        <v>4241</v>
      </c>
      <c r="C2727" t="s">
        <v>4560</v>
      </c>
    </row>
    <row r="2728" spans="1:3" x14ac:dyDescent="0.25">
      <c r="A2728" t="s">
        <v>4561</v>
      </c>
      <c r="B2728" t="s">
        <v>4241</v>
      </c>
      <c r="C2728" t="s">
        <v>4562</v>
      </c>
    </row>
    <row r="2729" spans="1:3" x14ac:dyDescent="0.25">
      <c r="A2729" t="s">
        <v>4563</v>
      </c>
      <c r="B2729" t="s">
        <v>4241</v>
      </c>
      <c r="C2729" t="s">
        <v>4564</v>
      </c>
    </row>
    <row r="2730" spans="1:3" x14ac:dyDescent="0.25">
      <c r="A2730" t="s">
        <v>2101</v>
      </c>
      <c r="B2730" t="s">
        <v>4241</v>
      </c>
      <c r="C2730" t="s">
        <v>4565</v>
      </c>
    </row>
    <row r="2731" spans="1:3" x14ac:dyDescent="0.25">
      <c r="A2731" t="s">
        <v>4566</v>
      </c>
      <c r="B2731" t="s">
        <v>4241</v>
      </c>
      <c r="C2731" t="s">
        <v>4567</v>
      </c>
    </row>
    <row r="2732" spans="1:3" x14ac:dyDescent="0.25">
      <c r="A2732" t="s">
        <v>4568</v>
      </c>
      <c r="B2732" t="s">
        <v>4241</v>
      </c>
      <c r="C2732" t="s">
        <v>4569</v>
      </c>
    </row>
    <row r="2733" spans="1:3" x14ac:dyDescent="0.25">
      <c r="A2733" t="s">
        <v>4570</v>
      </c>
      <c r="B2733" t="s">
        <v>4241</v>
      </c>
      <c r="C2733" t="s">
        <v>4571</v>
      </c>
    </row>
    <row r="2734" spans="1:3" x14ac:dyDescent="0.25">
      <c r="A2734" t="s">
        <v>4572</v>
      </c>
      <c r="B2734" t="s">
        <v>4241</v>
      </c>
      <c r="C2734" t="s">
        <v>4573</v>
      </c>
    </row>
    <row r="2735" spans="1:3" x14ac:dyDescent="0.25">
      <c r="A2735" t="s">
        <v>4574</v>
      </c>
      <c r="B2735" t="s">
        <v>4241</v>
      </c>
      <c r="C2735" t="s">
        <v>4575</v>
      </c>
    </row>
    <row r="2736" spans="1:3" x14ac:dyDescent="0.25">
      <c r="A2736" t="s">
        <v>4576</v>
      </c>
      <c r="B2736" t="s">
        <v>4241</v>
      </c>
      <c r="C2736" t="s">
        <v>4577</v>
      </c>
    </row>
    <row r="2737" spans="1:3" x14ac:dyDescent="0.25">
      <c r="A2737" t="s">
        <v>4578</v>
      </c>
      <c r="B2737" t="s">
        <v>4241</v>
      </c>
      <c r="C2737" t="s">
        <v>4579</v>
      </c>
    </row>
    <row r="2738" spans="1:3" x14ac:dyDescent="0.25">
      <c r="A2738" t="s">
        <v>249</v>
      </c>
      <c r="B2738" t="s">
        <v>4241</v>
      </c>
      <c r="C2738" t="s">
        <v>4580</v>
      </c>
    </row>
    <row r="2739" spans="1:3" x14ac:dyDescent="0.25">
      <c r="A2739" t="s">
        <v>1822</v>
      </c>
      <c r="B2739" t="s">
        <v>4241</v>
      </c>
      <c r="C2739" t="s">
        <v>4581</v>
      </c>
    </row>
    <row r="2740" spans="1:3" x14ac:dyDescent="0.25">
      <c r="A2740" t="s">
        <v>1824</v>
      </c>
      <c r="B2740" t="s">
        <v>4241</v>
      </c>
      <c r="C2740" t="s">
        <v>4582</v>
      </c>
    </row>
    <row r="2741" spans="1:3" x14ac:dyDescent="0.25">
      <c r="A2741" t="s">
        <v>4583</v>
      </c>
      <c r="B2741" t="s">
        <v>4241</v>
      </c>
      <c r="C2741" t="s">
        <v>4584</v>
      </c>
    </row>
    <row r="2742" spans="1:3" x14ac:dyDescent="0.25">
      <c r="A2742" t="s">
        <v>4585</v>
      </c>
      <c r="B2742" t="s">
        <v>4241</v>
      </c>
      <c r="C2742" t="s">
        <v>4586</v>
      </c>
    </row>
    <row r="2743" spans="1:3" x14ac:dyDescent="0.25">
      <c r="A2743" t="s">
        <v>1088</v>
      </c>
      <c r="B2743" t="s">
        <v>4241</v>
      </c>
      <c r="C2743" t="s">
        <v>4587</v>
      </c>
    </row>
    <row r="2744" spans="1:3" x14ac:dyDescent="0.25">
      <c r="A2744" t="s">
        <v>4588</v>
      </c>
      <c r="B2744" t="s">
        <v>4241</v>
      </c>
      <c r="C2744" t="s">
        <v>4589</v>
      </c>
    </row>
    <row r="2745" spans="1:3" x14ac:dyDescent="0.25">
      <c r="A2745" t="s">
        <v>4590</v>
      </c>
      <c r="B2745" t="s">
        <v>4241</v>
      </c>
      <c r="C2745" t="s">
        <v>4591</v>
      </c>
    </row>
    <row r="2746" spans="1:3" x14ac:dyDescent="0.25">
      <c r="A2746" t="s">
        <v>4592</v>
      </c>
      <c r="B2746" t="s">
        <v>4241</v>
      </c>
      <c r="C2746" t="s">
        <v>4593</v>
      </c>
    </row>
    <row r="2747" spans="1:3" x14ac:dyDescent="0.25">
      <c r="A2747" t="s">
        <v>4594</v>
      </c>
      <c r="B2747" t="s">
        <v>4241</v>
      </c>
      <c r="C2747" t="s">
        <v>4595</v>
      </c>
    </row>
    <row r="2748" spans="1:3" x14ac:dyDescent="0.25">
      <c r="A2748" t="s">
        <v>4596</v>
      </c>
      <c r="B2748" t="s">
        <v>4241</v>
      </c>
      <c r="C2748" t="s">
        <v>4597</v>
      </c>
    </row>
    <row r="2749" spans="1:3" x14ac:dyDescent="0.25">
      <c r="A2749" t="s">
        <v>866</v>
      </c>
      <c r="B2749" t="s">
        <v>4241</v>
      </c>
      <c r="C2749" t="s">
        <v>4598</v>
      </c>
    </row>
    <row r="2750" spans="1:3" x14ac:dyDescent="0.25">
      <c r="A2750" t="s">
        <v>1102</v>
      </c>
      <c r="B2750" t="s">
        <v>4241</v>
      </c>
      <c r="C2750" t="s">
        <v>4599</v>
      </c>
    </row>
    <row r="2751" spans="1:3" x14ac:dyDescent="0.25">
      <c r="A2751" t="s">
        <v>4600</v>
      </c>
      <c r="B2751" t="s">
        <v>4241</v>
      </c>
      <c r="C2751" t="s">
        <v>4601</v>
      </c>
    </row>
    <row r="2752" spans="1:3" x14ac:dyDescent="0.25">
      <c r="A2752" t="s">
        <v>4602</v>
      </c>
      <c r="B2752" t="s">
        <v>4241</v>
      </c>
      <c r="C2752" t="s">
        <v>4603</v>
      </c>
    </row>
    <row r="2753" spans="1:3" x14ac:dyDescent="0.25">
      <c r="A2753" t="s">
        <v>4604</v>
      </c>
      <c r="B2753" t="s">
        <v>4241</v>
      </c>
      <c r="C2753" t="s">
        <v>4605</v>
      </c>
    </row>
    <row r="2754" spans="1:3" x14ac:dyDescent="0.25">
      <c r="A2754" t="s">
        <v>4606</v>
      </c>
      <c r="B2754" t="s">
        <v>4241</v>
      </c>
      <c r="C2754" t="s">
        <v>4607</v>
      </c>
    </row>
    <row r="2755" spans="1:3" x14ac:dyDescent="0.25">
      <c r="A2755" t="s">
        <v>4608</v>
      </c>
      <c r="B2755" t="s">
        <v>4241</v>
      </c>
      <c r="C2755" t="s">
        <v>4609</v>
      </c>
    </row>
    <row r="2756" spans="1:3" x14ac:dyDescent="0.25">
      <c r="A2756" t="s">
        <v>596</v>
      </c>
      <c r="B2756" t="s">
        <v>4241</v>
      </c>
      <c r="C2756" t="s">
        <v>4610</v>
      </c>
    </row>
    <row r="2757" spans="1:3" x14ac:dyDescent="0.25">
      <c r="A2757" t="s">
        <v>4611</v>
      </c>
      <c r="B2757" t="s">
        <v>4241</v>
      </c>
      <c r="C2757" t="s">
        <v>4612</v>
      </c>
    </row>
    <row r="2758" spans="1:3" x14ac:dyDescent="0.25">
      <c r="A2758" t="s">
        <v>4613</v>
      </c>
      <c r="B2758" t="s">
        <v>4241</v>
      </c>
      <c r="C2758" t="s">
        <v>4614</v>
      </c>
    </row>
    <row r="2759" spans="1:3" x14ac:dyDescent="0.25">
      <c r="A2759" t="s">
        <v>4615</v>
      </c>
      <c r="B2759" t="s">
        <v>4241</v>
      </c>
      <c r="C2759" t="s">
        <v>4616</v>
      </c>
    </row>
    <row r="2760" spans="1:3" x14ac:dyDescent="0.25">
      <c r="A2760" t="s">
        <v>4617</v>
      </c>
      <c r="B2760" t="s">
        <v>4241</v>
      </c>
      <c r="C2760" t="s">
        <v>4618</v>
      </c>
    </row>
    <row r="2761" spans="1:3" x14ac:dyDescent="0.25">
      <c r="A2761" t="s">
        <v>4619</v>
      </c>
      <c r="B2761" t="s">
        <v>4241</v>
      </c>
      <c r="C2761" t="s">
        <v>4620</v>
      </c>
    </row>
    <row r="2762" spans="1:3" x14ac:dyDescent="0.25">
      <c r="A2762" t="s">
        <v>4621</v>
      </c>
      <c r="B2762" t="s">
        <v>4241</v>
      </c>
      <c r="C2762" t="s">
        <v>4622</v>
      </c>
    </row>
    <row r="2763" spans="1:3" x14ac:dyDescent="0.25">
      <c r="A2763" t="s">
        <v>4623</v>
      </c>
      <c r="B2763" t="s">
        <v>4241</v>
      </c>
      <c r="C2763" t="s">
        <v>4624</v>
      </c>
    </row>
    <row r="2764" spans="1:3" x14ac:dyDescent="0.25">
      <c r="A2764" t="s">
        <v>259</v>
      </c>
      <c r="B2764" t="s">
        <v>4241</v>
      </c>
      <c r="C2764" t="s">
        <v>4625</v>
      </c>
    </row>
    <row r="2765" spans="1:3" x14ac:dyDescent="0.25">
      <c r="A2765" t="s">
        <v>4626</v>
      </c>
      <c r="B2765" t="s">
        <v>4241</v>
      </c>
      <c r="C2765" t="s">
        <v>4627</v>
      </c>
    </row>
    <row r="2766" spans="1:3" x14ac:dyDescent="0.25">
      <c r="A2766" t="s">
        <v>3523</v>
      </c>
      <c r="B2766" t="s">
        <v>4241</v>
      </c>
      <c r="C2766" t="s">
        <v>4628</v>
      </c>
    </row>
    <row r="2767" spans="1:3" x14ac:dyDescent="0.25">
      <c r="A2767" t="s">
        <v>261</v>
      </c>
      <c r="B2767" t="s">
        <v>4241</v>
      </c>
      <c r="C2767" t="s">
        <v>4629</v>
      </c>
    </row>
    <row r="2768" spans="1:3" x14ac:dyDescent="0.25">
      <c r="A2768" t="s">
        <v>4630</v>
      </c>
      <c r="B2768" t="s">
        <v>4241</v>
      </c>
      <c r="C2768" t="s">
        <v>4631</v>
      </c>
    </row>
    <row r="2769" spans="1:3" x14ac:dyDescent="0.25">
      <c r="A2769" t="s">
        <v>4632</v>
      </c>
      <c r="B2769" t="s">
        <v>4241</v>
      </c>
      <c r="C2769" t="s">
        <v>4633</v>
      </c>
    </row>
    <row r="2770" spans="1:3" x14ac:dyDescent="0.25">
      <c r="A2770" t="s">
        <v>1134</v>
      </c>
      <c r="B2770" t="s">
        <v>4241</v>
      </c>
      <c r="C2770" t="s">
        <v>4634</v>
      </c>
    </row>
    <row r="2771" spans="1:3" x14ac:dyDescent="0.25">
      <c r="A2771" t="s">
        <v>1842</v>
      </c>
      <c r="B2771" t="s">
        <v>4241</v>
      </c>
      <c r="C2771" t="s">
        <v>4635</v>
      </c>
    </row>
    <row r="2772" spans="1:3" x14ac:dyDescent="0.25">
      <c r="A2772" t="s">
        <v>4636</v>
      </c>
      <c r="B2772" t="s">
        <v>4241</v>
      </c>
      <c r="C2772" t="s">
        <v>4637</v>
      </c>
    </row>
    <row r="2773" spans="1:3" x14ac:dyDescent="0.25">
      <c r="A2773" t="s">
        <v>4638</v>
      </c>
      <c r="B2773" t="s">
        <v>4241</v>
      </c>
      <c r="C2773" t="s">
        <v>4639</v>
      </c>
    </row>
    <row r="2774" spans="1:3" x14ac:dyDescent="0.25">
      <c r="A2774" t="s">
        <v>1389</v>
      </c>
      <c r="B2774" t="s">
        <v>4241</v>
      </c>
      <c r="C2774" t="s">
        <v>4640</v>
      </c>
    </row>
    <row r="2775" spans="1:3" x14ac:dyDescent="0.25">
      <c r="A2775" t="s">
        <v>1844</v>
      </c>
      <c r="B2775" t="s">
        <v>4241</v>
      </c>
      <c r="C2775" t="s">
        <v>4641</v>
      </c>
    </row>
    <row r="2776" spans="1:3" x14ac:dyDescent="0.25">
      <c r="A2776" t="s">
        <v>4642</v>
      </c>
      <c r="B2776" t="s">
        <v>4241</v>
      </c>
      <c r="C2776" t="s">
        <v>4643</v>
      </c>
    </row>
    <row r="2777" spans="1:3" x14ac:dyDescent="0.25">
      <c r="A2777" t="s">
        <v>4644</v>
      </c>
      <c r="B2777" t="s">
        <v>4241</v>
      </c>
      <c r="C2777" t="s">
        <v>4645</v>
      </c>
    </row>
    <row r="2778" spans="1:3" x14ac:dyDescent="0.25">
      <c r="A2778" t="s">
        <v>3649</v>
      </c>
      <c r="B2778" t="s">
        <v>4241</v>
      </c>
      <c r="C2778" t="s">
        <v>4646</v>
      </c>
    </row>
    <row r="2779" spans="1:3" x14ac:dyDescent="0.25">
      <c r="A2779" t="s">
        <v>4647</v>
      </c>
      <c r="B2779" t="s">
        <v>4241</v>
      </c>
      <c r="C2779" t="s">
        <v>4648</v>
      </c>
    </row>
    <row r="2780" spans="1:3" x14ac:dyDescent="0.25">
      <c r="A2780" t="s">
        <v>4649</v>
      </c>
      <c r="B2780" t="s">
        <v>4241</v>
      </c>
      <c r="C2780" t="s">
        <v>4650</v>
      </c>
    </row>
    <row r="2781" spans="1:3" x14ac:dyDescent="0.25">
      <c r="A2781" t="s">
        <v>4651</v>
      </c>
      <c r="B2781" t="s">
        <v>4241</v>
      </c>
      <c r="C2781" t="s">
        <v>4652</v>
      </c>
    </row>
    <row r="2782" spans="1:3" x14ac:dyDescent="0.25">
      <c r="A2782" t="s">
        <v>4653</v>
      </c>
      <c r="B2782" t="s">
        <v>4241</v>
      </c>
      <c r="C2782" t="s">
        <v>4654</v>
      </c>
    </row>
    <row r="2783" spans="1:3" x14ac:dyDescent="0.25">
      <c r="A2783" t="s">
        <v>3660</v>
      </c>
      <c r="B2783" t="s">
        <v>4656</v>
      </c>
      <c r="C2783" t="s">
        <v>4657</v>
      </c>
    </row>
    <row r="2784" spans="1:3" x14ac:dyDescent="0.25">
      <c r="A2784" t="s">
        <v>4658</v>
      </c>
      <c r="B2784" t="s">
        <v>4656</v>
      </c>
      <c r="C2784" t="s">
        <v>4659</v>
      </c>
    </row>
    <row r="2785" spans="1:3" x14ac:dyDescent="0.25">
      <c r="A2785" t="s">
        <v>4660</v>
      </c>
      <c r="B2785" t="s">
        <v>4656</v>
      </c>
      <c r="C2785" t="s">
        <v>4661</v>
      </c>
    </row>
    <row r="2786" spans="1:3" x14ac:dyDescent="0.25">
      <c r="A2786" t="s">
        <v>2818</v>
      </c>
      <c r="B2786" t="s">
        <v>4656</v>
      </c>
      <c r="C2786" t="s">
        <v>4662</v>
      </c>
    </row>
    <row r="2787" spans="1:3" x14ac:dyDescent="0.25">
      <c r="A2787" t="s">
        <v>4663</v>
      </c>
      <c r="B2787" t="s">
        <v>4656</v>
      </c>
      <c r="C2787" t="s">
        <v>4664</v>
      </c>
    </row>
    <row r="2788" spans="1:3" x14ac:dyDescent="0.25">
      <c r="A2788" t="s">
        <v>1568</v>
      </c>
      <c r="B2788" t="s">
        <v>4656</v>
      </c>
      <c r="C2788" t="s">
        <v>4665</v>
      </c>
    </row>
    <row r="2789" spans="1:3" x14ac:dyDescent="0.25">
      <c r="A2789" t="s">
        <v>4666</v>
      </c>
      <c r="B2789" t="s">
        <v>4656</v>
      </c>
      <c r="C2789" t="s">
        <v>4667</v>
      </c>
    </row>
    <row r="2790" spans="1:3" x14ac:dyDescent="0.25">
      <c r="A2790" t="s">
        <v>4668</v>
      </c>
      <c r="B2790" t="s">
        <v>4656</v>
      </c>
      <c r="C2790" t="s">
        <v>4669</v>
      </c>
    </row>
    <row r="2791" spans="1:3" x14ac:dyDescent="0.25">
      <c r="A2791" t="s">
        <v>656</v>
      </c>
      <c r="B2791" t="s">
        <v>4656</v>
      </c>
      <c r="C2791" t="s">
        <v>4670</v>
      </c>
    </row>
    <row r="2792" spans="1:3" x14ac:dyDescent="0.25">
      <c r="A2792" t="s">
        <v>660</v>
      </c>
      <c r="B2792" t="s">
        <v>4656</v>
      </c>
      <c r="C2792" t="s">
        <v>4671</v>
      </c>
    </row>
    <row r="2793" spans="1:3" x14ac:dyDescent="0.25">
      <c r="A2793" t="s">
        <v>2301</v>
      </c>
      <c r="B2793" t="s">
        <v>4656</v>
      </c>
      <c r="C2793" t="s">
        <v>4672</v>
      </c>
    </row>
    <row r="2794" spans="1:3" x14ac:dyDescent="0.25">
      <c r="A2794" t="s">
        <v>4673</v>
      </c>
      <c r="B2794" t="s">
        <v>4656</v>
      </c>
      <c r="C2794" t="s">
        <v>4674</v>
      </c>
    </row>
    <row r="2795" spans="1:3" x14ac:dyDescent="0.25">
      <c r="A2795" t="s">
        <v>1305</v>
      </c>
      <c r="B2795" t="s">
        <v>4656</v>
      </c>
      <c r="C2795" t="s">
        <v>4675</v>
      </c>
    </row>
    <row r="2796" spans="1:3" x14ac:dyDescent="0.25">
      <c r="A2796" t="s">
        <v>4676</v>
      </c>
      <c r="B2796" t="s">
        <v>4656</v>
      </c>
      <c r="C2796" t="s">
        <v>4677</v>
      </c>
    </row>
    <row r="2797" spans="1:3" x14ac:dyDescent="0.25">
      <c r="A2797" t="s">
        <v>235</v>
      </c>
      <c r="B2797" t="s">
        <v>4656</v>
      </c>
      <c r="C2797" t="s">
        <v>4678</v>
      </c>
    </row>
    <row r="2798" spans="1:3" x14ac:dyDescent="0.25">
      <c r="A2798" t="s">
        <v>4679</v>
      </c>
      <c r="B2798" t="s">
        <v>4656</v>
      </c>
      <c r="C2798" t="s">
        <v>4680</v>
      </c>
    </row>
    <row r="2799" spans="1:3" x14ac:dyDescent="0.25">
      <c r="A2799" t="s">
        <v>4681</v>
      </c>
      <c r="B2799" t="s">
        <v>4656</v>
      </c>
      <c r="C2799" t="s">
        <v>4682</v>
      </c>
    </row>
    <row r="2800" spans="1:3" x14ac:dyDescent="0.25">
      <c r="A2800" t="s">
        <v>4683</v>
      </c>
      <c r="B2800" t="s">
        <v>4656</v>
      </c>
      <c r="C2800" t="s">
        <v>4684</v>
      </c>
    </row>
    <row r="2801" spans="1:3" x14ac:dyDescent="0.25">
      <c r="A2801" t="s">
        <v>715</v>
      </c>
      <c r="B2801" t="s">
        <v>4656</v>
      </c>
      <c r="C2801" t="s">
        <v>4685</v>
      </c>
    </row>
    <row r="2802" spans="1:3" x14ac:dyDescent="0.25">
      <c r="A2802" t="s">
        <v>4686</v>
      </c>
      <c r="B2802" t="s">
        <v>4656</v>
      </c>
      <c r="C2802" t="s">
        <v>4687</v>
      </c>
    </row>
    <row r="2803" spans="1:3" x14ac:dyDescent="0.25">
      <c r="A2803" t="s">
        <v>475</v>
      </c>
      <c r="B2803" t="s">
        <v>4656</v>
      </c>
      <c r="C2803" t="s">
        <v>4688</v>
      </c>
    </row>
    <row r="2804" spans="1:3" x14ac:dyDescent="0.25">
      <c r="A2804" t="s">
        <v>721</v>
      </c>
      <c r="B2804" t="s">
        <v>4656</v>
      </c>
      <c r="C2804" t="s">
        <v>4689</v>
      </c>
    </row>
    <row r="2805" spans="1:3" x14ac:dyDescent="0.25">
      <c r="A2805" t="s">
        <v>4690</v>
      </c>
      <c r="B2805" t="s">
        <v>4656</v>
      </c>
      <c r="C2805" t="s">
        <v>4691</v>
      </c>
    </row>
    <row r="2806" spans="1:3" x14ac:dyDescent="0.25">
      <c r="A2806" t="s">
        <v>4692</v>
      </c>
      <c r="B2806" t="s">
        <v>4656</v>
      </c>
      <c r="C2806" t="s">
        <v>4693</v>
      </c>
    </row>
    <row r="2807" spans="1:3" x14ac:dyDescent="0.25">
      <c r="A2807" t="s">
        <v>4694</v>
      </c>
      <c r="B2807" t="s">
        <v>4656</v>
      </c>
      <c r="C2807" t="s">
        <v>4695</v>
      </c>
    </row>
    <row r="2808" spans="1:3" x14ac:dyDescent="0.25">
      <c r="A2808" t="s">
        <v>4696</v>
      </c>
      <c r="B2808" t="s">
        <v>4656</v>
      </c>
      <c r="C2808" t="s">
        <v>4697</v>
      </c>
    </row>
    <row r="2809" spans="1:3" x14ac:dyDescent="0.25">
      <c r="A2809" t="s">
        <v>261</v>
      </c>
      <c r="B2809" t="s">
        <v>4656</v>
      </c>
      <c r="C2809" t="s">
        <v>4698</v>
      </c>
    </row>
    <row r="2810" spans="1:3" x14ac:dyDescent="0.25">
      <c r="A2810" t="s">
        <v>1130</v>
      </c>
      <c r="B2810" t="s">
        <v>4656</v>
      </c>
      <c r="C2810" t="s">
        <v>4699</v>
      </c>
    </row>
    <row r="2811" spans="1:3" x14ac:dyDescent="0.25">
      <c r="A2811" t="s">
        <v>4700</v>
      </c>
      <c r="B2811" t="s">
        <v>4656</v>
      </c>
      <c r="C2811" t="s">
        <v>4701</v>
      </c>
    </row>
    <row r="2812" spans="1:3" x14ac:dyDescent="0.25">
      <c r="A2812" t="s">
        <v>4703</v>
      </c>
      <c r="B2812" t="s">
        <v>4704</v>
      </c>
      <c r="C2812" t="s">
        <v>4705</v>
      </c>
    </row>
    <row r="2813" spans="1:3" x14ac:dyDescent="0.25">
      <c r="A2813" t="s">
        <v>4706</v>
      </c>
      <c r="B2813" t="s">
        <v>4704</v>
      </c>
      <c r="C2813" t="s">
        <v>4707</v>
      </c>
    </row>
    <row r="2814" spans="1:3" x14ac:dyDescent="0.25">
      <c r="A2814" t="s">
        <v>4708</v>
      </c>
      <c r="B2814" t="s">
        <v>4704</v>
      </c>
      <c r="C2814" t="s">
        <v>4709</v>
      </c>
    </row>
    <row r="2815" spans="1:3" x14ac:dyDescent="0.25">
      <c r="A2815" t="s">
        <v>4710</v>
      </c>
      <c r="B2815" t="s">
        <v>4704</v>
      </c>
      <c r="C2815" t="s">
        <v>4711</v>
      </c>
    </row>
    <row r="2816" spans="1:3" x14ac:dyDescent="0.25">
      <c r="A2816" t="s">
        <v>2222</v>
      </c>
      <c r="B2816" t="s">
        <v>4704</v>
      </c>
      <c r="C2816" t="s">
        <v>4712</v>
      </c>
    </row>
    <row r="2817" spans="1:3" x14ac:dyDescent="0.25">
      <c r="A2817" t="s">
        <v>191</v>
      </c>
      <c r="B2817" t="s">
        <v>4704</v>
      </c>
      <c r="C2817" t="s">
        <v>4713</v>
      </c>
    </row>
    <row r="2818" spans="1:3" x14ac:dyDescent="0.25">
      <c r="A2818" t="s">
        <v>4714</v>
      </c>
      <c r="B2818" t="s">
        <v>4704</v>
      </c>
      <c r="C2818" t="s">
        <v>4715</v>
      </c>
    </row>
    <row r="2819" spans="1:3" x14ac:dyDescent="0.25">
      <c r="A2819" t="s">
        <v>4716</v>
      </c>
      <c r="B2819" t="s">
        <v>4704</v>
      </c>
      <c r="C2819" t="s">
        <v>4717</v>
      </c>
    </row>
    <row r="2820" spans="1:3" x14ac:dyDescent="0.25">
      <c r="A2820" t="s">
        <v>551</v>
      </c>
      <c r="B2820" t="s">
        <v>4704</v>
      </c>
      <c r="C2820" t="s">
        <v>4718</v>
      </c>
    </row>
    <row r="2821" spans="1:3" x14ac:dyDescent="0.25">
      <c r="A2821" t="s">
        <v>2089</v>
      </c>
      <c r="B2821" t="s">
        <v>4704</v>
      </c>
      <c r="C2821" t="s">
        <v>4719</v>
      </c>
    </row>
    <row r="2822" spans="1:3" x14ac:dyDescent="0.25">
      <c r="A2822" t="s">
        <v>4720</v>
      </c>
      <c r="B2822" t="s">
        <v>4704</v>
      </c>
      <c r="C2822" t="s">
        <v>4721</v>
      </c>
    </row>
    <row r="2823" spans="1:3" x14ac:dyDescent="0.25">
      <c r="A2823" t="s">
        <v>261</v>
      </c>
      <c r="B2823" t="s">
        <v>4704</v>
      </c>
      <c r="C2823" t="s">
        <v>4722</v>
      </c>
    </row>
    <row r="2824" spans="1:3" x14ac:dyDescent="0.25">
      <c r="A2824" t="s">
        <v>745</v>
      </c>
      <c r="B2824" t="s">
        <v>4704</v>
      </c>
      <c r="C2824" t="s">
        <v>4723</v>
      </c>
    </row>
    <row r="2825" spans="1:3" x14ac:dyDescent="0.25">
      <c r="A2825" t="s">
        <v>4724</v>
      </c>
      <c r="B2825" t="s">
        <v>4704</v>
      </c>
      <c r="C2825" t="s">
        <v>4725</v>
      </c>
    </row>
    <row r="2826" spans="1:3" x14ac:dyDescent="0.25">
      <c r="A2826" t="s">
        <v>4727</v>
      </c>
      <c r="B2826" t="s">
        <v>4728</v>
      </c>
      <c r="C2826" t="s">
        <v>4729</v>
      </c>
    </row>
    <row r="2827" spans="1:3" x14ac:dyDescent="0.25">
      <c r="A2827" t="s">
        <v>4730</v>
      </c>
      <c r="B2827" t="s">
        <v>4728</v>
      </c>
      <c r="C2827" t="s">
        <v>4731</v>
      </c>
    </row>
    <row r="2828" spans="1:3" x14ac:dyDescent="0.25">
      <c r="A2828" t="s">
        <v>3281</v>
      </c>
      <c r="B2828" t="s">
        <v>4728</v>
      </c>
      <c r="C2828" t="s">
        <v>4732</v>
      </c>
    </row>
    <row r="2829" spans="1:3" x14ac:dyDescent="0.25">
      <c r="A2829" t="s">
        <v>4733</v>
      </c>
      <c r="B2829" t="s">
        <v>4728</v>
      </c>
      <c r="C2829" t="s">
        <v>4734</v>
      </c>
    </row>
    <row r="2830" spans="1:3" x14ac:dyDescent="0.25">
      <c r="A2830" t="s">
        <v>4735</v>
      </c>
      <c r="B2830" t="s">
        <v>4728</v>
      </c>
      <c r="C2830" t="s">
        <v>4736</v>
      </c>
    </row>
    <row r="2831" spans="1:3" x14ac:dyDescent="0.25">
      <c r="A2831" t="s">
        <v>4737</v>
      </c>
      <c r="B2831" t="s">
        <v>4728</v>
      </c>
      <c r="C2831" t="s">
        <v>4738</v>
      </c>
    </row>
    <row r="2832" spans="1:3" x14ac:dyDescent="0.25">
      <c r="A2832" t="s">
        <v>4739</v>
      </c>
      <c r="B2832" t="s">
        <v>4728</v>
      </c>
      <c r="C2832" t="s">
        <v>4740</v>
      </c>
    </row>
    <row r="2833" spans="1:3" x14ac:dyDescent="0.25">
      <c r="A2833" t="s">
        <v>4741</v>
      </c>
      <c r="B2833" t="s">
        <v>4728</v>
      </c>
      <c r="C2833" t="s">
        <v>4742</v>
      </c>
    </row>
    <row r="2834" spans="1:3" x14ac:dyDescent="0.25">
      <c r="A2834" t="s">
        <v>1859</v>
      </c>
      <c r="B2834" t="s">
        <v>4728</v>
      </c>
      <c r="C2834" t="s">
        <v>4743</v>
      </c>
    </row>
    <row r="2835" spans="1:3" x14ac:dyDescent="0.25">
      <c r="A2835" t="s">
        <v>3835</v>
      </c>
      <c r="B2835" t="s">
        <v>4728</v>
      </c>
      <c r="C2835" t="s">
        <v>4744</v>
      </c>
    </row>
    <row r="2836" spans="1:3" x14ac:dyDescent="0.25">
      <c r="A2836" t="s">
        <v>4745</v>
      </c>
      <c r="B2836" t="s">
        <v>4728</v>
      </c>
      <c r="C2836" t="s">
        <v>4746</v>
      </c>
    </row>
    <row r="2837" spans="1:3" x14ac:dyDescent="0.25">
      <c r="A2837" t="s">
        <v>4747</v>
      </c>
      <c r="B2837" t="s">
        <v>4728</v>
      </c>
      <c r="C2837" t="s">
        <v>4748</v>
      </c>
    </row>
    <row r="2838" spans="1:3" x14ac:dyDescent="0.25">
      <c r="A2838" t="s">
        <v>3295</v>
      </c>
      <c r="B2838" t="s">
        <v>4728</v>
      </c>
      <c r="C2838" t="s">
        <v>4749</v>
      </c>
    </row>
    <row r="2839" spans="1:3" x14ac:dyDescent="0.25">
      <c r="A2839" t="s">
        <v>1547</v>
      </c>
      <c r="B2839" t="s">
        <v>4728</v>
      </c>
      <c r="C2839" t="s">
        <v>4750</v>
      </c>
    </row>
    <row r="2840" spans="1:3" x14ac:dyDescent="0.25">
      <c r="A2840" t="s">
        <v>4751</v>
      </c>
      <c r="B2840" t="s">
        <v>4728</v>
      </c>
      <c r="C2840" t="s">
        <v>4752</v>
      </c>
    </row>
    <row r="2841" spans="1:3" x14ac:dyDescent="0.25">
      <c r="A2841" t="s">
        <v>1882</v>
      </c>
      <c r="B2841" t="s">
        <v>4728</v>
      </c>
      <c r="C2841" t="s">
        <v>4753</v>
      </c>
    </row>
    <row r="2842" spans="1:3" x14ac:dyDescent="0.25">
      <c r="A2842" t="s">
        <v>2179</v>
      </c>
      <c r="B2842" t="s">
        <v>4728</v>
      </c>
      <c r="C2842" t="s">
        <v>4754</v>
      </c>
    </row>
    <row r="2843" spans="1:3" x14ac:dyDescent="0.25">
      <c r="A2843" t="s">
        <v>373</v>
      </c>
      <c r="B2843" t="s">
        <v>4728</v>
      </c>
      <c r="C2843" t="s">
        <v>4755</v>
      </c>
    </row>
    <row r="2844" spans="1:3" x14ac:dyDescent="0.25">
      <c r="A2844" t="s">
        <v>4756</v>
      </c>
      <c r="B2844" t="s">
        <v>4728</v>
      </c>
      <c r="C2844" t="s">
        <v>4757</v>
      </c>
    </row>
    <row r="2845" spans="1:3" x14ac:dyDescent="0.25">
      <c r="A2845" t="s">
        <v>773</v>
      </c>
      <c r="B2845" t="s">
        <v>4728</v>
      </c>
      <c r="C2845" t="s">
        <v>4758</v>
      </c>
    </row>
    <row r="2846" spans="1:3" x14ac:dyDescent="0.25">
      <c r="A2846" t="s">
        <v>3958</v>
      </c>
      <c r="B2846" t="s">
        <v>4728</v>
      </c>
      <c r="C2846" t="s">
        <v>4759</v>
      </c>
    </row>
    <row r="2847" spans="1:3" x14ac:dyDescent="0.25">
      <c r="A2847" t="s">
        <v>157</v>
      </c>
      <c r="B2847" t="s">
        <v>4728</v>
      </c>
      <c r="C2847" t="s">
        <v>4760</v>
      </c>
    </row>
    <row r="2848" spans="1:3" x14ac:dyDescent="0.25">
      <c r="A2848" t="s">
        <v>3680</v>
      </c>
      <c r="B2848" t="s">
        <v>4728</v>
      </c>
      <c r="C2848" t="s">
        <v>4761</v>
      </c>
    </row>
    <row r="2849" spans="1:3" x14ac:dyDescent="0.25">
      <c r="A2849" t="s">
        <v>4762</v>
      </c>
      <c r="B2849" t="s">
        <v>4728</v>
      </c>
      <c r="C2849" t="s">
        <v>4763</v>
      </c>
    </row>
    <row r="2850" spans="1:3" x14ac:dyDescent="0.25">
      <c r="A2850" t="s">
        <v>1265</v>
      </c>
      <c r="B2850" t="s">
        <v>4728</v>
      </c>
      <c r="C2850" t="s">
        <v>4764</v>
      </c>
    </row>
    <row r="2851" spans="1:3" x14ac:dyDescent="0.25">
      <c r="A2851" t="s">
        <v>4765</v>
      </c>
      <c r="B2851" t="s">
        <v>4728</v>
      </c>
      <c r="C2851" t="s">
        <v>4766</v>
      </c>
    </row>
    <row r="2852" spans="1:3" x14ac:dyDescent="0.25">
      <c r="A2852" t="s">
        <v>4767</v>
      </c>
      <c r="B2852" t="s">
        <v>4728</v>
      </c>
      <c r="C2852" t="s">
        <v>4768</v>
      </c>
    </row>
    <row r="2853" spans="1:3" x14ac:dyDescent="0.25">
      <c r="A2853" t="s">
        <v>2222</v>
      </c>
      <c r="B2853" t="s">
        <v>4728</v>
      </c>
      <c r="C2853" t="s">
        <v>4769</v>
      </c>
    </row>
    <row r="2854" spans="1:3" x14ac:dyDescent="0.25">
      <c r="A2854" t="s">
        <v>4770</v>
      </c>
      <c r="B2854" t="s">
        <v>4728</v>
      </c>
      <c r="C2854" t="s">
        <v>4771</v>
      </c>
    </row>
    <row r="2855" spans="1:3" x14ac:dyDescent="0.25">
      <c r="A2855" t="s">
        <v>4772</v>
      </c>
      <c r="B2855" t="s">
        <v>4728</v>
      </c>
      <c r="C2855" t="s">
        <v>4773</v>
      </c>
    </row>
    <row r="2856" spans="1:3" x14ac:dyDescent="0.25">
      <c r="A2856" t="s">
        <v>976</v>
      </c>
      <c r="B2856" t="s">
        <v>4728</v>
      </c>
      <c r="C2856" t="s">
        <v>4774</v>
      </c>
    </row>
    <row r="2857" spans="1:3" x14ac:dyDescent="0.25">
      <c r="A2857" t="s">
        <v>4775</v>
      </c>
      <c r="B2857" t="s">
        <v>4728</v>
      </c>
      <c r="C2857" t="s">
        <v>4776</v>
      </c>
    </row>
    <row r="2858" spans="1:3" x14ac:dyDescent="0.25">
      <c r="A2858" t="s">
        <v>191</v>
      </c>
      <c r="B2858" t="s">
        <v>4728</v>
      </c>
      <c r="C2858" t="s">
        <v>4777</v>
      </c>
    </row>
    <row r="2859" spans="1:3" x14ac:dyDescent="0.25">
      <c r="A2859" t="s">
        <v>2188</v>
      </c>
      <c r="B2859" t="s">
        <v>4728</v>
      </c>
      <c r="C2859" t="s">
        <v>4778</v>
      </c>
    </row>
    <row r="2860" spans="1:3" x14ac:dyDescent="0.25">
      <c r="A2860" t="s">
        <v>4154</v>
      </c>
      <c r="B2860" t="s">
        <v>4728</v>
      </c>
      <c r="C2860" t="s">
        <v>4779</v>
      </c>
    </row>
    <row r="2861" spans="1:3" x14ac:dyDescent="0.25">
      <c r="A2861" t="s">
        <v>3102</v>
      </c>
      <c r="B2861" t="s">
        <v>4728</v>
      </c>
      <c r="C2861" t="s">
        <v>4780</v>
      </c>
    </row>
    <row r="2862" spans="1:3" x14ac:dyDescent="0.25">
      <c r="A2862" t="s">
        <v>4781</v>
      </c>
      <c r="B2862" t="s">
        <v>4728</v>
      </c>
      <c r="C2862" t="s">
        <v>4782</v>
      </c>
    </row>
    <row r="2863" spans="1:3" x14ac:dyDescent="0.25">
      <c r="A2863" t="s">
        <v>1916</v>
      </c>
      <c r="B2863" t="s">
        <v>4728</v>
      </c>
      <c r="C2863" t="s">
        <v>4783</v>
      </c>
    </row>
    <row r="2864" spans="1:3" x14ac:dyDescent="0.25">
      <c r="A2864" t="s">
        <v>195</v>
      </c>
      <c r="B2864" t="s">
        <v>4728</v>
      </c>
      <c r="C2864" t="s">
        <v>4784</v>
      </c>
    </row>
    <row r="2865" spans="1:3" x14ac:dyDescent="0.25">
      <c r="A2865" t="s">
        <v>4785</v>
      </c>
      <c r="B2865" t="s">
        <v>4728</v>
      </c>
      <c r="C2865" t="s">
        <v>4786</v>
      </c>
    </row>
    <row r="2866" spans="1:3" x14ac:dyDescent="0.25">
      <c r="A2866" t="s">
        <v>3347</v>
      </c>
      <c r="B2866" t="s">
        <v>4728</v>
      </c>
      <c r="C2866" t="s">
        <v>4787</v>
      </c>
    </row>
    <row r="2867" spans="1:3" x14ac:dyDescent="0.25">
      <c r="A2867" t="s">
        <v>4788</v>
      </c>
      <c r="B2867" t="s">
        <v>4728</v>
      </c>
      <c r="C2867" t="s">
        <v>4789</v>
      </c>
    </row>
    <row r="2868" spans="1:3" x14ac:dyDescent="0.25">
      <c r="A2868" t="s">
        <v>4790</v>
      </c>
      <c r="B2868" t="s">
        <v>4728</v>
      </c>
      <c r="C2868" t="s">
        <v>4791</v>
      </c>
    </row>
    <row r="2869" spans="1:3" x14ac:dyDescent="0.25">
      <c r="A2869" t="s">
        <v>199</v>
      </c>
      <c r="B2869" t="s">
        <v>4728</v>
      </c>
      <c r="C2869" t="s">
        <v>4792</v>
      </c>
    </row>
    <row r="2870" spans="1:3" x14ac:dyDescent="0.25">
      <c r="A2870" t="s">
        <v>3579</v>
      </c>
      <c r="B2870" t="s">
        <v>4728</v>
      </c>
      <c r="C2870" t="s">
        <v>4793</v>
      </c>
    </row>
    <row r="2871" spans="1:3" x14ac:dyDescent="0.25">
      <c r="A2871" t="s">
        <v>4794</v>
      </c>
      <c r="B2871" t="s">
        <v>4728</v>
      </c>
      <c r="C2871" t="s">
        <v>4795</v>
      </c>
    </row>
    <row r="2872" spans="1:3" x14ac:dyDescent="0.25">
      <c r="A2872" t="s">
        <v>4796</v>
      </c>
      <c r="B2872" t="s">
        <v>4728</v>
      </c>
      <c r="C2872" t="s">
        <v>4797</v>
      </c>
    </row>
    <row r="2873" spans="1:3" x14ac:dyDescent="0.25">
      <c r="A2873" t="s">
        <v>4798</v>
      </c>
      <c r="B2873" t="s">
        <v>4728</v>
      </c>
      <c r="C2873" t="s">
        <v>4799</v>
      </c>
    </row>
    <row r="2874" spans="1:3" x14ac:dyDescent="0.25">
      <c r="A2874" t="s">
        <v>4800</v>
      </c>
      <c r="B2874" t="s">
        <v>4728</v>
      </c>
      <c r="C2874" t="s">
        <v>4801</v>
      </c>
    </row>
    <row r="2875" spans="1:3" x14ac:dyDescent="0.25">
      <c r="A2875" t="s">
        <v>4802</v>
      </c>
      <c r="B2875" t="s">
        <v>4728</v>
      </c>
      <c r="C2875" t="s">
        <v>4803</v>
      </c>
    </row>
    <row r="2876" spans="1:3" x14ac:dyDescent="0.25">
      <c r="A2876" t="s">
        <v>2986</v>
      </c>
      <c r="B2876" t="s">
        <v>4728</v>
      </c>
      <c r="C2876" t="s">
        <v>4804</v>
      </c>
    </row>
    <row r="2877" spans="1:3" x14ac:dyDescent="0.25">
      <c r="A2877" t="s">
        <v>213</v>
      </c>
      <c r="B2877" t="s">
        <v>4728</v>
      </c>
      <c r="C2877" t="s">
        <v>4805</v>
      </c>
    </row>
    <row r="2878" spans="1:3" x14ac:dyDescent="0.25">
      <c r="A2878" t="s">
        <v>4806</v>
      </c>
      <c r="B2878" t="s">
        <v>4728</v>
      </c>
      <c r="C2878" t="s">
        <v>4807</v>
      </c>
    </row>
    <row r="2879" spans="1:3" x14ac:dyDescent="0.25">
      <c r="A2879" t="s">
        <v>1611</v>
      </c>
      <c r="B2879" t="s">
        <v>4728</v>
      </c>
      <c r="C2879" t="s">
        <v>4808</v>
      </c>
    </row>
    <row r="2880" spans="1:3" x14ac:dyDescent="0.25">
      <c r="A2880" t="s">
        <v>4809</v>
      </c>
      <c r="B2880" t="s">
        <v>4728</v>
      </c>
      <c r="C2880" t="s">
        <v>4810</v>
      </c>
    </row>
    <row r="2881" spans="1:3" x14ac:dyDescent="0.25">
      <c r="A2881" t="s">
        <v>221</v>
      </c>
      <c r="B2881" t="s">
        <v>4728</v>
      </c>
      <c r="C2881" t="s">
        <v>4811</v>
      </c>
    </row>
    <row r="2882" spans="1:3" x14ac:dyDescent="0.25">
      <c r="A2882" t="s">
        <v>4812</v>
      </c>
      <c r="B2882" t="s">
        <v>4728</v>
      </c>
      <c r="C2882" t="s">
        <v>4813</v>
      </c>
    </row>
    <row r="2883" spans="1:3" x14ac:dyDescent="0.25">
      <c r="A2883" t="s">
        <v>3375</v>
      </c>
      <c r="B2883" t="s">
        <v>4728</v>
      </c>
      <c r="C2883" t="s">
        <v>4814</v>
      </c>
    </row>
    <row r="2884" spans="1:3" x14ac:dyDescent="0.25">
      <c r="A2884" t="s">
        <v>737</v>
      </c>
      <c r="B2884" t="s">
        <v>4728</v>
      </c>
      <c r="C2884" t="s">
        <v>4815</v>
      </c>
    </row>
    <row r="2885" spans="1:3" x14ac:dyDescent="0.25">
      <c r="A2885" t="s">
        <v>233</v>
      </c>
      <c r="B2885" t="s">
        <v>4728</v>
      </c>
      <c r="C2885" t="s">
        <v>4816</v>
      </c>
    </row>
    <row r="2886" spans="1:3" x14ac:dyDescent="0.25">
      <c r="A2886" t="s">
        <v>1982</v>
      </c>
      <c r="B2886" t="s">
        <v>4728</v>
      </c>
      <c r="C2886" t="s">
        <v>4817</v>
      </c>
    </row>
    <row r="2887" spans="1:3" x14ac:dyDescent="0.25">
      <c r="A2887" t="s">
        <v>4818</v>
      </c>
      <c r="B2887" t="s">
        <v>4728</v>
      </c>
      <c r="C2887" t="s">
        <v>4819</v>
      </c>
    </row>
    <row r="2888" spans="1:3" x14ac:dyDescent="0.25">
      <c r="A2888" t="s">
        <v>3385</v>
      </c>
      <c r="B2888" t="s">
        <v>4728</v>
      </c>
      <c r="C2888" t="s">
        <v>4820</v>
      </c>
    </row>
    <row r="2889" spans="1:3" x14ac:dyDescent="0.25">
      <c r="A2889" t="s">
        <v>3901</v>
      </c>
      <c r="B2889" t="s">
        <v>4728</v>
      </c>
      <c r="C2889" t="s">
        <v>4821</v>
      </c>
    </row>
    <row r="2890" spans="1:3" x14ac:dyDescent="0.25">
      <c r="A2890" t="s">
        <v>4822</v>
      </c>
      <c r="B2890" t="s">
        <v>4728</v>
      </c>
      <c r="C2890" t="s">
        <v>4823</v>
      </c>
    </row>
    <row r="2891" spans="1:3" x14ac:dyDescent="0.25">
      <c r="A2891" t="s">
        <v>551</v>
      </c>
      <c r="B2891" t="s">
        <v>4728</v>
      </c>
      <c r="C2891" t="s">
        <v>4824</v>
      </c>
    </row>
    <row r="2892" spans="1:3" x14ac:dyDescent="0.25">
      <c r="A2892" t="s">
        <v>1634</v>
      </c>
      <c r="B2892" t="s">
        <v>4728</v>
      </c>
      <c r="C2892" t="s">
        <v>4825</v>
      </c>
    </row>
    <row r="2893" spans="1:3" x14ac:dyDescent="0.25">
      <c r="A2893" t="s">
        <v>4826</v>
      </c>
      <c r="B2893" t="s">
        <v>4728</v>
      </c>
      <c r="C2893" t="s">
        <v>4827</v>
      </c>
    </row>
    <row r="2894" spans="1:3" x14ac:dyDescent="0.25">
      <c r="A2894" t="s">
        <v>4828</v>
      </c>
      <c r="B2894" t="s">
        <v>4728</v>
      </c>
      <c r="C2894" t="s">
        <v>4829</v>
      </c>
    </row>
    <row r="2895" spans="1:3" x14ac:dyDescent="0.25">
      <c r="A2895" t="s">
        <v>4830</v>
      </c>
      <c r="B2895" t="s">
        <v>4728</v>
      </c>
      <c r="C2895" t="s">
        <v>4831</v>
      </c>
    </row>
    <row r="2896" spans="1:3" x14ac:dyDescent="0.25">
      <c r="A2896" t="s">
        <v>4832</v>
      </c>
      <c r="B2896" t="s">
        <v>4728</v>
      </c>
      <c r="C2896" t="s">
        <v>4833</v>
      </c>
    </row>
    <row r="2897" spans="1:3" x14ac:dyDescent="0.25">
      <c r="A2897" t="s">
        <v>4834</v>
      </c>
      <c r="B2897" t="s">
        <v>4728</v>
      </c>
      <c r="C2897" t="s">
        <v>4835</v>
      </c>
    </row>
    <row r="2898" spans="1:3" x14ac:dyDescent="0.25">
      <c r="A2898" t="s">
        <v>4836</v>
      </c>
      <c r="B2898" t="s">
        <v>4728</v>
      </c>
      <c r="C2898" t="s">
        <v>4837</v>
      </c>
    </row>
    <row r="2899" spans="1:3" x14ac:dyDescent="0.25">
      <c r="A2899" t="s">
        <v>462</v>
      </c>
      <c r="B2899" t="s">
        <v>4728</v>
      </c>
      <c r="C2899" t="s">
        <v>4838</v>
      </c>
    </row>
    <row r="2900" spans="1:3" x14ac:dyDescent="0.25">
      <c r="A2900" t="s">
        <v>4839</v>
      </c>
      <c r="B2900" t="s">
        <v>4728</v>
      </c>
      <c r="C2900" t="s">
        <v>4840</v>
      </c>
    </row>
    <row r="2901" spans="1:3" x14ac:dyDescent="0.25">
      <c r="A2901" t="s">
        <v>1077</v>
      </c>
      <c r="B2901" t="s">
        <v>4728</v>
      </c>
      <c r="C2901" t="s">
        <v>4841</v>
      </c>
    </row>
    <row r="2902" spans="1:3" x14ac:dyDescent="0.25">
      <c r="A2902" t="s">
        <v>4842</v>
      </c>
      <c r="B2902" t="s">
        <v>4728</v>
      </c>
      <c r="C2902" t="s">
        <v>4843</v>
      </c>
    </row>
    <row r="2903" spans="1:3" x14ac:dyDescent="0.25">
      <c r="A2903" t="s">
        <v>4844</v>
      </c>
      <c r="B2903" t="s">
        <v>4728</v>
      </c>
      <c r="C2903" t="s">
        <v>4845</v>
      </c>
    </row>
    <row r="2904" spans="1:3" x14ac:dyDescent="0.25">
      <c r="A2904" t="s">
        <v>3084</v>
      </c>
      <c r="B2904" t="s">
        <v>4728</v>
      </c>
      <c r="C2904" t="s">
        <v>4846</v>
      </c>
    </row>
    <row r="2905" spans="1:3" x14ac:dyDescent="0.25">
      <c r="A2905" t="s">
        <v>245</v>
      </c>
      <c r="B2905" t="s">
        <v>4728</v>
      </c>
      <c r="C2905" t="s">
        <v>4847</v>
      </c>
    </row>
    <row r="2906" spans="1:3" x14ac:dyDescent="0.25">
      <c r="A2906" t="s">
        <v>469</v>
      </c>
      <c r="B2906" t="s">
        <v>4728</v>
      </c>
      <c r="C2906" t="s">
        <v>4848</v>
      </c>
    </row>
    <row r="2907" spans="1:3" x14ac:dyDescent="0.25">
      <c r="A2907" t="s">
        <v>4849</v>
      </c>
      <c r="B2907" t="s">
        <v>4728</v>
      </c>
      <c r="C2907" t="s">
        <v>4850</v>
      </c>
    </row>
    <row r="2908" spans="1:3" x14ac:dyDescent="0.25">
      <c r="A2908" t="s">
        <v>4851</v>
      </c>
      <c r="B2908" t="s">
        <v>4728</v>
      </c>
      <c r="C2908" t="s">
        <v>4852</v>
      </c>
    </row>
    <row r="2909" spans="1:3" x14ac:dyDescent="0.25">
      <c r="A2909" t="s">
        <v>4853</v>
      </c>
      <c r="B2909" t="s">
        <v>4728</v>
      </c>
      <c r="C2909" t="s">
        <v>4854</v>
      </c>
    </row>
    <row r="2910" spans="1:3" x14ac:dyDescent="0.25">
      <c r="A2910" t="s">
        <v>4855</v>
      </c>
      <c r="B2910" t="s">
        <v>4728</v>
      </c>
      <c r="C2910" t="s">
        <v>4856</v>
      </c>
    </row>
    <row r="2911" spans="1:3" x14ac:dyDescent="0.25">
      <c r="A2911" t="s">
        <v>1826</v>
      </c>
      <c r="B2911" t="s">
        <v>4728</v>
      </c>
      <c r="C2911" t="s">
        <v>4857</v>
      </c>
    </row>
    <row r="2912" spans="1:3" x14ac:dyDescent="0.25">
      <c r="A2912" t="s">
        <v>3418</v>
      </c>
      <c r="B2912" t="s">
        <v>4728</v>
      </c>
      <c r="C2912" t="s">
        <v>4858</v>
      </c>
    </row>
    <row r="2913" spans="1:3" x14ac:dyDescent="0.25">
      <c r="A2913" t="s">
        <v>753</v>
      </c>
      <c r="B2913" t="s">
        <v>4728</v>
      </c>
      <c r="C2913" t="s">
        <v>4859</v>
      </c>
    </row>
    <row r="2914" spans="1:3" x14ac:dyDescent="0.25">
      <c r="A2914" t="s">
        <v>1374</v>
      </c>
      <c r="B2914" t="s">
        <v>4728</v>
      </c>
      <c r="C2914" t="s">
        <v>4860</v>
      </c>
    </row>
    <row r="2915" spans="1:3" x14ac:dyDescent="0.25">
      <c r="A2915" t="s">
        <v>1127</v>
      </c>
      <c r="B2915" t="s">
        <v>4728</v>
      </c>
      <c r="C2915" t="s">
        <v>4861</v>
      </c>
    </row>
    <row r="2916" spans="1:3" x14ac:dyDescent="0.25">
      <c r="A2916" t="s">
        <v>261</v>
      </c>
      <c r="B2916" t="s">
        <v>4728</v>
      </c>
      <c r="C2916" t="s">
        <v>4862</v>
      </c>
    </row>
    <row r="2917" spans="1:3" x14ac:dyDescent="0.25">
      <c r="A2917" t="s">
        <v>3924</v>
      </c>
      <c r="B2917" t="s">
        <v>4728</v>
      </c>
      <c r="C2917" t="s">
        <v>4863</v>
      </c>
    </row>
    <row r="2918" spans="1:3" x14ac:dyDescent="0.25">
      <c r="A2918" t="s">
        <v>4644</v>
      </c>
      <c r="B2918" t="s">
        <v>4728</v>
      </c>
      <c r="C2918" t="s">
        <v>4864</v>
      </c>
    </row>
    <row r="2919" spans="1:3" x14ac:dyDescent="0.25">
      <c r="A2919" t="s">
        <v>4865</v>
      </c>
      <c r="B2919" t="s">
        <v>4728</v>
      </c>
      <c r="C2919" t="s">
        <v>4866</v>
      </c>
    </row>
    <row r="2920" spans="1:3" x14ac:dyDescent="0.25">
      <c r="A2920" t="s">
        <v>2167</v>
      </c>
      <c r="B2920" t="s">
        <v>4728</v>
      </c>
      <c r="C2920" t="s">
        <v>4867</v>
      </c>
    </row>
    <row r="2921" spans="1:3" x14ac:dyDescent="0.25">
      <c r="A2921" t="s">
        <v>4868</v>
      </c>
      <c r="B2921" t="s">
        <v>4728</v>
      </c>
      <c r="C2921" t="s">
        <v>4869</v>
      </c>
    </row>
    <row r="2922" spans="1:3" x14ac:dyDescent="0.25">
      <c r="A2922" t="s">
        <v>3835</v>
      </c>
      <c r="B2922" t="s">
        <v>4728</v>
      </c>
      <c r="C2922" t="s">
        <v>4870</v>
      </c>
    </row>
    <row r="2923" spans="1:3" x14ac:dyDescent="0.25">
      <c r="A2923" t="s">
        <v>2218</v>
      </c>
      <c r="B2923" t="s">
        <v>4728</v>
      </c>
      <c r="C2923" t="s">
        <v>4871</v>
      </c>
    </row>
    <row r="2924" spans="1:3" x14ac:dyDescent="0.25">
      <c r="A2924" t="s">
        <v>1549</v>
      </c>
      <c r="B2924" t="s">
        <v>4728</v>
      </c>
      <c r="C2924" t="s">
        <v>4872</v>
      </c>
    </row>
    <row r="2925" spans="1:3" x14ac:dyDescent="0.25">
      <c r="A2925" t="s">
        <v>4873</v>
      </c>
      <c r="B2925" t="s">
        <v>4728</v>
      </c>
      <c r="C2925" t="s">
        <v>4874</v>
      </c>
    </row>
    <row r="2926" spans="1:3" x14ac:dyDescent="0.25">
      <c r="A2926" t="s">
        <v>4875</v>
      </c>
      <c r="B2926" t="s">
        <v>4728</v>
      </c>
      <c r="C2926" t="s">
        <v>4876</v>
      </c>
    </row>
    <row r="2927" spans="1:3" x14ac:dyDescent="0.25">
      <c r="A2927" t="s">
        <v>4877</v>
      </c>
      <c r="B2927" t="s">
        <v>4728</v>
      </c>
      <c r="C2927" t="s">
        <v>4878</v>
      </c>
    </row>
    <row r="2928" spans="1:3" x14ac:dyDescent="0.25">
      <c r="A2928" t="s">
        <v>4879</v>
      </c>
      <c r="B2928" t="s">
        <v>4728</v>
      </c>
      <c r="C2928" t="s">
        <v>4880</v>
      </c>
    </row>
    <row r="2929" spans="1:3" x14ac:dyDescent="0.25">
      <c r="A2929" t="s">
        <v>171</v>
      </c>
      <c r="B2929" t="s">
        <v>4728</v>
      </c>
      <c r="C2929" t="s">
        <v>4881</v>
      </c>
    </row>
    <row r="2930" spans="1:3" x14ac:dyDescent="0.25">
      <c r="A2930" t="s">
        <v>4882</v>
      </c>
      <c r="B2930" t="s">
        <v>4728</v>
      </c>
      <c r="C2930" t="s">
        <v>4883</v>
      </c>
    </row>
    <row r="2931" spans="1:3" x14ac:dyDescent="0.25">
      <c r="A2931" t="s">
        <v>4884</v>
      </c>
      <c r="B2931" t="s">
        <v>4728</v>
      </c>
      <c r="C2931" t="s">
        <v>4885</v>
      </c>
    </row>
    <row r="2932" spans="1:3" x14ac:dyDescent="0.25">
      <c r="A2932" t="s">
        <v>4770</v>
      </c>
      <c r="B2932" t="s">
        <v>4728</v>
      </c>
      <c r="C2932" t="s">
        <v>4886</v>
      </c>
    </row>
    <row r="2933" spans="1:3" x14ac:dyDescent="0.25">
      <c r="A2933" t="s">
        <v>4887</v>
      </c>
      <c r="B2933" t="s">
        <v>4728</v>
      </c>
      <c r="C2933" t="s">
        <v>4888</v>
      </c>
    </row>
    <row r="2934" spans="1:3" x14ac:dyDescent="0.25">
      <c r="A2934" t="s">
        <v>191</v>
      </c>
      <c r="B2934" t="s">
        <v>4728</v>
      </c>
      <c r="C2934" t="s">
        <v>4889</v>
      </c>
    </row>
    <row r="2935" spans="1:3" x14ac:dyDescent="0.25">
      <c r="A2935" t="s">
        <v>4890</v>
      </c>
      <c r="B2935" t="s">
        <v>4728</v>
      </c>
      <c r="C2935" t="s">
        <v>4891</v>
      </c>
    </row>
    <row r="2936" spans="1:3" x14ac:dyDescent="0.25">
      <c r="A2936" t="s">
        <v>4892</v>
      </c>
      <c r="B2936" t="s">
        <v>4728</v>
      </c>
      <c r="C2936" t="s">
        <v>4893</v>
      </c>
    </row>
    <row r="2937" spans="1:3" x14ac:dyDescent="0.25">
      <c r="A2937" t="s">
        <v>3979</v>
      </c>
      <c r="B2937" t="s">
        <v>4728</v>
      </c>
      <c r="C2937" t="s">
        <v>4894</v>
      </c>
    </row>
    <row r="2938" spans="1:3" x14ac:dyDescent="0.25">
      <c r="A2938" t="s">
        <v>4895</v>
      </c>
      <c r="B2938" t="s">
        <v>4728</v>
      </c>
      <c r="C2938" t="s">
        <v>4896</v>
      </c>
    </row>
    <row r="2939" spans="1:3" x14ac:dyDescent="0.25">
      <c r="A2939" t="s">
        <v>4897</v>
      </c>
      <c r="B2939" t="s">
        <v>4728</v>
      </c>
      <c r="C2939" t="s">
        <v>4898</v>
      </c>
    </row>
    <row r="2940" spans="1:3" x14ac:dyDescent="0.25">
      <c r="A2940" t="s">
        <v>3989</v>
      </c>
      <c r="B2940" t="s">
        <v>4728</v>
      </c>
      <c r="C2940" t="s">
        <v>4899</v>
      </c>
    </row>
    <row r="2941" spans="1:3" x14ac:dyDescent="0.25">
      <c r="A2941" t="s">
        <v>4900</v>
      </c>
      <c r="B2941" t="s">
        <v>4728</v>
      </c>
      <c r="C2941" t="s">
        <v>4901</v>
      </c>
    </row>
    <row r="2942" spans="1:3" x14ac:dyDescent="0.25">
      <c r="A2942" t="s">
        <v>4902</v>
      </c>
      <c r="B2942" t="s">
        <v>4728</v>
      </c>
      <c r="C2942" t="s">
        <v>4903</v>
      </c>
    </row>
    <row r="2943" spans="1:3" x14ac:dyDescent="0.25">
      <c r="A2943" t="s">
        <v>4904</v>
      </c>
      <c r="B2943" t="s">
        <v>4728</v>
      </c>
      <c r="C2943" t="s">
        <v>4905</v>
      </c>
    </row>
    <row r="2944" spans="1:3" x14ac:dyDescent="0.25">
      <c r="A2944" t="s">
        <v>4906</v>
      </c>
      <c r="B2944" t="s">
        <v>4728</v>
      </c>
      <c r="C2944" t="s">
        <v>4907</v>
      </c>
    </row>
    <row r="2945" spans="1:3" x14ac:dyDescent="0.25">
      <c r="A2945" t="s">
        <v>4908</v>
      </c>
      <c r="B2945" t="s">
        <v>4728</v>
      </c>
      <c r="C2945" t="s">
        <v>4909</v>
      </c>
    </row>
    <row r="2946" spans="1:3" x14ac:dyDescent="0.25">
      <c r="A2946" t="s">
        <v>2232</v>
      </c>
      <c r="B2946" t="s">
        <v>4728</v>
      </c>
      <c r="C2946" t="s">
        <v>4910</v>
      </c>
    </row>
    <row r="2947" spans="1:3" x14ac:dyDescent="0.25">
      <c r="A2947" t="s">
        <v>1784</v>
      </c>
      <c r="B2947" t="s">
        <v>4728</v>
      </c>
      <c r="C2947" t="s">
        <v>4911</v>
      </c>
    </row>
    <row r="2948" spans="1:3" x14ac:dyDescent="0.25">
      <c r="A2948" t="s">
        <v>307</v>
      </c>
      <c r="B2948" t="s">
        <v>4728</v>
      </c>
      <c r="C2948" t="s">
        <v>4912</v>
      </c>
    </row>
    <row r="2949" spans="1:3" x14ac:dyDescent="0.25">
      <c r="A2949" t="s">
        <v>4913</v>
      </c>
      <c r="B2949" t="s">
        <v>4728</v>
      </c>
      <c r="C2949" t="s">
        <v>4914</v>
      </c>
    </row>
    <row r="2950" spans="1:3" x14ac:dyDescent="0.25">
      <c r="A2950" t="s">
        <v>4915</v>
      </c>
      <c r="B2950" t="s">
        <v>4728</v>
      </c>
      <c r="C2950" t="s">
        <v>4916</v>
      </c>
    </row>
    <row r="2951" spans="1:3" x14ac:dyDescent="0.25">
      <c r="A2951" t="s">
        <v>4917</v>
      </c>
      <c r="B2951" t="s">
        <v>4728</v>
      </c>
      <c r="C2951" t="s">
        <v>4918</v>
      </c>
    </row>
    <row r="2952" spans="1:3" x14ac:dyDescent="0.25">
      <c r="A2952" t="s">
        <v>1077</v>
      </c>
      <c r="B2952" t="s">
        <v>4728</v>
      </c>
      <c r="C2952" t="s">
        <v>4919</v>
      </c>
    </row>
    <row r="2953" spans="1:3" x14ac:dyDescent="0.25">
      <c r="A2953" t="s">
        <v>4842</v>
      </c>
      <c r="B2953" t="s">
        <v>4728</v>
      </c>
      <c r="C2953" t="s">
        <v>4920</v>
      </c>
    </row>
    <row r="2954" spans="1:3" x14ac:dyDescent="0.25">
      <c r="A2954" t="s">
        <v>3117</v>
      </c>
      <c r="B2954" t="s">
        <v>4728</v>
      </c>
      <c r="C2954" t="s">
        <v>4921</v>
      </c>
    </row>
    <row r="2955" spans="1:3" x14ac:dyDescent="0.25">
      <c r="A2955" t="s">
        <v>4922</v>
      </c>
      <c r="B2955" t="s">
        <v>4728</v>
      </c>
      <c r="C2955" t="s">
        <v>4923</v>
      </c>
    </row>
    <row r="2956" spans="1:3" x14ac:dyDescent="0.25">
      <c r="A2956" t="s">
        <v>4924</v>
      </c>
      <c r="B2956" t="s">
        <v>4728</v>
      </c>
      <c r="C2956" t="s">
        <v>4925</v>
      </c>
    </row>
    <row r="2957" spans="1:3" x14ac:dyDescent="0.25">
      <c r="A2957" t="s">
        <v>2235</v>
      </c>
      <c r="B2957" t="s">
        <v>4728</v>
      </c>
      <c r="C2957" t="s">
        <v>4926</v>
      </c>
    </row>
    <row r="2958" spans="1:3" x14ac:dyDescent="0.25">
      <c r="A2958" t="s">
        <v>4927</v>
      </c>
      <c r="B2958" t="s">
        <v>4728</v>
      </c>
      <c r="C2958" t="s">
        <v>4928</v>
      </c>
    </row>
    <row r="2959" spans="1:3" x14ac:dyDescent="0.25">
      <c r="A2959" t="s">
        <v>4929</v>
      </c>
      <c r="B2959" t="s">
        <v>4728</v>
      </c>
      <c r="C2959" t="s">
        <v>4930</v>
      </c>
    </row>
    <row r="2960" spans="1:3" x14ac:dyDescent="0.25">
      <c r="A2960" t="s">
        <v>4009</v>
      </c>
      <c r="B2960" t="s">
        <v>4728</v>
      </c>
      <c r="C2960" t="s">
        <v>4931</v>
      </c>
    </row>
    <row r="2961" spans="1:3" x14ac:dyDescent="0.25">
      <c r="A2961" t="s">
        <v>4932</v>
      </c>
      <c r="B2961" t="s">
        <v>4728</v>
      </c>
      <c r="C2961" t="s">
        <v>4933</v>
      </c>
    </row>
    <row r="2962" spans="1:3" x14ac:dyDescent="0.25">
      <c r="A2962" t="s">
        <v>609</v>
      </c>
      <c r="B2962" t="s">
        <v>4935</v>
      </c>
      <c r="C2962" t="s">
        <v>4936</v>
      </c>
    </row>
    <row r="2963" spans="1:3" x14ac:dyDescent="0.25">
      <c r="A2963" t="s">
        <v>4937</v>
      </c>
      <c r="B2963" t="s">
        <v>4935</v>
      </c>
      <c r="C2963" t="s">
        <v>4938</v>
      </c>
    </row>
    <row r="2964" spans="1:3" x14ac:dyDescent="0.25">
      <c r="A2964" t="s">
        <v>366</v>
      </c>
      <c r="B2964" t="s">
        <v>4935</v>
      </c>
      <c r="C2964" t="s">
        <v>4939</v>
      </c>
    </row>
    <row r="2965" spans="1:3" x14ac:dyDescent="0.25">
      <c r="A2965" t="s">
        <v>4940</v>
      </c>
      <c r="B2965" t="s">
        <v>4935</v>
      </c>
      <c r="C2965" t="s">
        <v>4941</v>
      </c>
    </row>
    <row r="2966" spans="1:3" x14ac:dyDescent="0.25">
      <c r="A2966" t="s">
        <v>4942</v>
      </c>
      <c r="B2966" t="s">
        <v>4935</v>
      </c>
      <c r="C2966" t="s">
        <v>4943</v>
      </c>
    </row>
    <row r="2967" spans="1:3" x14ac:dyDescent="0.25">
      <c r="A2967" t="s">
        <v>377</v>
      </c>
      <c r="B2967" t="s">
        <v>4935</v>
      </c>
      <c r="C2967" t="s">
        <v>4944</v>
      </c>
    </row>
    <row r="2968" spans="1:3" x14ac:dyDescent="0.25">
      <c r="A2968" t="s">
        <v>383</v>
      </c>
      <c r="B2968" t="s">
        <v>4935</v>
      </c>
      <c r="C2968" t="s">
        <v>4945</v>
      </c>
    </row>
    <row r="2969" spans="1:3" x14ac:dyDescent="0.25">
      <c r="A2969" t="s">
        <v>4946</v>
      </c>
      <c r="B2969" t="s">
        <v>4935</v>
      </c>
      <c r="C2969" t="s">
        <v>4947</v>
      </c>
    </row>
    <row r="2970" spans="1:3" x14ac:dyDescent="0.25">
      <c r="A2970" t="s">
        <v>646</v>
      </c>
      <c r="B2970" t="s">
        <v>4935</v>
      </c>
      <c r="C2970" t="s">
        <v>4948</v>
      </c>
    </row>
    <row r="2971" spans="1:3" x14ac:dyDescent="0.25">
      <c r="A2971" t="s">
        <v>4949</v>
      </c>
      <c r="B2971" t="s">
        <v>4935</v>
      </c>
      <c r="C2971" t="s">
        <v>4950</v>
      </c>
    </row>
    <row r="2972" spans="1:3" x14ac:dyDescent="0.25">
      <c r="A2972" t="s">
        <v>191</v>
      </c>
      <c r="B2972" t="s">
        <v>4935</v>
      </c>
      <c r="C2972" t="s">
        <v>4951</v>
      </c>
    </row>
    <row r="2973" spans="1:3" x14ac:dyDescent="0.25">
      <c r="A2973" t="s">
        <v>656</v>
      </c>
      <c r="B2973" t="s">
        <v>4935</v>
      </c>
      <c r="C2973" t="s">
        <v>4952</v>
      </c>
    </row>
    <row r="2974" spans="1:3" x14ac:dyDescent="0.25">
      <c r="A2974" t="s">
        <v>407</v>
      </c>
      <c r="B2974" t="s">
        <v>4935</v>
      </c>
      <c r="C2974" t="s">
        <v>4953</v>
      </c>
    </row>
    <row r="2975" spans="1:3" x14ac:dyDescent="0.25">
      <c r="A2975" t="s">
        <v>4954</v>
      </c>
      <c r="B2975" t="s">
        <v>4935</v>
      </c>
      <c r="C2975" t="s">
        <v>4955</v>
      </c>
    </row>
    <row r="2976" spans="1:3" x14ac:dyDescent="0.25">
      <c r="A2976" t="s">
        <v>4956</v>
      </c>
      <c r="B2976" t="s">
        <v>4935</v>
      </c>
      <c r="C2976" t="s">
        <v>4957</v>
      </c>
    </row>
    <row r="2977" spans="1:3" x14ac:dyDescent="0.25">
      <c r="A2977" t="s">
        <v>205</v>
      </c>
      <c r="B2977" t="s">
        <v>4935</v>
      </c>
      <c r="C2977" t="s">
        <v>4958</v>
      </c>
    </row>
    <row r="2978" spans="1:3" x14ac:dyDescent="0.25">
      <c r="A2978" t="s">
        <v>4459</v>
      </c>
      <c r="B2978" t="s">
        <v>4935</v>
      </c>
      <c r="C2978" t="s">
        <v>4959</v>
      </c>
    </row>
    <row r="2979" spans="1:3" x14ac:dyDescent="0.25">
      <c r="A2979" t="s">
        <v>4960</v>
      </c>
      <c r="B2979" t="s">
        <v>4935</v>
      </c>
      <c r="C2979" t="s">
        <v>4961</v>
      </c>
    </row>
    <row r="2980" spans="1:3" x14ac:dyDescent="0.25">
      <c r="A2980" t="s">
        <v>4962</v>
      </c>
      <c r="B2980" t="s">
        <v>4935</v>
      </c>
      <c r="C2980" t="s">
        <v>4963</v>
      </c>
    </row>
    <row r="2981" spans="1:3" x14ac:dyDescent="0.25">
      <c r="A2981" t="s">
        <v>4964</v>
      </c>
      <c r="B2981" t="s">
        <v>4935</v>
      </c>
      <c r="C2981" t="s">
        <v>4965</v>
      </c>
    </row>
    <row r="2982" spans="1:3" x14ac:dyDescent="0.25">
      <c r="A2982" t="s">
        <v>1212</v>
      </c>
      <c r="B2982" t="s">
        <v>4935</v>
      </c>
      <c r="C2982" t="s">
        <v>4966</v>
      </c>
    </row>
    <row r="2983" spans="1:3" x14ac:dyDescent="0.25">
      <c r="A2983" t="s">
        <v>428</v>
      </c>
      <c r="B2983" t="s">
        <v>4935</v>
      </c>
      <c r="C2983" t="s">
        <v>4967</v>
      </c>
    </row>
    <row r="2984" spans="1:3" x14ac:dyDescent="0.25">
      <c r="A2984" t="s">
        <v>1333</v>
      </c>
      <c r="B2984" t="s">
        <v>4935</v>
      </c>
      <c r="C2984" t="s">
        <v>4968</v>
      </c>
    </row>
    <row r="2985" spans="1:3" x14ac:dyDescent="0.25">
      <c r="A2985" t="s">
        <v>4969</v>
      </c>
      <c r="B2985" t="s">
        <v>4935</v>
      </c>
      <c r="C2985" t="s">
        <v>4970</v>
      </c>
    </row>
    <row r="2986" spans="1:3" x14ac:dyDescent="0.25">
      <c r="A2986" t="s">
        <v>4971</v>
      </c>
      <c r="B2986" t="s">
        <v>4935</v>
      </c>
      <c r="C2986" t="s">
        <v>4972</v>
      </c>
    </row>
    <row r="2987" spans="1:3" x14ac:dyDescent="0.25">
      <c r="A2987" t="s">
        <v>4973</v>
      </c>
      <c r="B2987" t="s">
        <v>4935</v>
      </c>
      <c r="C2987" t="s">
        <v>4974</v>
      </c>
    </row>
    <row r="2988" spans="1:3" x14ac:dyDescent="0.25">
      <c r="A2988" t="s">
        <v>1066</v>
      </c>
      <c r="B2988" t="s">
        <v>4935</v>
      </c>
      <c r="C2988" t="s">
        <v>4975</v>
      </c>
    </row>
    <row r="2989" spans="1:3" x14ac:dyDescent="0.25">
      <c r="A2989" t="s">
        <v>715</v>
      </c>
      <c r="B2989" t="s">
        <v>4935</v>
      </c>
      <c r="C2989" t="s">
        <v>4976</v>
      </c>
    </row>
    <row r="2990" spans="1:3" x14ac:dyDescent="0.25">
      <c r="A2990" t="s">
        <v>4977</v>
      </c>
      <c r="B2990" t="s">
        <v>4935</v>
      </c>
      <c r="C2990" t="s">
        <v>4978</v>
      </c>
    </row>
    <row r="2991" spans="1:3" x14ac:dyDescent="0.25">
      <c r="A2991" t="s">
        <v>4979</v>
      </c>
      <c r="B2991" t="s">
        <v>4935</v>
      </c>
      <c r="C2991" t="s">
        <v>4980</v>
      </c>
    </row>
    <row r="2992" spans="1:3" x14ac:dyDescent="0.25">
      <c r="A2992" t="s">
        <v>4981</v>
      </c>
      <c r="B2992" t="s">
        <v>4935</v>
      </c>
      <c r="C2992" t="s">
        <v>4982</v>
      </c>
    </row>
    <row r="2993" spans="1:3" x14ac:dyDescent="0.25">
      <c r="A2993" t="s">
        <v>4983</v>
      </c>
      <c r="B2993" t="s">
        <v>4935</v>
      </c>
      <c r="C2993" t="s">
        <v>4984</v>
      </c>
    </row>
    <row r="2994" spans="1:3" x14ac:dyDescent="0.25">
      <c r="A2994" t="s">
        <v>1830</v>
      </c>
      <c r="B2994" t="s">
        <v>4935</v>
      </c>
      <c r="C2994" t="s">
        <v>4985</v>
      </c>
    </row>
    <row r="2995" spans="1:3" x14ac:dyDescent="0.25">
      <c r="A2995" t="s">
        <v>3032</v>
      </c>
      <c r="B2995" t="s">
        <v>4935</v>
      </c>
      <c r="C2995" t="s">
        <v>4986</v>
      </c>
    </row>
    <row r="2996" spans="1:3" x14ac:dyDescent="0.25">
      <c r="A2996" t="s">
        <v>4987</v>
      </c>
      <c r="B2996" t="s">
        <v>4935</v>
      </c>
      <c r="C2996" t="s">
        <v>4988</v>
      </c>
    </row>
    <row r="2997" spans="1:3" x14ac:dyDescent="0.25">
      <c r="A2997" t="s">
        <v>4989</v>
      </c>
      <c r="B2997" t="s">
        <v>4935</v>
      </c>
      <c r="C2997" t="s">
        <v>4990</v>
      </c>
    </row>
    <row r="2998" spans="1:3" x14ac:dyDescent="0.25">
      <c r="A2998" t="s">
        <v>4991</v>
      </c>
      <c r="B2998" t="s">
        <v>4935</v>
      </c>
      <c r="C2998" t="s">
        <v>4992</v>
      </c>
    </row>
    <row r="2999" spans="1:3" x14ac:dyDescent="0.25">
      <c r="A2999" t="s">
        <v>4993</v>
      </c>
      <c r="B2999" t="s">
        <v>4935</v>
      </c>
      <c r="C2999" t="s">
        <v>4994</v>
      </c>
    </row>
    <row r="3000" spans="1:3" x14ac:dyDescent="0.25">
      <c r="A3000" t="s">
        <v>4995</v>
      </c>
      <c r="B3000" t="s">
        <v>4935</v>
      </c>
      <c r="C3000" t="s">
        <v>4996</v>
      </c>
    </row>
    <row r="3001" spans="1:3" x14ac:dyDescent="0.25">
      <c r="A3001" t="s">
        <v>137</v>
      </c>
      <c r="B3001" t="s">
        <v>4998</v>
      </c>
      <c r="C3001" t="s">
        <v>4999</v>
      </c>
    </row>
    <row r="3002" spans="1:3" x14ac:dyDescent="0.25">
      <c r="A3002" t="s">
        <v>3951</v>
      </c>
      <c r="B3002" t="s">
        <v>4998</v>
      </c>
      <c r="C3002" t="s">
        <v>5000</v>
      </c>
    </row>
    <row r="3003" spans="1:3" x14ac:dyDescent="0.25">
      <c r="A3003" t="s">
        <v>368</v>
      </c>
      <c r="B3003" t="s">
        <v>4998</v>
      </c>
      <c r="C3003" t="s">
        <v>5001</v>
      </c>
    </row>
    <row r="3004" spans="1:3" x14ac:dyDescent="0.25">
      <c r="A3004" t="s">
        <v>5002</v>
      </c>
      <c r="B3004" t="s">
        <v>4998</v>
      </c>
      <c r="C3004" t="s">
        <v>5003</v>
      </c>
    </row>
    <row r="3005" spans="1:3" x14ac:dyDescent="0.25">
      <c r="A3005" t="s">
        <v>5004</v>
      </c>
      <c r="B3005" t="s">
        <v>4998</v>
      </c>
      <c r="C3005" t="s">
        <v>5005</v>
      </c>
    </row>
    <row r="3006" spans="1:3" x14ac:dyDescent="0.25">
      <c r="A3006" t="s">
        <v>5006</v>
      </c>
      <c r="B3006" t="s">
        <v>4998</v>
      </c>
      <c r="C3006" t="s">
        <v>5007</v>
      </c>
    </row>
    <row r="3007" spans="1:3" x14ac:dyDescent="0.25">
      <c r="A3007" t="s">
        <v>147</v>
      </c>
      <c r="B3007" t="s">
        <v>4998</v>
      </c>
      <c r="C3007" t="s">
        <v>5008</v>
      </c>
    </row>
    <row r="3008" spans="1:3" x14ac:dyDescent="0.25">
      <c r="A3008" t="s">
        <v>159</v>
      </c>
      <c r="B3008" t="s">
        <v>4998</v>
      </c>
      <c r="C3008" t="s">
        <v>5009</v>
      </c>
    </row>
    <row r="3009" spans="1:3" x14ac:dyDescent="0.25">
      <c r="A3009" t="s">
        <v>5010</v>
      </c>
      <c r="B3009" t="s">
        <v>4998</v>
      </c>
      <c r="C3009" t="s">
        <v>5011</v>
      </c>
    </row>
    <row r="3010" spans="1:3" x14ac:dyDescent="0.25">
      <c r="A3010" t="s">
        <v>189</v>
      </c>
      <c r="B3010" t="s">
        <v>4998</v>
      </c>
      <c r="C3010" t="s">
        <v>5012</v>
      </c>
    </row>
    <row r="3011" spans="1:3" x14ac:dyDescent="0.25">
      <c r="A3011" t="s">
        <v>982</v>
      </c>
      <c r="B3011" t="s">
        <v>4998</v>
      </c>
      <c r="C3011" t="s">
        <v>5013</v>
      </c>
    </row>
    <row r="3012" spans="1:3" x14ac:dyDescent="0.25">
      <c r="A3012" t="s">
        <v>407</v>
      </c>
      <c r="B3012" t="s">
        <v>4998</v>
      </c>
      <c r="C3012" t="s">
        <v>5014</v>
      </c>
    </row>
    <row r="3013" spans="1:3" x14ac:dyDescent="0.25">
      <c r="A3013" t="s">
        <v>5015</v>
      </c>
      <c r="B3013" t="s">
        <v>4998</v>
      </c>
      <c r="C3013" t="s">
        <v>5016</v>
      </c>
    </row>
    <row r="3014" spans="1:3" x14ac:dyDescent="0.25">
      <c r="A3014" t="s">
        <v>2227</v>
      </c>
      <c r="B3014" t="s">
        <v>4998</v>
      </c>
      <c r="C3014" t="s">
        <v>5017</v>
      </c>
    </row>
    <row r="3015" spans="1:3" x14ac:dyDescent="0.25">
      <c r="A3015" t="s">
        <v>999</v>
      </c>
      <c r="B3015" t="s">
        <v>4998</v>
      </c>
      <c r="C3015" t="s">
        <v>5018</v>
      </c>
    </row>
    <row r="3016" spans="1:3" x14ac:dyDescent="0.25">
      <c r="A3016" t="s">
        <v>5019</v>
      </c>
      <c r="B3016" t="s">
        <v>4998</v>
      </c>
      <c r="C3016" t="s">
        <v>5020</v>
      </c>
    </row>
    <row r="3017" spans="1:3" x14ac:dyDescent="0.25">
      <c r="A3017" t="s">
        <v>1437</v>
      </c>
      <c r="B3017" t="s">
        <v>4998</v>
      </c>
      <c r="C3017" t="s">
        <v>5021</v>
      </c>
    </row>
    <row r="3018" spans="1:3" x14ac:dyDescent="0.25">
      <c r="A3018" t="s">
        <v>203</v>
      </c>
      <c r="B3018" t="s">
        <v>4998</v>
      </c>
      <c r="C3018" t="s">
        <v>5022</v>
      </c>
    </row>
    <row r="3019" spans="1:3" x14ac:dyDescent="0.25">
      <c r="A3019" t="s">
        <v>205</v>
      </c>
      <c r="B3019" t="s">
        <v>4998</v>
      </c>
      <c r="C3019" t="s">
        <v>5023</v>
      </c>
    </row>
    <row r="3020" spans="1:3" x14ac:dyDescent="0.25">
      <c r="A3020" t="s">
        <v>5024</v>
      </c>
      <c r="B3020" t="s">
        <v>4998</v>
      </c>
      <c r="C3020" t="s">
        <v>5025</v>
      </c>
    </row>
    <row r="3021" spans="1:3" x14ac:dyDescent="0.25">
      <c r="A3021" t="s">
        <v>1212</v>
      </c>
      <c r="B3021" t="s">
        <v>4998</v>
      </c>
      <c r="C3021" t="s">
        <v>5026</v>
      </c>
    </row>
    <row r="3022" spans="1:3" x14ac:dyDescent="0.25">
      <c r="A3022" t="s">
        <v>428</v>
      </c>
      <c r="B3022" t="s">
        <v>4998</v>
      </c>
      <c r="C3022" t="s">
        <v>5027</v>
      </c>
    </row>
    <row r="3023" spans="1:3" x14ac:dyDescent="0.25">
      <c r="A3023" t="s">
        <v>432</v>
      </c>
      <c r="B3023" t="s">
        <v>4998</v>
      </c>
      <c r="C3023" t="s">
        <v>5028</v>
      </c>
    </row>
    <row r="3024" spans="1:3" x14ac:dyDescent="0.25">
      <c r="A3024" t="s">
        <v>3370</v>
      </c>
      <c r="B3024" t="s">
        <v>4998</v>
      </c>
      <c r="C3024" t="s">
        <v>5029</v>
      </c>
    </row>
    <row r="3025" spans="1:3" x14ac:dyDescent="0.25">
      <c r="A3025" t="s">
        <v>225</v>
      </c>
      <c r="B3025" t="s">
        <v>4998</v>
      </c>
      <c r="C3025" t="s">
        <v>5030</v>
      </c>
    </row>
    <row r="3026" spans="1:3" x14ac:dyDescent="0.25">
      <c r="A3026" t="s">
        <v>227</v>
      </c>
      <c r="B3026" t="s">
        <v>4998</v>
      </c>
      <c r="C3026" t="s">
        <v>5031</v>
      </c>
    </row>
    <row r="3027" spans="1:3" x14ac:dyDescent="0.25">
      <c r="A3027" t="s">
        <v>1333</v>
      </c>
      <c r="B3027" t="s">
        <v>4998</v>
      </c>
      <c r="C3027" t="s">
        <v>5032</v>
      </c>
    </row>
    <row r="3028" spans="1:3" x14ac:dyDescent="0.25">
      <c r="A3028" t="s">
        <v>1339</v>
      </c>
      <c r="B3028" t="s">
        <v>4998</v>
      </c>
      <c r="C3028" t="s">
        <v>5033</v>
      </c>
    </row>
    <row r="3029" spans="1:3" x14ac:dyDescent="0.25">
      <c r="A3029" t="s">
        <v>685</v>
      </c>
      <c r="B3029" t="s">
        <v>4998</v>
      </c>
      <c r="C3029" t="s">
        <v>5034</v>
      </c>
    </row>
    <row r="3030" spans="1:3" x14ac:dyDescent="0.25">
      <c r="A3030" t="s">
        <v>5035</v>
      </c>
      <c r="B3030" t="s">
        <v>4998</v>
      </c>
      <c r="C3030" t="s">
        <v>5036</v>
      </c>
    </row>
    <row r="3031" spans="1:3" x14ac:dyDescent="0.25">
      <c r="A3031" t="s">
        <v>5037</v>
      </c>
      <c r="B3031" t="s">
        <v>4998</v>
      </c>
      <c r="C3031" t="s">
        <v>5038</v>
      </c>
    </row>
    <row r="3032" spans="1:3" x14ac:dyDescent="0.25">
      <c r="A3032" t="s">
        <v>231</v>
      </c>
      <c r="B3032" t="s">
        <v>4998</v>
      </c>
      <c r="C3032" t="s">
        <v>5039</v>
      </c>
    </row>
    <row r="3033" spans="1:3" x14ac:dyDescent="0.25">
      <c r="A3033" t="s">
        <v>235</v>
      </c>
      <c r="B3033" t="s">
        <v>4998</v>
      </c>
      <c r="C3033" t="s">
        <v>5040</v>
      </c>
    </row>
    <row r="3034" spans="1:3" x14ac:dyDescent="0.25">
      <c r="A3034" t="s">
        <v>1984</v>
      </c>
      <c r="B3034" t="s">
        <v>4998</v>
      </c>
      <c r="C3034" t="s">
        <v>5041</v>
      </c>
    </row>
    <row r="3035" spans="1:3" x14ac:dyDescent="0.25">
      <c r="A3035" t="s">
        <v>1474</v>
      </c>
      <c r="B3035" t="s">
        <v>4998</v>
      </c>
      <c r="C3035" t="s">
        <v>5042</v>
      </c>
    </row>
    <row r="3036" spans="1:3" x14ac:dyDescent="0.25">
      <c r="A3036" t="s">
        <v>1992</v>
      </c>
      <c r="B3036" t="s">
        <v>4998</v>
      </c>
      <c r="C3036" t="s">
        <v>5043</v>
      </c>
    </row>
    <row r="3037" spans="1:3" x14ac:dyDescent="0.25">
      <c r="A3037" t="s">
        <v>5044</v>
      </c>
      <c r="B3037" t="s">
        <v>4998</v>
      </c>
      <c r="C3037" t="s">
        <v>5045</v>
      </c>
    </row>
    <row r="3038" spans="1:3" x14ac:dyDescent="0.25">
      <c r="A3038" t="s">
        <v>1640</v>
      </c>
      <c r="B3038" t="s">
        <v>4998</v>
      </c>
      <c r="C3038" t="s">
        <v>5046</v>
      </c>
    </row>
    <row r="3039" spans="1:3" x14ac:dyDescent="0.25">
      <c r="A3039" t="s">
        <v>5047</v>
      </c>
      <c r="B3039" t="s">
        <v>4998</v>
      </c>
      <c r="C3039" t="s">
        <v>5048</v>
      </c>
    </row>
    <row r="3040" spans="1:3" x14ac:dyDescent="0.25">
      <c r="A3040" t="s">
        <v>851</v>
      </c>
      <c r="B3040" t="s">
        <v>4998</v>
      </c>
      <c r="C3040" t="s">
        <v>5049</v>
      </c>
    </row>
    <row r="3041" spans="1:3" x14ac:dyDescent="0.25">
      <c r="A3041" t="s">
        <v>5050</v>
      </c>
      <c r="B3041" t="s">
        <v>4998</v>
      </c>
      <c r="C3041" t="s">
        <v>5051</v>
      </c>
    </row>
    <row r="3042" spans="1:3" x14ac:dyDescent="0.25">
      <c r="A3042" t="s">
        <v>243</v>
      </c>
      <c r="B3042" t="s">
        <v>4998</v>
      </c>
      <c r="C3042" t="s">
        <v>5052</v>
      </c>
    </row>
    <row r="3043" spans="1:3" x14ac:dyDescent="0.25">
      <c r="A3043" t="s">
        <v>5053</v>
      </c>
      <c r="B3043" t="s">
        <v>4998</v>
      </c>
      <c r="C3043" t="s">
        <v>5054</v>
      </c>
    </row>
    <row r="3044" spans="1:3" x14ac:dyDescent="0.25">
      <c r="A3044" t="s">
        <v>4212</v>
      </c>
      <c r="B3044" t="s">
        <v>4998</v>
      </c>
      <c r="C3044" t="s">
        <v>5055</v>
      </c>
    </row>
    <row r="3045" spans="1:3" x14ac:dyDescent="0.25">
      <c r="A3045" t="s">
        <v>5056</v>
      </c>
      <c r="B3045" t="s">
        <v>4998</v>
      </c>
      <c r="C3045" t="s">
        <v>5057</v>
      </c>
    </row>
    <row r="3046" spans="1:3" x14ac:dyDescent="0.25">
      <c r="A3046" t="s">
        <v>866</v>
      </c>
      <c r="B3046" t="s">
        <v>4998</v>
      </c>
      <c r="C3046" t="s">
        <v>5058</v>
      </c>
    </row>
    <row r="3047" spans="1:3" x14ac:dyDescent="0.25">
      <c r="A3047" t="s">
        <v>5059</v>
      </c>
      <c r="B3047" t="s">
        <v>4998</v>
      </c>
      <c r="C3047" t="s">
        <v>5060</v>
      </c>
    </row>
    <row r="3048" spans="1:3" x14ac:dyDescent="0.25">
      <c r="A3048" t="s">
        <v>4611</v>
      </c>
      <c r="B3048" t="s">
        <v>4998</v>
      </c>
      <c r="C3048" t="s">
        <v>5061</v>
      </c>
    </row>
    <row r="3049" spans="1:3" x14ac:dyDescent="0.25">
      <c r="A3049" t="s">
        <v>4613</v>
      </c>
      <c r="B3049" t="s">
        <v>4998</v>
      </c>
      <c r="C3049" t="s">
        <v>5062</v>
      </c>
    </row>
    <row r="3050" spans="1:3" x14ac:dyDescent="0.25">
      <c r="A3050" t="s">
        <v>1130</v>
      </c>
      <c r="B3050" t="s">
        <v>4998</v>
      </c>
      <c r="C3050" t="s">
        <v>5063</v>
      </c>
    </row>
    <row r="3051" spans="1:3" x14ac:dyDescent="0.25">
      <c r="A3051" t="s">
        <v>1132</v>
      </c>
      <c r="B3051" t="s">
        <v>4998</v>
      </c>
      <c r="C3051" t="s">
        <v>5064</v>
      </c>
    </row>
    <row r="3052" spans="1:3" x14ac:dyDescent="0.25">
      <c r="A3052" t="s">
        <v>5065</v>
      </c>
      <c r="B3052" t="s">
        <v>4998</v>
      </c>
      <c r="C3052" t="s">
        <v>5066</v>
      </c>
    </row>
    <row r="3053" spans="1:3" x14ac:dyDescent="0.25">
      <c r="A3053" t="s">
        <v>5067</v>
      </c>
      <c r="B3053" t="s">
        <v>4998</v>
      </c>
      <c r="C3053" t="s">
        <v>5068</v>
      </c>
    </row>
    <row r="3054" spans="1:3" x14ac:dyDescent="0.25">
      <c r="A3054" t="s">
        <v>3649</v>
      </c>
      <c r="B3054" t="s">
        <v>4998</v>
      </c>
      <c r="C3054" t="s">
        <v>5069</v>
      </c>
    </row>
    <row r="3055" spans="1:3" x14ac:dyDescent="0.25">
      <c r="A3055" t="s">
        <v>3272</v>
      </c>
      <c r="B3055" t="s">
        <v>4998</v>
      </c>
      <c r="C3055" t="s">
        <v>5070</v>
      </c>
    </row>
    <row r="3056" spans="1:3" x14ac:dyDescent="0.25">
      <c r="A3056" t="s">
        <v>609</v>
      </c>
      <c r="B3056" t="s">
        <v>5072</v>
      </c>
      <c r="C3056" t="s">
        <v>5073</v>
      </c>
    </row>
    <row r="3057" spans="1:3" x14ac:dyDescent="0.25">
      <c r="A3057" t="s">
        <v>3532</v>
      </c>
      <c r="B3057" t="s">
        <v>5072</v>
      </c>
      <c r="C3057" t="s">
        <v>5074</v>
      </c>
    </row>
    <row r="3058" spans="1:3" x14ac:dyDescent="0.25">
      <c r="A3058" t="s">
        <v>5075</v>
      </c>
      <c r="B3058" t="s">
        <v>5072</v>
      </c>
      <c r="C3058" t="s">
        <v>5076</v>
      </c>
    </row>
    <row r="3059" spans="1:3" x14ac:dyDescent="0.25">
      <c r="A3059" t="s">
        <v>5077</v>
      </c>
      <c r="B3059" t="s">
        <v>5072</v>
      </c>
      <c r="C3059" t="s">
        <v>5078</v>
      </c>
    </row>
    <row r="3060" spans="1:3" x14ac:dyDescent="0.25">
      <c r="A3060" t="s">
        <v>1245</v>
      </c>
      <c r="B3060" t="s">
        <v>5072</v>
      </c>
      <c r="C3060" t="s">
        <v>5079</v>
      </c>
    </row>
    <row r="3061" spans="1:3" x14ac:dyDescent="0.25">
      <c r="A3061" t="s">
        <v>2920</v>
      </c>
      <c r="B3061" t="s">
        <v>5072</v>
      </c>
      <c r="C3061" t="s">
        <v>5080</v>
      </c>
    </row>
    <row r="3062" spans="1:3" x14ac:dyDescent="0.25">
      <c r="A3062" t="s">
        <v>5081</v>
      </c>
      <c r="B3062" t="s">
        <v>5072</v>
      </c>
      <c r="C3062" t="s">
        <v>5082</v>
      </c>
    </row>
    <row r="3063" spans="1:3" x14ac:dyDescent="0.25">
      <c r="A3063" t="s">
        <v>5083</v>
      </c>
      <c r="B3063" t="s">
        <v>5072</v>
      </c>
      <c r="C3063" t="s">
        <v>5084</v>
      </c>
    </row>
    <row r="3064" spans="1:3" x14ac:dyDescent="0.25">
      <c r="A3064" t="s">
        <v>2268</v>
      </c>
      <c r="B3064" t="s">
        <v>5072</v>
      </c>
      <c r="C3064" t="s">
        <v>5085</v>
      </c>
    </row>
    <row r="3065" spans="1:3" x14ac:dyDescent="0.25">
      <c r="A3065" t="s">
        <v>377</v>
      </c>
      <c r="B3065" t="s">
        <v>5072</v>
      </c>
      <c r="C3065" t="s">
        <v>5086</v>
      </c>
    </row>
    <row r="3066" spans="1:3" x14ac:dyDescent="0.25">
      <c r="A3066" t="s">
        <v>383</v>
      </c>
      <c r="B3066" t="s">
        <v>5072</v>
      </c>
      <c r="C3066" t="s">
        <v>5087</v>
      </c>
    </row>
    <row r="3067" spans="1:3" x14ac:dyDescent="0.25">
      <c r="A3067" t="s">
        <v>389</v>
      </c>
      <c r="B3067" t="s">
        <v>5072</v>
      </c>
      <c r="C3067" t="s">
        <v>5088</v>
      </c>
    </row>
    <row r="3068" spans="1:3" x14ac:dyDescent="0.25">
      <c r="A3068" t="s">
        <v>5089</v>
      </c>
      <c r="B3068" t="s">
        <v>5072</v>
      </c>
      <c r="C3068" t="s">
        <v>5090</v>
      </c>
    </row>
    <row r="3069" spans="1:3" x14ac:dyDescent="0.25">
      <c r="A3069" t="s">
        <v>955</v>
      </c>
      <c r="B3069" t="s">
        <v>5072</v>
      </c>
      <c r="C3069" t="s">
        <v>5091</v>
      </c>
    </row>
    <row r="3070" spans="1:3" x14ac:dyDescent="0.25">
      <c r="A3070" t="s">
        <v>5092</v>
      </c>
      <c r="B3070" t="s">
        <v>5072</v>
      </c>
      <c r="C3070" t="s">
        <v>5093</v>
      </c>
    </row>
    <row r="3071" spans="1:3" x14ac:dyDescent="0.25">
      <c r="A3071" t="s">
        <v>646</v>
      </c>
      <c r="B3071" t="s">
        <v>5072</v>
      </c>
      <c r="C3071" t="s">
        <v>5094</v>
      </c>
    </row>
    <row r="3072" spans="1:3" x14ac:dyDescent="0.25">
      <c r="A3072" t="s">
        <v>3465</v>
      </c>
      <c r="B3072" t="s">
        <v>5072</v>
      </c>
      <c r="C3072" t="s">
        <v>5095</v>
      </c>
    </row>
    <row r="3073" spans="1:3" x14ac:dyDescent="0.25">
      <c r="A3073" t="s">
        <v>5096</v>
      </c>
      <c r="B3073" t="s">
        <v>5072</v>
      </c>
      <c r="C3073" t="s">
        <v>5097</v>
      </c>
    </row>
    <row r="3074" spans="1:3" x14ac:dyDescent="0.25">
      <c r="A3074" t="s">
        <v>3972</v>
      </c>
      <c r="B3074" t="s">
        <v>5072</v>
      </c>
      <c r="C3074" t="s">
        <v>5098</v>
      </c>
    </row>
    <row r="3075" spans="1:3" x14ac:dyDescent="0.25">
      <c r="A3075" t="s">
        <v>5099</v>
      </c>
      <c r="B3075" t="s">
        <v>5072</v>
      </c>
      <c r="C3075" t="s">
        <v>5100</v>
      </c>
    </row>
    <row r="3076" spans="1:3" x14ac:dyDescent="0.25">
      <c r="A3076" t="s">
        <v>3867</v>
      </c>
      <c r="B3076" t="s">
        <v>5072</v>
      </c>
      <c r="C3076" t="s">
        <v>5101</v>
      </c>
    </row>
    <row r="3077" spans="1:3" x14ac:dyDescent="0.25">
      <c r="A3077" t="s">
        <v>407</v>
      </c>
      <c r="B3077" t="s">
        <v>5072</v>
      </c>
      <c r="C3077" t="s">
        <v>5102</v>
      </c>
    </row>
    <row r="3078" spans="1:3" x14ac:dyDescent="0.25">
      <c r="A3078" t="s">
        <v>1918</v>
      </c>
      <c r="B3078" t="s">
        <v>5072</v>
      </c>
      <c r="C3078" t="s">
        <v>5103</v>
      </c>
    </row>
    <row r="3079" spans="1:3" x14ac:dyDescent="0.25">
      <c r="A3079" t="s">
        <v>5104</v>
      </c>
      <c r="B3079" t="s">
        <v>5072</v>
      </c>
      <c r="C3079" t="s">
        <v>5105</v>
      </c>
    </row>
    <row r="3080" spans="1:3" x14ac:dyDescent="0.25">
      <c r="A3080" t="s">
        <v>1597</v>
      </c>
      <c r="B3080" t="s">
        <v>5072</v>
      </c>
      <c r="C3080" t="s">
        <v>5106</v>
      </c>
    </row>
    <row r="3081" spans="1:3" x14ac:dyDescent="0.25">
      <c r="A3081" t="s">
        <v>2301</v>
      </c>
      <c r="B3081" t="s">
        <v>5072</v>
      </c>
      <c r="C3081" t="s">
        <v>5107</v>
      </c>
    </row>
    <row r="3082" spans="1:3" x14ac:dyDescent="0.25">
      <c r="A3082" t="s">
        <v>203</v>
      </c>
      <c r="B3082" t="s">
        <v>5072</v>
      </c>
      <c r="C3082" t="s">
        <v>5108</v>
      </c>
    </row>
    <row r="3083" spans="1:3" x14ac:dyDescent="0.25">
      <c r="A3083" t="s">
        <v>205</v>
      </c>
      <c r="B3083" t="s">
        <v>5072</v>
      </c>
      <c r="C3083" t="s">
        <v>5109</v>
      </c>
    </row>
    <row r="3084" spans="1:3" x14ac:dyDescent="0.25">
      <c r="A3084" t="s">
        <v>289</v>
      </c>
      <c r="B3084" t="s">
        <v>5072</v>
      </c>
      <c r="C3084" t="s">
        <v>5110</v>
      </c>
    </row>
    <row r="3085" spans="1:3" x14ac:dyDescent="0.25">
      <c r="A3085" t="s">
        <v>5111</v>
      </c>
      <c r="B3085" t="s">
        <v>5072</v>
      </c>
      <c r="C3085" t="s">
        <v>5112</v>
      </c>
    </row>
    <row r="3086" spans="1:3" x14ac:dyDescent="0.25">
      <c r="A3086" t="s">
        <v>5113</v>
      </c>
      <c r="B3086" t="s">
        <v>5072</v>
      </c>
      <c r="C3086" t="s">
        <v>5114</v>
      </c>
    </row>
    <row r="3087" spans="1:3" x14ac:dyDescent="0.25">
      <c r="A3087" t="s">
        <v>5115</v>
      </c>
      <c r="B3087" t="s">
        <v>5072</v>
      </c>
      <c r="C3087" t="s">
        <v>5116</v>
      </c>
    </row>
    <row r="3088" spans="1:3" x14ac:dyDescent="0.25">
      <c r="A3088" t="s">
        <v>424</v>
      </c>
      <c r="B3088" t="s">
        <v>5072</v>
      </c>
      <c r="C3088" t="s">
        <v>5117</v>
      </c>
    </row>
    <row r="3089" spans="1:3" x14ac:dyDescent="0.25">
      <c r="A3089" t="s">
        <v>5118</v>
      </c>
      <c r="B3089" t="s">
        <v>5072</v>
      </c>
      <c r="C3089" t="s">
        <v>5119</v>
      </c>
    </row>
    <row r="3090" spans="1:3" x14ac:dyDescent="0.25">
      <c r="A3090" t="s">
        <v>428</v>
      </c>
      <c r="B3090" t="s">
        <v>5072</v>
      </c>
      <c r="C3090" t="s">
        <v>5120</v>
      </c>
    </row>
    <row r="3091" spans="1:3" x14ac:dyDescent="0.25">
      <c r="A3091" t="s">
        <v>5121</v>
      </c>
      <c r="B3091" t="s">
        <v>5072</v>
      </c>
      <c r="C3091" t="s">
        <v>5122</v>
      </c>
    </row>
    <row r="3092" spans="1:3" x14ac:dyDescent="0.25">
      <c r="A3092" t="s">
        <v>5123</v>
      </c>
      <c r="B3092" t="s">
        <v>5072</v>
      </c>
      <c r="C3092" t="s">
        <v>5124</v>
      </c>
    </row>
    <row r="3093" spans="1:3" x14ac:dyDescent="0.25">
      <c r="A3093" t="s">
        <v>5125</v>
      </c>
      <c r="B3093" t="s">
        <v>5072</v>
      </c>
      <c r="C3093" t="s">
        <v>5126</v>
      </c>
    </row>
    <row r="3094" spans="1:3" x14ac:dyDescent="0.25">
      <c r="A3094" t="s">
        <v>2329</v>
      </c>
      <c r="B3094" t="s">
        <v>5072</v>
      </c>
      <c r="C3094" t="s">
        <v>5127</v>
      </c>
    </row>
    <row r="3095" spans="1:3" x14ac:dyDescent="0.25">
      <c r="A3095" t="s">
        <v>2334</v>
      </c>
      <c r="B3095" t="s">
        <v>5072</v>
      </c>
      <c r="C3095" t="s">
        <v>5128</v>
      </c>
    </row>
    <row r="3096" spans="1:3" x14ac:dyDescent="0.25">
      <c r="A3096" t="s">
        <v>5129</v>
      </c>
      <c r="B3096" t="s">
        <v>5072</v>
      </c>
      <c r="C3096" t="s">
        <v>5130</v>
      </c>
    </row>
    <row r="3097" spans="1:3" x14ac:dyDescent="0.25">
      <c r="A3097" t="s">
        <v>231</v>
      </c>
      <c r="B3097" t="s">
        <v>5072</v>
      </c>
      <c r="C3097" t="s">
        <v>5131</v>
      </c>
    </row>
    <row r="3098" spans="1:3" x14ac:dyDescent="0.25">
      <c r="A3098" t="s">
        <v>5132</v>
      </c>
      <c r="B3098" t="s">
        <v>5072</v>
      </c>
      <c r="C3098" t="s">
        <v>5133</v>
      </c>
    </row>
    <row r="3099" spans="1:3" x14ac:dyDescent="0.25">
      <c r="A3099" t="s">
        <v>1220</v>
      </c>
      <c r="B3099" t="s">
        <v>5072</v>
      </c>
      <c r="C3099" t="s">
        <v>5134</v>
      </c>
    </row>
    <row r="3100" spans="1:3" x14ac:dyDescent="0.25">
      <c r="A3100" t="s">
        <v>5135</v>
      </c>
      <c r="B3100" t="s">
        <v>5072</v>
      </c>
      <c r="C3100" t="s">
        <v>5136</v>
      </c>
    </row>
    <row r="3101" spans="1:3" x14ac:dyDescent="0.25">
      <c r="A3101" t="s">
        <v>5137</v>
      </c>
      <c r="B3101" t="s">
        <v>5072</v>
      </c>
      <c r="C3101" t="s">
        <v>5138</v>
      </c>
    </row>
    <row r="3102" spans="1:3" x14ac:dyDescent="0.25">
      <c r="A3102" t="s">
        <v>5139</v>
      </c>
      <c r="B3102" t="s">
        <v>5072</v>
      </c>
      <c r="C3102" t="s">
        <v>5140</v>
      </c>
    </row>
    <row r="3103" spans="1:3" x14ac:dyDescent="0.25">
      <c r="A3103" t="s">
        <v>1066</v>
      </c>
      <c r="B3103" t="s">
        <v>5072</v>
      </c>
      <c r="C3103" t="s">
        <v>5141</v>
      </c>
    </row>
    <row r="3104" spans="1:3" x14ac:dyDescent="0.25">
      <c r="A3104" t="s">
        <v>456</v>
      </c>
      <c r="B3104" t="s">
        <v>5072</v>
      </c>
      <c r="C3104" t="s">
        <v>5142</v>
      </c>
    </row>
    <row r="3105" spans="1:3" x14ac:dyDescent="0.25">
      <c r="A3105" t="s">
        <v>3620</v>
      </c>
      <c r="B3105" t="s">
        <v>5072</v>
      </c>
      <c r="C3105" t="s">
        <v>5143</v>
      </c>
    </row>
    <row r="3106" spans="1:3" x14ac:dyDescent="0.25">
      <c r="A3106" t="s">
        <v>5144</v>
      </c>
      <c r="B3106" t="s">
        <v>5072</v>
      </c>
      <c r="C3106" t="s">
        <v>5145</v>
      </c>
    </row>
    <row r="3107" spans="1:3" x14ac:dyDescent="0.25">
      <c r="A3107" t="s">
        <v>5146</v>
      </c>
      <c r="B3107" t="s">
        <v>5072</v>
      </c>
      <c r="C3107" t="s">
        <v>5147</v>
      </c>
    </row>
    <row r="3108" spans="1:3" x14ac:dyDescent="0.25">
      <c r="A3108" t="s">
        <v>1358</v>
      </c>
      <c r="B3108" t="s">
        <v>5072</v>
      </c>
      <c r="C3108" t="s">
        <v>5148</v>
      </c>
    </row>
    <row r="3109" spans="1:3" x14ac:dyDescent="0.25">
      <c r="A3109" t="s">
        <v>2498</v>
      </c>
      <c r="B3109" t="s">
        <v>5072</v>
      </c>
      <c r="C3109" t="s">
        <v>5149</v>
      </c>
    </row>
    <row r="3110" spans="1:3" x14ac:dyDescent="0.25">
      <c r="A3110" t="s">
        <v>4563</v>
      </c>
      <c r="B3110" t="s">
        <v>5072</v>
      </c>
      <c r="C3110" t="s">
        <v>5150</v>
      </c>
    </row>
    <row r="3111" spans="1:3" x14ac:dyDescent="0.25">
      <c r="A3111" t="s">
        <v>5151</v>
      </c>
      <c r="B3111" t="s">
        <v>5072</v>
      </c>
      <c r="C3111" t="s">
        <v>5152</v>
      </c>
    </row>
    <row r="3112" spans="1:3" x14ac:dyDescent="0.25">
      <c r="A3112" t="s">
        <v>5153</v>
      </c>
      <c r="B3112" t="s">
        <v>5072</v>
      </c>
      <c r="C3112" t="s">
        <v>5154</v>
      </c>
    </row>
    <row r="3113" spans="1:3" x14ac:dyDescent="0.25">
      <c r="A3113" t="s">
        <v>5155</v>
      </c>
      <c r="B3113" t="s">
        <v>5072</v>
      </c>
      <c r="C3113" t="s">
        <v>5156</v>
      </c>
    </row>
    <row r="3114" spans="1:3" x14ac:dyDescent="0.25">
      <c r="A3114" t="s">
        <v>5157</v>
      </c>
      <c r="B3114" t="s">
        <v>5072</v>
      </c>
      <c r="C3114" t="s">
        <v>5158</v>
      </c>
    </row>
    <row r="3115" spans="1:3" x14ac:dyDescent="0.25">
      <c r="A3115" t="s">
        <v>5159</v>
      </c>
      <c r="B3115" t="s">
        <v>5072</v>
      </c>
      <c r="C3115" t="s">
        <v>5160</v>
      </c>
    </row>
    <row r="3116" spans="1:3" x14ac:dyDescent="0.25">
      <c r="A3116" t="s">
        <v>866</v>
      </c>
      <c r="B3116" t="s">
        <v>5072</v>
      </c>
      <c r="C3116" t="s">
        <v>5161</v>
      </c>
    </row>
    <row r="3117" spans="1:3" x14ac:dyDescent="0.25">
      <c r="A3117" t="s">
        <v>5162</v>
      </c>
      <c r="B3117" t="s">
        <v>5072</v>
      </c>
      <c r="C3117" t="s">
        <v>5163</v>
      </c>
    </row>
    <row r="3118" spans="1:3" x14ac:dyDescent="0.25">
      <c r="A3118" t="s">
        <v>2129</v>
      </c>
      <c r="B3118" t="s">
        <v>5072</v>
      </c>
      <c r="C3118" t="s">
        <v>5164</v>
      </c>
    </row>
    <row r="3119" spans="1:3" x14ac:dyDescent="0.25">
      <c r="A3119" t="s">
        <v>5165</v>
      </c>
      <c r="B3119" t="s">
        <v>5072</v>
      </c>
      <c r="C3119" t="s">
        <v>5166</v>
      </c>
    </row>
    <row r="3120" spans="1:3" x14ac:dyDescent="0.25">
      <c r="A3120" t="s">
        <v>4111</v>
      </c>
      <c r="B3120" t="s">
        <v>5072</v>
      </c>
      <c r="C3120" t="s">
        <v>5167</v>
      </c>
    </row>
    <row r="3121" spans="1:3" x14ac:dyDescent="0.25">
      <c r="A3121" t="s">
        <v>5168</v>
      </c>
      <c r="B3121" t="s">
        <v>5072</v>
      </c>
      <c r="C3121" t="s">
        <v>5169</v>
      </c>
    </row>
    <row r="3122" spans="1:3" x14ac:dyDescent="0.25">
      <c r="A3122" t="s">
        <v>261</v>
      </c>
      <c r="B3122" t="s">
        <v>5072</v>
      </c>
      <c r="C3122" t="s">
        <v>5170</v>
      </c>
    </row>
    <row r="3123" spans="1:3" x14ac:dyDescent="0.25">
      <c r="A3123" t="s">
        <v>5171</v>
      </c>
      <c r="B3123" t="s">
        <v>5072</v>
      </c>
      <c r="C3123" t="s">
        <v>5172</v>
      </c>
    </row>
    <row r="3124" spans="1:3" x14ac:dyDescent="0.25">
      <c r="A3124" t="s">
        <v>5173</v>
      </c>
      <c r="B3124" t="s">
        <v>5072</v>
      </c>
      <c r="C3124" t="s">
        <v>5174</v>
      </c>
    </row>
    <row r="3125" spans="1:3" x14ac:dyDescent="0.25">
      <c r="A3125" t="s">
        <v>5175</v>
      </c>
      <c r="B3125" t="s">
        <v>5072</v>
      </c>
      <c r="C3125" t="s">
        <v>5176</v>
      </c>
    </row>
    <row r="3126" spans="1:3" x14ac:dyDescent="0.25">
      <c r="A3126" t="s">
        <v>1391</v>
      </c>
      <c r="B3126" t="s">
        <v>5072</v>
      </c>
      <c r="C3126" t="s">
        <v>5177</v>
      </c>
    </row>
    <row r="3127" spans="1:3" x14ac:dyDescent="0.25">
      <c r="A3127" t="s">
        <v>3649</v>
      </c>
      <c r="B3127" t="s">
        <v>5072</v>
      </c>
      <c r="C3127" t="s">
        <v>5178</v>
      </c>
    </row>
    <row r="3128" spans="1:3" x14ac:dyDescent="0.25">
      <c r="A3128" t="s">
        <v>3183</v>
      </c>
      <c r="B3128" t="s">
        <v>5180</v>
      </c>
      <c r="C3128" t="s">
        <v>5181</v>
      </c>
    </row>
    <row r="3129" spans="1:3" x14ac:dyDescent="0.25">
      <c r="A3129" t="s">
        <v>2813</v>
      </c>
      <c r="B3129" t="s">
        <v>5180</v>
      </c>
      <c r="C3129" t="s">
        <v>5182</v>
      </c>
    </row>
    <row r="3130" spans="1:3" x14ac:dyDescent="0.25">
      <c r="A3130" t="s">
        <v>1882</v>
      </c>
      <c r="B3130" t="s">
        <v>5180</v>
      </c>
      <c r="C3130" t="s">
        <v>5183</v>
      </c>
    </row>
    <row r="3131" spans="1:3" x14ac:dyDescent="0.25">
      <c r="A3131" t="s">
        <v>2818</v>
      </c>
      <c r="B3131" t="s">
        <v>5180</v>
      </c>
      <c r="C3131" t="s">
        <v>5184</v>
      </c>
    </row>
    <row r="3132" spans="1:3" x14ac:dyDescent="0.25">
      <c r="A3132" t="s">
        <v>5185</v>
      </c>
      <c r="B3132" t="s">
        <v>5180</v>
      </c>
      <c r="C3132" t="s">
        <v>5186</v>
      </c>
    </row>
    <row r="3133" spans="1:3" x14ac:dyDescent="0.25">
      <c r="A3133" t="s">
        <v>3783</v>
      </c>
      <c r="B3133" t="s">
        <v>5180</v>
      </c>
      <c r="C3133" t="s">
        <v>5187</v>
      </c>
    </row>
    <row r="3134" spans="1:3" x14ac:dyDescent="0.25">
      <c r="A3134" t="s">
        <v>654</v>
      </c>
      <c r="B3134" t="s">
        <v>5180</v>
      </c>
      <c r="C3134" t="s">
        <v>5188</v>
      </c>
    </row>
    <row r="3135" spans="1:3" x14ac:dyDescent="0.25">
      <c r="A3135" t="s">
        <v>5189</v>
      </c>
      <c r="B3135" t="s">
        <v>5180</v>
      </c>
      <c r="C3135" t="s">
        <v>5190</v>
      </c>
    </row>
    <row r="3136" spans="1:3" x14ac:dyDescent="0.25">
      <c r="A3136" t="s">
        <v>5191</v>
      </c>
      <c r="B3136" t="s">
        <v>5180</v>
      </c>
      <c r="C3136" t="s">
        <v>5192</v>
      </c>
    </row>
    <row r="3137" spans="1:3" x14ac:dyDescent="0.25">
      <c r="A3137" t="s">
        <v>422</v>
      </c>
      <c r="B3137" t="s">
        <v>5180</v>
      </c>
      <c r="C3137" t="s">
        <v>5193</v>
      </c>
    </row>
    <row r="3138" spans="1:3" x14ac:dyDescent="0.25">
      <c r="A3138" t="s">
        <v>5194</v>
      </c>
      <c r="B3138" t="s">
        <v>5180</v>
      </c>
      <c r="C3138" t="s">
        <v>5195</v>
      </c>
    </row>
    <row r="3139" spans="1:3" x14ac:dyDescent="0.25">
      <c r="A3139" t="s">
        <v>428</v>
      </c>
      <c r="B3139" t="s">
        <v>5180</v>
      </c>
      <c r="C3139" t="s">
        <v>5196</v>
      </c>
    </row>
    <row r="3140" spans="1:3" x14ac:dyDescent="0.25">
      <c r="A3140" t="s">
        <v>5197</v>
      </c>
      <c r="B3140" t="s">
        <v>5180</v>
      </c>
      <c r="C3140" t="s">
        <v>5198</v>
      </c>
    </row>
    <row r="3141" spans="1:3" x14ac:dyDescent="0.25">
      <c r="A3141" t="s">
        <v>5199</v>
      </c>
      <c r="B3141" t="s">
        <v>5180</v>
      </c>
      <c r="C3141" t="s">
        <v>5200</v>
      </c>
    </row>
    <row r="3142" spans="1:3" x14ac:dyDescent="0.25">
      <c r="A3142" t="s">
        <v>698</v>
      </c>
      <c r="B3142" t="s">
        <v>5180</v>
      </c>
      <c r="C3142" t="s">
        <v>5201</v>
      </c>
    </row>
    <row r="3143" spans="1:3" x14ac:dyDescent="0.25">
      <c r="A3143" t="s">
        <v>2764</v>
      </c>
      <c r="B3143" t="s">
        <v>5180</v>
      </c>
      <c r="C3143" t="s">
        <v>5202</v>
      </c>
    </row>
    <row r="3144" spans="1:3" x14ac:dyDescent="0.25">
      <c r="A3144" t="s">
        <v>1820</v>
      </c>
      <c r="B3144" t="s">
        <v>5180</v>
      </c>
      <c r="C3144" t="s">
        <v>5203</v>
      </c>
    </row>
    <row r="3145" spans="1:3" x14ac:dyDescent="0.25">
      <c r="A3145" t="s">
        <v>5204</v>
      </c>
      <c r="B3145" t="s">
        <v>5180</v>
      </c>
      <c r="C3145" t="s">
        <v>5205</v>
      </c>
    </row>
    <row r="3146" spans="1:3" x14ac:dyDescent="0.25">
      <c r="A3146" t="s">
        <v>5206</v>
      </c>
      <c r="B3146" t="s">
        <v>5180</v>
      </c>
      <c r="C3146" t="s">
        <v>5207</v>
      </c>
    </row>
    <row r="3147" spans="1:3" x14ac:dyDescent="0.25">
      <c r="A3147" t="s">
        <v>1230</v>
      </c>
      <c r="B3147" t="s">
        <v>5180</v>
      </c>
      <c r="C3147" t="s">
        <v>5208</v>
      </c>
    </row>
    <row r="3148" spans="1:3" x14ac:dyDescent="0.25">
      <c r="A3148" t="s">
        <v>5209</v>
      </c>
      <c r="B3148" t="s">
        <v>5180</v>
      </c>
      <c r="C3148" t="s">
        <v>5210</v>
      </c>
    </row>
    <row r="3149" spans="1:3" x14ac:dyDescent="0.25">
      <c r="A3149" t="s">
        <v>5211</v>
      </c>
      <c r="B3149" t="s">
        <v>5180</v>
      </c>
      <c r="C3149" t="s">
        <v>5212</v>
      </c>
    </row>
    <row r="3150" spans="1:3" x14ac:dyDescent="0.25">
      <c r="A3150" t="s">
        <v>5213</v>
      </c>
      <c r="B3150" t="s">
        <v>5180</v>
      </c>
      <c r="C3150" t="s">
        <v>5214</v>
      </c>
    </row>
  </sheetData>
  <hyperlinks>
    <hyperlink ref="O6" r:id="rId1" xr:uid="{BA09A97A-5BD5-4B06-B966-513E3F7017A2}"/>
    <hyperlink ref="P7" r:id="rId2" xr:uid="{3A6BD2FB-8A85-4F03-B831-303C6B399F2A}"/>
  </hyperlinks>
  <pageMargins left="0.7" right="0.7" top="0.75" bottom="0.75" header="0.3" footer="0.3"/>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227C8-22F0-491B-AF52-F4656B4CF3A8}">
  <sheetPr codeName="Sheet2"/>
  <dimension ref="B1:AD70"/>
  <sheetViews>
    <sheetView zoomScaleNormal="100" workbookViewId="0">
      <selection activeCell="K17" sqref="K17"/>
    </sheetView>
  </sheetViews>
  <sheetFormatPr defaultColWidth="8.85546875" defaultRowHeight="15" x14ac:dyDescent="0.25"/>
  <cols>
    <col min="2" max="2" width="22.140625" customWidth="1"/>
    <col min="3" max="3" width="15" customWidth="1"/>
    <col min="4" max="4" width="13.7109375" customWidth="1"/>
    <col min="5" max="5" width="12" customWidth="1"/>
    <col min="6" max="6" width="11" customWidth="1"/>
    <col min="7" max="7" width="13.5703125" customWidth="1"/>
    <col min="9" max="9" width="6.85546875" customWidth="1"/>
    <col min="10" max="10" width="25.7109375" bestFit="1" customWidth="1"/>
    <col min="11" max="11" width="24" bestFit="1" customWidth="1"/>
    <col min="12" max="12" width="14.28515625" customWidth="1"/>
    <col min="14" max="14" width="45" bestFit="1" customWidth="1"/>
    <col min="15" max="15" width="16.42578125" customWidth="1"/>
    <col min="17" max="17" width="12.42578125" customWidth="1"/>
    <col min="18" max="18" width="23.42578125" bestFit="1" customWidth="1"/>
    <col min="19" max="19" width="17.7109375" customWidth="1"/>
    <col min="20" max="20" width="11.140625" customWidth="1"/>
    <col min="21" max="21" width="17.28515625" bestFit="1" customWidth="1"/>
    <col min="22" max="22" width="12.85546875" customWidth="1"/>
    <col min="23" max="23" width="11.42578125" customWidth="1"/>
    <col min="26" max="26" width="12.28515625" bestFit="1" customWidth="1"/>
    <col min="27" max="27" width="7.7109375" bestFit="1" customWidth="1"/>
    <col min="28" max="28" width="12.140625" bestFit="1" customWidth="1"/>
    <col min="29" max="29" width="64.42578125" customWidth="1"/>
    <col min="31" max="31" width="10.140625" bestFit="1" customWidth="1"/>
    <col min="33" max="33" width="12.140625" bestFit="1" customWidth="1"/>
    <col min="36" max="36" width="13.140625" customWidth="1"/>
  </cols>
  <sheetData>
    <row r="1" spans="2:23" x14ac:dyDescent="0.25">
      <c r="B1" t="s">
        <v>5603</v>
      </c>
    </row>
    <row r="3" spans="2:23" x14ac:dyDescent="0.25">
      <c r="B3" t="s">
        <v>5584</v>
      </c>
    </row>
    <row r="4" spans="2:23" s="2" customFormat="1" ht="30" x14ac:dyDescent="0.25">
      <c r="B4" s="2" t="s">
        <v>9</v>
      </c>
      <c r="C4" s="2" t="s">
        <v>10</v>
      </c>
      <c r="D4" s="2" t="s">
        <v>11</v>
      </c>
      <c r="E4" s="2" t="s">
        <v>39</v>
      </c>
      <c r="F4" s="2" t="s">
        <v>42</v>
      </c>
      <c r="G4" s="2" t="s">
        <v>46</v>
      </c>
      <c r="J4"/>
      <c r="K4"/>
      <c r="L4"/>
      <c r="M4"/>
      <c r="P4"/>
      <c r="Q4"/>
      <c r="R4"/>
      <c r="S4"/>
      <c r="W4"/>
    </row>
    <row r="5" spans="2:23" x14ac:dyDescent="0.25">
      <c r="B5" t="s">
        <v>1</v>
      </c>
      <c r="C5">
        <v>10</v>
      </c>
      <c r="D5">
        <v>0.5</v>
      </c>
      <c r="E5" t="s">
        <v>40</v>
      </c>
      <c r="F5">
        <v>30</v>
      </c>
      <c r="G5" t="s">
        <v>41</v>
      </c>
    </row>
    <row r="6" spans="2:23" x14ac:dyDescent="0.25">
      <c r="B6" t="s">
        <v>2</v>
      </c>
      <c r="C6">
        <v>11</v>
      </c>
      <c r="D6">
        <v>0.6</v>
      </c>
      <c r="E6" t="s">
        <v>40</v>
      </c>
      <c r="F6">
        <v>35</v>
      </c>
      <c r="G6" t="s">
        <v>41</v>
      </c>
    </row>
    <row r="7" spans="2:23" x14ac:dyDescent="0.25">
      <c r="B7" t="s">
        <v>3</v>
      </c>
      <c r="C7">
        <v>12</v>
      </c>
      <c r="D7">
        <v>0.7</v>
      </c>
      <c r="E7" t="s">
        <v>41</v>
      </c>
      <c r="F7">
        <v>0</v>
      </c>
      <c r="G7" t="s">
        <v>40</v>
      </c>
    </row>
    <row r="8" spans="2:23" x14ac:dyDescent="0.25">
      <c r="B8" t="s">
        <v>4</v>
      </c>
      <c r="C8">
        <v>13</v>
      </c>
      <c r="D8">
        <v>0.8</v>
      </c>
      <c r="E8" t="s">
        <v>41</v>
      </c>
      <c r="F8">
        <v>0</v>
      </c>
      <c r="G8" t="s">
        <v>40</v>
      </c>
    </row>
    <row r="9" spans="2:23" x14ac:dyDescent="0.25">
      <c r="B9" t="s">
        <v>5</v>
      </c>
      <c r="C9">
        <v>14</v>
      </c>
      <c r="D9">
        <v>0.9</v>
      </c>
      <c r="E9" t="s">
        <v>41</v>
      </c>
      <c r="F9">
        <v>0</v>
      </c>
      <c r="G9" t="s">
        <v>41</v>
      </c>
    </row>
    <row r="10" spans="2:23" x14ac:dyDescent="0.25">
      <c r="B10" t="s">
        <v>6</v>
      </c>
      <c r="C10">
        <v>15</v>
      </c>
      <c r="D10">
        <v>1</v>
      </c>
      <c r="E10" t="s">
        <v>41</v>
      </c>
      <c r="F10">
        <v>0</v>
      </c>
      <c r="G10" t="s">
        <v>41</v>
      </c>
    </row>
    <row r="11" spans="2:23" x14ac:dyDescent="0.25">
      <c r="B11" t="s">
        <v>7</v>
      </c>
      <c r="C11">
        <v>16</v>
      </c>
      <c r="D11">
        <v>1.1000000000000001</v>
      </c>
      <c r="E11" t="s">
        <v>41</v>
      </c>
      <c r="F11">
        <v>0</v>
      </c>
      <c r="G11" t="s">
        <v>40</v>
      </c>
    </row>
    <row r="12" spans="2:23" x14ac:dyDescent="0.25">
      <c r="B12" t="s">
        <v>8</v>
      </c>
      <c r="C12">
        <v>17</v>
      </c>
      <c r="D12">
        <v>1.2</v>
      </c>
      <c r="E12" t="s">
        <v>41</v>
      </c>
      <c r="F12">
        <v>0</v>
      </c>
      <c r="G12" t="s">
        <v>40</v>
      </c>
    </row>
    <row r="14" spans="2:23" x14ac:dyDescent="0.25">
      <c r="J14" t="s">
        <v>5587</v>
      </c>
    </row>
    <row r="15" spans="2:23" x14ac:dyDescent="0.25">
      <c r="J15" t="s">
        <v>5580</v>
      </c>
      <c r="K15" t="s">
        <v>5581</v>
      </c>
    </row>
    <row r="16" spans="2:23" x14ac:dyDescent="0.25">
      <c r="J16" t="s">
        <v>14</v>
      </c>
      <c r="K16" s="8">
        <v>10</v>
      </c>
    </row>
    <row r="17" spans="10:23" x14ac:dyDescent="0.25">
      <c r="J17" t="s">
        <v>5255</v>
      </c>
      <c r="K17" s="8">
        <v>12</v>
      </c>
    </row>
    <row r="18" spans="10:23" x14ac:dyDescent="0.25">
      <c r="J18" s="153" t="s">
        <v>5588</v>
      </c>
      <c r="K18" s="8">
        <v>5</v>
      </c>
    </row>
    <row r="19" spans="10:23" x14ac:dyDescent="0.25">
      <c r="J19" s="129" t="s">
        <v>5589</v>
      </c>
      <c r="K19" s="8">
        <v>6</v>
      </c>
    </row>
    <row r="20" spans="10:23" x14ac:dyDescent="0.25">
      <c r="J20" s="153" t="s">
        <v>5590</v>
      </c>
      <c r="K20" s="8">
        <v>7</v>
      </c>
    </row>
    <row r="21" spans="10:23" x14ac:dyDescent="0.25">
      <c r="J21" s="153" t="s">
        <v>5585</v>
      </c>
      <c r="K21" s="8">
        <v>15</v>
      </c>
    </row>
    <row r="22" spans="10:23" x14ac:dyDescent="0.25">
      <c r="J22" s="129" t="s">
        <v>35</v>
      </c>
      <c r="K22" s="8">
        <v>16</v>
      </c>
      <c r="S22" s="8"/>
    </row>
    <row r="23" spans="10:23" x14ac:dyDescent="0.25">
      <c r="J23" s="153" t="s">
        <v>36</v>
      </c>
      <c r="K23" s="8">
        <v>17</v>
      </c>
      <c r="S23" s="8"/>
    </row>
    <row r="24" spans="10:23" x14ac:dyDescent="0.25">
      <c r="J24" s="129" t="s">
        <v>5586</v>
      </c>
      <c r="K24" s="8">
        <v>18</v>
      </c>
      <c r="S24" s="8"/>
    </row>
    <row r="27" spans="10:23" x14ac:dyDescent="0.25">
      <c r="N27" s="5" t="s">
        <v>81</v>
      </c>
      <c r="O27" t="s">
        <v>88</v>
      </c>
    </row>
    <row r="28" spans="10:23" x14ac:dyDescent="0.25">
      <c r="N28" t="s">
        <v>82</v>
      </c>
      <c r="O28">
        <v>0.4</v>
      </c>
      <c r="R28" s="5"/>
    </row>
    <row r="29" spans="10:23" x14ac:dyDescent="0.25">
      <c r="N29" t="s">
        <v>83</v>
      </c>
      <c r="O29">
        <v>0.45</v>
      </c>
      <c r="W29" s="5"/>
    </row>
    <row r="30" spans="10:23" x14ac:dyDescent="0.25">
      <c r="N30" t="s">
        <v>84</v>
      </c>
      <c r="O30">
        <v>0.43</v>
      </c>
    </row>
    <row r="31" spans="10:23" x14ac:dyDescent="0.25">
      <c r="N31" t="s">
        <v>85</v>
      </c>
      <c r="O31">
        <v>0.47</v>
      </c>
    </row>
    <row r="32" spans="10:23" x14ac:dyDescent="0.25">
      <c r="N32" t="s">
        <v>86</v>
      </c>
      <c r="O32">
        <v>0.48</v>
      </c>
    </row>
    <row r="33" spans="11:26" x14ac:dyDescent="0.25">
      <c r="N33" t="s">
        <v>87</v>
      </c>
      <c r="O33">
        <v>0.35</v>
      </c>
    </row>
    <row r="37" spans="11:26" x14ac:dyDescent="0.25">
      <c r="R37" t="s">
        <v>5232</v>
      </c>
      <c r="S37" t="s">
        <v>5238</v>
      </c>
      <c r="T37" t="s">
        <v>5595</v>
      </c>
      <c r="U37" t="s">
        <v>5239</v>
      </c>
      <c r="V37" t="s">
        <v>5596</v>
      </c>
    </row>
    <row r="38" spans="11:26" x14ac:dyDescent="0.25">
      <c r="R38" t="s">
        <v>5233</v>
      </c>
      <c r="S38">
        <v>1</v>
      </c>
      <c r="T38" t="s">
        <v>5594</v>
      </c>
      <c r="U38" s="8">
        <v>5</v>
      </c>
      <c r="V38" t="s">
        <v>5242</v>
      </c>
    </row>
    <row r="39" spans="11:26" x14ac:dyDescent="0.25">
      <c r="R39" t="s">
        <v>5234</v>
      </c>
      <c r="S39">
        <v>2</v>
      </c>
      <c r="T39" t="s">
        <v>5594</v>
      </c>
      <c r="U39" s="8">
        <v>4</v>
      </c>
      <c r="V39" t="s">
        <v>5242</v>
      </c>
    </row>
    <row r="40" spans="11:26" x14ac:dyDescent="0.25">
      <c r="R40" t="s">
        <v>5235</v>
      </c>
      <c r="S40">
        <v>3</v>
      </c>
      <c r="T40" t="s">
        <v>5594</v>
      </c>
      <c r="U40" s="8">
        <v>3</v>
      </c>
      <c r="V40" t="s">
        <v>5242</v>
      </c>
    </row>
    <row r="41" spans="11:26" x14ac:dyDescent="0.25">
      <c r="K41" s="8"/>
      <c r="R41" t="s">
        <v>5236</v>
      </c>
      <c r="S41">
        <v>4</v>
      </c>
      <c r="T41" t="s">
        <v>5594</v>
      </c>
      <c r="U41" s="8">
        <v>2</v>
      </c>
      <c r="V41" t="s">
        <v>5242</v>
      </c>
    </row>
    <row r="42" spans="11:26" x14ac:dyDescent="0.25">
      <c r="K42" s="8"/>
      <c r="R42" t="s">
        <v>5237</v>
      </c>
      <c r="S42">
        <v>5</v>
      </c>
      <c r="T42" t="s">
        <v>5594</v>
      </c>
      <c r="U42" s="8">
        <v>1</v>
      </c>
      <c r="V42" t="s">
        <v>5242</v>
      </c>
    </row>
    <row r="43" spans="11:26" x14ac:dyDescent="0.25">
      <c r="K43" s="8"/>
    </row>
    <row r="46" spans="11:26" x14ac:dyDescent="0.25">
      <c r="X46" t="s">
        <v>5583</v>
      </c>
    </row>
    <row r="47" spans="11:26" x14ac:dyDescent="0.25">
      <c r="X47" t="s">
        <v>5510</v>
      </c>
    </row>
    <row r="48" spans="11:26" x14ac:dyDescent="0.25">
      <c r="X48" t="s">
        <v>5520</v>
      </c>
      <c r="Y48" t="s">
        <v>5332</v>
      </c>
      <c r="Z48" t="s">
        <v>5519</v>
      </c>
    </row>
    <row r="49" spans="10:30" x14ac:dyDescent="0.25">
      <c r="X49" t="s">
        <v>5509</v>
      </c>
      <c r="Y49">
        <v>1</v>
      </c>
      <c r="Z49">
        <v>3</v>
      </c>
    </row>
    <row r="50" spans="10:30" x14ac:dyDescent="0.25">
      <c r="X50" t="s">
        <v>5508</v>
      </c>
      <c r="Y50">
        <v>2</v>
      </c>
      <c r="Z50">
        <v>4</v>
      </c>
    </row>
    <row r="52" spans="10:30" x14ac:dyDescent="0.25">
      <c r="J52" s="2"/>
      <c r="K52" s="2"/>
      <c r="U52" s="8"/>
    </row>
    <row r="53" spans="10:30" x14ac:dyDescent="0.25">
      <c r="U53" s="8"/>
      <c r="AC53" t="s">
        <v>5583</v>
      </c>
    </row>
    <row r="54" spans="10:30" x14ac:dyDescent="0.25">
      <c r="U54" s="8"/>
      <c r="AC54" t="s">
        <v>5347</v>
      </c>
    </row>
    <row r="55" spans="10:30" x14ac:dyDescent="0.25">
      <c r="U55" s="8"/>
      <c r="AB55" t="s">
        <v>5622</v>
      </c>
      <c r="AC55" t="s">
        <v>5623</v>
      </c>
      <c r="AD55" t="s">
        <v>5624</v>
      </c>
    </row>
    <row r="56" spans="10:30" x14ac:dyDescent="0.25">
      <c r="U56" s="8"/>
      <c r="AB56" t="s">
        <v>5609</v>
      </c>
      <c r="AC56" s="95" t="s">
        <v>5348</v>
      </c>
      <c r="AD56" s="189">
        <v>30</v>
      </c>
    </row>
    <row r="57" spans="10:30" x14ac:dyDescent="0.25">
      <c r="AB57" t="s">
        <v>5610</v>
      </c>
      <c r="AC57" s="95" t="s">
        <v>5349</v>
      </c>
      <c r="AD57" s="189">
        <v>24</v>
      </c>
    </row>
    <row r="58" spans="10:30" x14ac:dyDescent="0.25">
      <c r="AB58" t="s">
        <v>5607</v>
      </c>
      <c r="AC58" s="94" t="s">
        <v>5341</v>
      </c>
      <c r="AD58" s="190">
        <v>0.04</v>
      </c>
    </row>
    <row r="59" spans="10:30" x14ac:dyDescent="0.25">
      <c r="AB59" t="s">
        <v>5608</v>
      </c>
      <c r="AC59" s="95" t="s">
        <v>5342</v>
      </c>
      <c r="AD59" s="190">
        <v>8.5000000000000006E-3</v>
      </c>
    </row>
    <row r="60" spans="10:30" x14ac:dyDescent="0.25">
      <c r="AB60" t="s">
        <v>5611</v>
      </c>
      <c r="AC60" s="95" t="s">
        <v>5343</v>
      </c>
      <c r="AD60" s="190">
        <v>2.5</v>
      </c>
    </row>
    <row r="61" spans="10:30" x14ac:dyDescent="0.25">
      <c r="AB61" t="s">
        <v>5612</v>
      </c>
      <c r="AC61" s="95" t="s">
        <v>5344</v>
      </c>
      <c r="AD61" s="190">
        <v>0.1</v>
      </c>
    </row>
    <row r="62" spans="10:30" x14ac:dyDescent="0.25">
      <c r="AB62" t="s">
        <v>5613</v>
      </c>
      <c r="AC62" s="95" t="s">
        <v>5345</v>
      </c>
      <c r="AD62" s="190">
        <f>3.75*0.15*126.3/73.3</f>
        <v>0.96921896316507516</v>
      </c>
    </row>
    <row r="63" spans="10:30" x14ac:dyDescent="0.25">
      <c r="AB63" t="s">
        <v>5614</v>
      </c>
      <c r="AC63" s="94" t="s">
        <v>5346</v>
      </c>
      <c r="AD63" s="191">
        <v>0</v>
      </c>
    </row>
    <row r="64" spans="10:30" x14ac:dyDescent="0.25">
      <c r="AB64" t="s">
        <v>5615</v>
      </c>
      <c r="AC64" s="94" t="s">
        <v>5350</v>
      </c>
      <c r="AD64" s="189">
        <v>111.4</v>
      </c>
    </row>
    <row r="65" spans="28:30" x14ac:dyDescent="0.25">
      <c r="AB65" t="s">
        <v>5616</v>
      </c>
      <c r="AC65" t="s">
        <v>5351</v>
      </c>
      <c r="AD65" s="192">
        <v>114.4</v>
      </c>
    </row>
    <row r="66" spans="28:30" x14ac:dyDescent="0.25">
      <c r="AB66" t="s">
        <v>5617</v>
      </c>
      <c r="AC66" t="s">
        <v>5352</v>
      </c>
      <c r="AD66" s="192">
        <v>76.783000000000001</v>
      </c>
    </row>
    <row r="67" spans="28:30" x14ac:dyDescent="0.25">
      <c r="AB67" t="s">
        <v>5618</v>
      </c>
      <c r="AC67" s="94" t="s">
        <v>5353</v>
      </c>
      <c r="AD67" s="193">
        <f>AD64*AD66/AD65</f>
        <v>74.769459790209794</v>
      </c>
    </row>
    <row r="68" spans="28:30" x14ac:dyDescent="0.25">
      <c r="AB68" t="s">
        <v>5619</v>
      </c>
      <c r="AC68" s="108" t="s">
        <v>5550</v>
      </c>
      <c r="AD68" s="192">
        <v>8.25</v>
      </c>
    </row>
    <row r="69" spans="28:30" x14ac:dyDescent="0.25">
      <c r="AB69" t="s">
        <v>5620</v>
      </c>
      <c r="AC69" s="94" t="s">
        <v>5498</v>
      </c>
      <c r="AD69" s="194">
        <v>80</v>
      </c>
    </row>
    <row r="70" spans="28:30" x14ac:dyDescent="0.25">
      <c r="AB70" t="s">
        <v>5621</v>
      </c>
      <c r="AC70" s="94" t="s">
        <v>5563</v>
      </c>
      <c r="AD70" s="194">
        <v>5.0000000000000001E-3</v>
      </c>
    </row>
  </sheetData>
  <pageMargins left="0.7" right="0.7" top="0.75" bottom="0.75" header="0.3" footer="0.3"/>
  <pageSetup orientation="portrait" r:id="rId1"/>
  <legacyDrawing r:id="rId2"/>
  <tableParts count="6">
    <tablePart r:id="rId3"/>
    <tablePart r:id="rId4"/>
    <tablePart r:id="rId5"/>
    <tablePart r:id="rId6"/>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CE9A-6AF3-4FC1-B911-31DA30300AA6}">
  <sheetPr codeName="Sheet6"/>
  <dimension ref="B2:G23"/>
  <sheetViews>
    <sheetView showGridLines="0" zoomScale="145" zoomScaleNormal="145" workbookViewId="0">
      <selection activeCell="E4" sqref="E4"/>
    </sheetView>
  </sheetViews>
  <sheetFormatPr defaultColWidth="8.85546875" defaultRowHeight="12.75" x14ac:dyDescent="0.2"/>
  <cols>
    <col min="1" max="1" width="3.28515625" style="29" customWidth="1"/>
    <col min="2" max="2" width="25.85546875" style="29" customWidth="1"/>
    <col min="3" max="3" width="9.42578125" style="29" customWidth="1"/>
    <col min="4" max="4" width="1.7109375" style="29" customWidth="1"/>
    <col min="5" max="5" width="60" style="29" customWidth="1"/>
    <col min="6" max="6" width="12.42578125" style="29" customWidth="1"/>
    <col min="7" max="7" width="2.28515625" style="29" customWidth="1"/>
    <col min="8" max="259" width="9.140625" style="29"/>
    <col min="260" max="260" width="3.28515625" style="29" customWidth="1"/>
    <col min="261" max="261" width="2.28515625" style="29" customWidth="1"/>
    <col min="262" max="262" width="97.140625" style="29" customWidth="1"/>
    <col min="263" max="263" width="2.28515625" style="29" customWidth="1"/>
    <col min="264" max="515" width="9.140625" style="29"/>
    <col min="516" max="516" width="3.28515625" style="29" customWidth="1"/>
    <col min="517" max="517" width="2.28515625" style="29" customWidth="1"/>
    <col min="518" max="518" width="97.140625" style="29" customWidth="1"/>
    <col min="519" max="519" width="2.28515625" style="29" customWidth="1"/>
    <col min="520" max="771" width="9.140625" style="29"/>
    <col min="772" max="772" width="3.28515625" style="29" customWidth="1"/>
    <col min="773" max="773" width="2.28515625" style="29" customWidth="1"/>
    <col min="774" max="774" width="97.140625" style="29" customWidth="1"/>
    <col min="775" max="775" width="2.28515625" style="29" customWidth="1"/>
    <col min="776" max="1027" width="9.140625" style="29"/>
    <col min="1028" max="1028" width="3.28515625" style="29" customWidth="1"/>
    <col min="1029" max="1029" width="2.28515625" style="29" customWidth="1"/>
    <col min="1030" max="1030" width="97.140625" style="29" customWidth="1"/>
    <col min="1031" max="1031" width="2.28515625" style="29" customWidth="1"/>
    <col min="1032" max="1283" width="9.140625" style="29"/>
    <col min="1284" max="1284" width="3.28515625" style="29" customWidth="1"/>
    <col min="1285" max="1285" width="2.28515625" style="29" customWidth="1"/>
    <col min="1286" max="1286" width="97.140625" style="29" customWidth="1"/>
    <col min="1287" max="1287" width="2.28515625" style="29" customWidth="1"/>
    <col min="1288" max="1539" width="9.140625" style="29"/>
    <col min="1540" max="1540" width="3.28515625" style="29" customWidth="1"/>
    <col min="1541" max="1541" width="2.28515625" style="29" customWidth="1"/>
    <col min="1542" max="1542" width="97.140625" style="29" customWidth="1"/>
    <col min="1543" max="1543" width="2.28515625" style="29" customWidth="1"/>
    <col min="1544" max="1795" width="9.140625" style="29"/>
    <col min="1796" max="1796" width="3.28515625" style="29" customWidth="1"/>
    <col min="1797" max="1797" width="2.28515625" style="29" customWidth="1"/>
    <col min="1798" max="1798" width="97.140625" style="29" customWidth="1"/>
    <col min="1799" max="1799" width="2.28515625" style="29" customWidth="1"/>
    <col min="1800" max="2051" width="9.140625" style="29"/>
    <col min="2052" max="2052" width="3.28515625" style="29" customWidth="1"/>
    <col min="2053" max="2053" width="2.28515625" style="29" customWidth="1"/>
    <col min="2054" max="2054" width="97.140625" style="29" customWidth="1"/>
    <col min="2055" max="2055" width="2.28515625" style="29" customWidth="1"/>
    <col min="2056" max="2307" width="9.140625" style="29"/>
    <col min="2308" max="2308" width="3.28515625" style="29" customWidth="1"/>
    <col min="2309" max="2309" width="2.28515625" style="29" customWidth="1"/>
    <col min="2310" max="2310" width="97.140625" style="29" customWidth="1"/>
    <col min="2311" max="2311" width="2.28515625" style="29" customWidth="1"/>
    <col min="2312" max="2563" width="9.140625" style="29"/>
    <col min="2564" max="2564" width="3.28515625" style="29" customWidth="1"/>
    <col min="2565" max="2565" width="2.28515625" style="29" customWidth="1"/>
    <col min="2566" max="2566" width="97.140625" style="29" customWidth="1"/>
    <col min="2567" max="2567" width="2.28515625" style="29" customWidth="1"/>
    <col min="2568" max="2819" width="9.140625" style="29"/>
    <col min="2820" max="2820" width="3.28515625" style="29" customWidth="1"/>
    <col min="2821" max="2821" width="2.28515625" style="29" customWidth="1"/>
    <col min="2822" max="2822" width="97.140625" style="29" customWidth="1"/>
    <col min="2823" max="2823" width="2.28515625" style="29" customWidth="1"/>
    <col min="2824" max="3075" width="9.140625" style="29"/>
    <col min="3076" max="3076" width="3.28515625" style="29" customWidth="1"/>
    <col min="3077" max="3077" width="2.28515625" style="29" customWidth="1"/>
    <col min="3078" max="3078" width="97.140625" style="29" customWidth="1"/>
    <col min="3079" max="3079" width="2.28515625" style="29" customWidth="1"/>
    <col min="3080" max="3331" width="9.140625" style="29"/>
    <col min="3332" max="3332" width="3.28515625" style="29" customWidth="1"/>
    <col min="3333" max="3333" width="2.28515625" style="29" customWidth="1"/>
    <col min="3334" max="3334" width="97.140625" style="29" customWidth="1"/>
    <col min="3335" max="3335" width="2.28515625" style="29" customWidth="1"/>
    <col min="3336" max="3587" width="9.140625" style="29"/>
    <col min="3588" max="3588" width="3.28515625" style="29" customWidth="1"/>
    <col min="3589" max="3589" width="2.28515625" style="29" customWidth="1"/>
    <col min="3590" max="3590" width="97.140625" style="29" customWidth="1"/>
    <col min="3591" max="3591" width="2.28515625" style="29" customWidth="1"/>
    <col min="3592" max="3843" width="9.140625" style="29"/>
    <col min="3844" max="3844" width="3.28515625" style="29" customWidth="1"/>
    <col min="3845" max="3845" width="2.28515625" style="29" customWidth="1"/>
    <col min="3846" max="3846" width="97.140625" style="29" customWidth="1"/>
    <col min="3847" max="3847" width="2.28515625" style="29" customWidth="1"/>
    <col min="3848" max="4099" width="9.140625" style="29"/>
    <col min="4100" max="4100" width="3.28515625" style="29" customWidth="1"/>
    <col min="4101" max="4101" width="2.28515625" style="29" customWidth="1"/>
    <col min="4102" max="4102" width="97.140625" style="29" customWidth="1"/>
    <col min="4103" max="4103" width="2.28515625" style="29" customWidth="1"/>
    <col min="4104" max="4355" width="9.140625" style="29"/>
    <col min="4356" max="4356" width="3.28515625" style="29" customWidth="1"/>
    <col min="4357" max="4357" width="2.28515625" style="29" customWidth="1"/>
    <col min="4358" max="4358" width="97.140625" style="29" customWidth="1"/>
    <col min="4359" max="4359" width="2.28515625" style="29" customWidth="1"/>
    <col min="4360" max="4611" width="9.140625" style="29"/>
    <col min="4612" max="4612" width="3.28515625" style="29" customWidth="1"/>
    <col min="4613" max="4613" width="2.28515625" style="29" customWidth="1"/>
    <col min="4614" max="4614" width="97.140625" style="29" customWidth="1"/>
    <col min="4615" max="4615" width="2.28515625" style="29" customWidth="1"/>
    <col min="4616" max="4867" width="9.140625" style="29"/>
    <col min="4868" max="4868" width="3.28515625" style="29" customWidth="1"/>
    <col min="4869" max="4869" width="2.28515625" style="29" customWidth="1"/>
    <col min="4870" max="4870" width="97.140625" style="29" customWidth="1"/>
    <col min="4871" max="4871" width="2.28515625" style="29" customWidth="1"/>
    <col min="4872" max="5123" width="9.140625" style="29"/>
    <col min="5124" max="5124" width="3.28515625" style="29" customWidth="1"/>
    <col min="5125" max="5125" width="2.28515625" style="29" customWidth="1"/>
    <col min="5126" max="5126" width="97.140625" style="29" customWidth="1"/>
    <col min="5127" max="5127" width="2.28515625" style="29" customWidth="1"/>
    <col min="5128" max="5379" width="9.140625" style="29"/>
    <col min="5380" max="5380" width="3.28515625" style="29" customWidth="1"/>
    <col min="5381" max="5381" width="2.28515625" style="29" customWidth="1"/>
    <col min="5382" max="5382" width="97.140625" style="29" customWidth="1"/>
    <col min="5383" max="5383" width="2.28515625" style="29" customWidth="1"/>
    <col min="5384" max="5635" width="9.140625" style="29"/>
    <col min="5636" max="5636" width="3.28515625" style="29" customWidth="1"/>
    <col min="5637" max="5637" width="2.28515625" style="29" customWidth="1"/>
    <col min="5638" max="5638" width="97.140625" style="29" customWidth="1"/>
    <col min="5639" max="5639" width="2.28515625" style="29" customWidth="1"/>
    <col min="5640" max="5891" width="9.140625" style="29"/>
    <col min="5892" max="5892" width="3.28515625" style="29" customWidth="1"/>
    <col min="5893" max="5893" width="2.28515625" style="29" customWidth="1"/>
    <col min="5894" max="5894" width="97.140625" style="29" customWidth="1"/>
    <col min="5895" max="5895" width="2.28515625" style="29" customWidth="1"/>
    <col min="5896" max="6147" width="9.140625" style="29"/>
    <col min="6148" max="6148" width="3.28515625" style="29" customWidth="1"/>
    <col min="6149" max="6149" width="2.28515625" style="29" customWidth="1"/>
    <col min="6150" max="6150" width="97.140625" style="29" customWidth="1"/>
    <col min="6151" max="6151" width="2.28515625" style="29" customWidth="1"/>
    <col min="6152" max="6403" width="9.140625" style="29"/>
    <col min="6404" max="6404" width="3.28515625" style="29" customWidth="1"/>
    <col min="6405" max="6405" width="2.28515625" style="29" customWidth="1"/>
    <col min="6406" max="6406" width="97.140625" style="29" customWidth="1"/>
    <col min="6407" max="6407" width="2.28515625" style="29" customWidth="1"/>
    <col min="6408" max="6659" width="9.140625" style="29"/>
    <col min="6660" max="6660" width="3.28515625" style="29" customWidth="1"/>
    <col min="6661" max="6661" width="2.28515625" style="29" customWidth="1"/>
    <col min="6662" max="6662" width="97.140625" style="29" customWidth="1"/>
    <col min="6663" max="6663" width="2.28515625" style="29" customWidth="1"/>
    <col min="6664" max="6915" width="9.140625" style="29"/>
    <col min="6916" max="6916" width="3.28515625" style="29" customWidth="1"/>
    <col min="6917" max="6917" width="2.28515625" style="29" customWidth="1"/>
    <col min="6918" max="6918" width="97.140625" style="29" customWidth="1"/>
    <col min="6919" max="6919" width="2.28515625" style="29" customWidth="1"/>
    <col min="6920" max="7171" width="9.140625" style="29"/>
    <col min="7172" max="7172" width="3.28515625" style="29" customWidth="1"/>
    <col min="7173" max="7173" width="2.28515625" style="29" customWidth="1"/>
    <col min="7174" max="7174" width="97.140625" style="29" customWidth="1"/>
    <col min="7175" max="7175" width="2.28515625" style="29" customWidth="1"/>
    <col min="7176" max="7427" width="9.140625" style="29"/>
    <col min="7428" max="7428" width="3.28515625" style="29" customWidth="1"/>
    <col min="7429" max="7429" width="2.28515625" style="29" customWidth="1"/>
    <col min="7430" max="7430" width="97.140625" style="29" customWidth="1"/>
    <col min="7431" max="7431" width="2.28515625" style="29" customWidth="1"/>
    <col min="7432" max="7683" width="9.140625" style="29"/>
    <col min="7684" max="7684" width="3.28515625" style="29" customWidth="1"/>
    <col min="7685" max="7685" width="2.28515625" style="29" customWidth="1"/>
    <col min="7686" max="7686" width="97.140625" style="29" customWidth="1"/>
    <col min="7687" max="7687" width="2.28515625" style="29" customWidth="1"/>
    <col min="7688" max="7939" width="9.140625" style="29"/>
    <col min="7940" max="7940" width="3.28515625" style="29" customWidth="1"/>
    <col min="7941" max="7941" width="2.28515625" style="29" customWidth="1"/>
    <col min="7942" max="7942" width="97.140625" style="29" customWidth="1"/>
    <col min="7943" max="7943" width="2.28515625" style="29" customWidth="1"/>
    <col min="7944" max="8195" width="9.140625" style="29"/>
    <col min="8196" max="8196" width="3.28515625" style="29" customWidth="1"/>
    <col min="8197" max="8197" width="2.28515625" style="29" customWidth="1"/>
    <col min="8198" max="8198" width="97.140625" style="29" customWidth="1"/>
    <col min="8199" max="8199" width="2.28515625" style="29" customWidth="1"/>
    <col min="8200" max="8451" width="9.140625" style="29"/>
    <col min="8452" max="8452" width="3.28515625" style="29" customWidth="1"/>
    <col min="8453" max="8453" width="2.28515625" style="29" customWidth="1"/>
    <col min="8454" max="8454" width="97.140625" style="29" customWidth="1"/>
    <col min="8455" max="8455" width="2.28515625" style="29" customWidth="1"/>
    <col min="8456" max="8707" width="9.140625" style="29"/>
    <col min="8708" max="8708" width="3.28515625" style="29" customWidth="1"/>
    <col min="8709" max="8709" width="2.28515625" style="29" customWidth="1"/>
    <col min="8710" max="8710" width="97.140625" style="29" customWidth="1"/>
    <col min="8711" max="8711" width="2.28515625" style="29" customWidth="1"/>
    <col min="8712" max="8963" width="9.140625" style="29"/>
    <col min="8964" max="8964" width="3.28515625" style="29" customWidth="1"/>
    <col min="8965" max="8965" width="2.28515625" style="29" customWidth="1"/>
    <col min="8966" max="8966" width="97.140625" style="29" customWidth="1"/>
    <col min="8967" max="8967" width="2.28515625" style="29" customWidth="1"/>
    <col min="8968" max="9219" width="9.140625" style="29"/>
    <col min="9220" max="9220" width="3.28515625" style="29" customWidth="1"/>
    <col min="9221" max="9221" width="2.28515625" style="29" customWidth="1"/>
    <col min="9222" max="9222" width="97.140625" style="29" customWidth="1"/>
    <col min="9223" max="9223" width="2.28515625" style="29" customWidth="1"/>
    <col min="9224" max="9475" width="9.140625" style="29"/>
    <col min="9476" max="9476" width="3.28515625" style="29" customWidth="1"/>
    <col min="9477" max="9477" width="2.28515625" style="29" customWidth="1"/>
    <col min="9478" max="9478" width="97.140625" style="29" customWidth="1"/>
    <col min="9479" max="9479" width="2.28515625" style="29" customWidth="1"/>
    <col min="9480" max="9731" width="9.140625" style="29"/>
    <col min="9732" max="9732" width="3.28515625" style="29" customWidth="1"/>
    <col min="9733" max="9733" width="2.28515625" style="29" customWidth="1"/>
    <col min="9734" max="9734" width="97.140625" style="29" customWidth="1"/>
    <col min="9735" max="9735" width="2.28515625" style="29" customWidth="1"/>
    <col min="9736" max="9987" width="9.140625" style="29"/>
    <col min="9988" max="9988" width="3.28515625" style="29" customWidth="1"/>
    <col min="9989" max="9989" width="2.28515625" style="29" customWidth="1"/>
    <col min="9990" max="9990" width="97.140625" style="29" customWidth="1"/>
    <col min="9991" max="9991" width="2.28515625" style="29" customWidth="1"/>
    <col min="9992" max="10243" width="9.140625" style="29"/>
    <col min="10244" max="10244" width="3.28515625" style="29" customWidth="1"/>
    <col min="10245" max="10245" width="2.28515625" style="29" customWidth="1"/>
    <col min="10246" max="10246" width="97.140625" style="29" customWidth="1"/>
    <col min="10247" max="10247" width="2.28515625" style="29" customWidth="1"/>
    <col min="10248" max="10499" width="9.140625" style="29"/>
    <col min="10500" max="10500" width="3.28515625" style="29" customWidth="1"/>
    <col min="10501" max="10501" width="2.28515625" style="29" customWidth="1"/>
    <col min="10502" max="10502" width="97.140625" style="29" customWidth="1"/>
    <col min="10503" max="10503" width="2.28515625" style="29" customWidth="1"/>
    <col min="10504" max="10755" width="9.140625" style="29"/>
    <col min="10756" max="10756" width="3.28515625" style="29" customWidth="1"/>
    <col min="10757" max="10757" width="2.28515625" style="29" customWidth="1"/>
    <col min="10758" max="10758" width="97.140625" style="29" customWidth="1"/>
    <col min="10759" max="10759" width="2.28515625" style="29" customWidth="1"/>
    <col min="10760" max="11011" width="9.140625" style="29"/>
    <col min="11012" max="11012" width="3.28515625" style="29" customWidth="1"/>
    <col min="11013" max="11013" width="2.28515625" style="29" customWidth="1"/>
    <col min="11014" max="11014" width="97.140625" style="29" customWidth="1"/>
    <col min="11015" max="11015" width="2.28515625" style="29" customWidth="1"/>
    <col min="11016" max="11267" width="9.140625" style="29"/>
    <col min="11268" max="11268" width="3.28515625" style="29" customWidth="1"/>
    <col min="11269" max="11269" width="2.28515625" style="29" customWidth="1"/>
    <col min="11270" max="11270" width="97.140625" style="29" customWidth="1"/>
    <col min="11271" max="11271" width="2.28515625" style="29" customWidth="1"/>
    <col min="11272" max="11523" width="9.140625" style="29"/>
    <col min="11524" max="11524" width="3.28515625" style="29" customWidth="1"/>
    <col min="11525" max="11525" width="2.28515625" style="29" customWidth="1"/>
    <col min="11526" max="11526" width="97.140625" style="29" customWidth="1"/>
    <col min="11527" max="11527" width="2.28515625" style="29" customWidth="1"/>
    <col min="11528" max="11779" width="9.140625" style="29"/>
    <col min="11780" max="11780" width="3.28515625" style="29" customWidth="1"/>
    <col min="11781" max="11781" width="2.28515625" style="29" customWidth="1"/>
    <col min="11782" max="11782" width="97.140625" style="29" customWidth="1"/>
    <col min="11783" max="11783" width="2.28515625" style="29" customWidth="1"/>
    <col min="11784" max="12035" width="9.140625" style="29"/>
    <col min="12036" max="12036" width="3.28515625" style="29" customWidth="1"/>
    <col min="12037" max="12037" width="2.28515625" style="29" customWidth="1"/>
    <col min="12038" max="12038" width="97.140625" style="29" customWidth="1"/>
    <col min="12039" max="12039" width="2.28515625" style="29" customWidth="1"/>
    <col min="12040" max="12291" width="9.140625" style="29"/>
    <col min="12292" max="12292" width="3.28515625" style="29" customWidth="1"/>
    <col min="12293" max="12293" width="2.28515625" style="29" customWidth="1"/>
    <col min="12294" max="12294" width="97.140625" style="29" customWidth="1"/>
    <col min="12295" max="12295" width="2.28515625" style="29" customWidth="1"/>
    <col min="12296" max="12547" width="9.140625" style="29"/>
    <col min="12548" max="12548" width="3.28515625" style="29" customWidth="1"/>
    <col min="12549" max="12549" width="2.28515625" style="29" customWidth="1"/>
    <col min="12550" max="12550" width="97.140625" style="29" customWidth="1"/>
    <col min="12551" max="12551" width="2.28515625" style="29" customWidth="1"/>
    <col min="12552" max="12803" width="9.140625" style="29"/>
    <col min="12804" max="12804" width="3.28515625" style="29" customWidth="1"/>
    <col min="12805" max="12805" width="2.28515625" style="29" customWidth="1"/>
    <col min="12806" max="12806" width="97.140625" style="29" customWidth="1"/>
    <col min="12807" max="12807" width="2.28515625" style="29" customWidth="1"/>
    <col min="12808" max="13059" width="9.140625" style="29"/>
    <col min="13060" max="13060" width="3.28515625" style="29" customWidth="1"/>
    <col min="13061" max="13061" width="2.28515625" style="29" customWidth="1"/>
    <col min="13062" max="13062" width="97.140625" style="29" customWidth="1"/>
    <col min="13063" max="13063" width="2.28515625" style="29" customWidth="1"/>
    <col min="13064" max="13315" width="9.140625" style="29"/>
    <col min="13316" max="13316" width="3.28515625" style="29" customWidth="1"/>
    <col min="13317" max="13317" width="2.28515625" style="29" customWidth="1"/>
    <col min="13318" max="13318" width="97.140625" style="29" customWidth="1"/>
    <col min="13319" max="13319" width="2.28515625" style="29" customWidth="1"/>
    <col min="13320" max="13571" width="9.140625" style="29"/>
    <col min="13572" max="13572" width="3.28515625" style="29" customWidth="1"/>
    <col min="13573" max="13573" width="2.28515625" style="29" customWidth="1"/>
    <col min="13574" max="13574" width="97.140625" style="29" customWidth="1"/>
    <col min="13575" max="13575" width="2.28515625" style="29" customWidth="1"/>
    <col min="13576" max="13827" width="9.140625" style="29"/>
    <col min="13828" max="13828" width="3.28515625" style="29" customWidth="1"/>
    <col min="13829" max="13829" width="2.28515625" style="29" customWidth="1"/>
    <col min="13830" max="13830" width="97.140625" style="29" customWidth="1"/>
    <col min="13831" max="13831" width="2.28515625" style="29" customWidth="1"/>
    <col min="13832" max="14083" width="9.140625" style="29"/>
    <col min="14084" max="14084" width="3.28515625" style="29" customWidth="1"/>
    <col min="14085" max="14085" width="2.28515625" style="29" customWidth="1"/>
    <col min="14086" max="14086" width="97.140625" style="29" customWidth="1"/>
    <col min="14087" max="14087" width="2.28515625" style="29" customWidth="1"/>
    <col min="14088" max="14339" width="9.140625" style="29"/>
    <col min="14340" max="14340" width="3.28515625" style="29" customWidth="1"/>
    <col min="14341" max="14341" width="2.28515625" style="29" customWidth="1"/>
    <col min="14342" max="14342" width="97.140625" style="29" customWidth="1"/>
    <col min="14343" max="14343" width="2.28515625" style="29" customWidth="1"/>
    <col min="14344" max="14595" width="9.140625" style="29"/>
    <col min="14596" max="14596" width="3.28515625" style="29" customWidth="1"/>
    <col min="14597" max="14597" width="2.28515625" style="29" customWidth="1"/>
    <col min="14598" max="14598" width="97.140625" style="29" customWidth="1"/>
    <col min="14599" max="14599" width="2.28515625" style="29" customWidth="1"/>
    <col min="14600" max="14851" width="9.140625" style="29"/>
    <col min="14852" max="14852" width="3.28515625" style="29" customWidth="1"/>
    <col min="14853" max="14853" width="2.28515625" style="29" customWidth="1"/>
    <col min="14854" max="14854" width="97.140625" style="29" customWidth="1"/>
    <col min="14855" max="14855" width="2.28515625" style="29" customWidth="1"/>
    <col min="14856" max="15107" width="9.140625" style="29"/>
    <col min="15108" max="15108" width="3.28515625" style="29" customWidth="1"/>
    <col min="15109" max="15109" width="2.28515625" style="29" customWidth="1"/>
    <col min="15110" max="15110" width="97.140625" style="29" customWidth="1"/>
    <col min="15111" max="15111" width="2.28515625" style="29" customWidth="1"/>
    <col min="15112" max="15363" width="9.140625" style="29"/>
    <col min="15364" max="15364" width="3.28515625" style="29" customWidth="1"/>
    <col min="15365" max="15365" width="2.28515625" style="29" customWidth="1"/>
    <col min="15366" max="15366" width="97.140625" style="29" customWidth="1"/>
    <col min="15367" max="15367" width="2.28515625" style="29" customWidth="1"/>
    <col min="15368" max="15619" width="9.140625" style="29"/>
    <col min="15620" max="15620" width="3.28515625" style="29" customWidth="1"/>
    <col min="15621" max="15621" width="2.28515625" style="29" customWidth="1"/>
    <col min="15622" max="15622" width="97.140625" style="29" customWidth="1"/>
    <col min="15623" max="15623" width="2.28515625" style="29" customWidth="1"/>
    <col min="15624" max="15875" width="9.140625" style="29"/>
    <col min="15876" max="15876" width="3.28515625" style="29" customWidth="1"/>
    <col min="15877" max="15877" width="2.28515625" style="29" customWidth="1"/>
    <col min="15878" max="15878" width="97.140625" style="29" customWidth="1"/>
    <col min="15879" max="15879" width="2.28515625" style="29" customWidth="1"/>
    <col min="15880" max="16131" width="9.140625" style="29"/>
    <col min="16132" max="16132" width="3.28515625" style="29" customWidth="1"/>
    <col min="16133" max="16133" width="2.28515625" style="29" customWidth="1"/>
    <col min="16134" max="16134" width="97.140625" style="29" customWidth="1"/>
    <col min="16135" max="16135" width="2.28515625" style="29" customWidth="1"/>
    <col min="16136" max="16384" width="9.140625" style="29"/>
  </cols>
  <sheetData>
    <row r="2" spans="2:7" ht="20.25" x14ac:dyDescent="0.3">
      <c r="B2" s="166" t="s">
        <v>5262</v>
      </c>
      <c r="C2" s="167"/>
      <c r="D2" s="167"/>
      <c r="E2" s="168"/>
      <c r="F2" s="168"/>
      <c r="G2" s="169"/>
    </row>
    <row r="3" spans="2:7" ht="15.75" thickBot="1" x14ac:dyDescent="0.3">
      <c r="B3" s="41"/>
      <c r="C3" s="32"/>
      <c r="D3" s="32"/>
      <c r="E3" s="53"/>
      <c r="F3" s="53"/>
      <c r="G3" s="42"/>
    </row>
    <row r="4" spans="2:7" ht="15" x14ac:dyDescent="0.25">
      <c r="B4" s="43" t="s">
        <v>5250</v>
      </c>
      <c r="C4" s="56" t="s">
        <v>5270</v>
      </c>
      <c r="D4" s="54"/>
      <c r="E4" s="37" t="s">
        <v>133</v>
      </c>
      <c r="F4" s="37"/>
      <c r="G4" s="44"/>
    </row>
    <row r="5" spans="2:7" ht="15" customHeight="1" x14ac:dyDescent="0.25">
      <c r="B5" s="45" t="s">
        <v>5251</v>
      </c>
      <c r="C5" s="34"/>
      <c r="D5" s="173" t="s">
        <v>5267</v>
      </c>
      <c r="E5" s="173"/>
      <c r="F5" s="173"/>
      <c r="G5" s="44"/>
    </row>
    <row r="6" spans="2:7" ht="15" x14ac:dyDescent="0.25">
      <c r="B6" s="45" t="s">
        <v>5252</v>
      </c>
      <c r="C6" s="34"/>
      <c r="D6" s="173"/>
      <c r="E6" s="173"/>
      <c r="F6" s="173"/>
      <c r="G6" s="44"/>
    </row>
    <row r="7" spans="2:7" ht="15" x14ac:dyDescent="0.25">
      <c r="B7" s="46" t="s">
        <v>5253</v>
      </c>
      <c r="C7" s="39"/>
      <c r="D7" s="173"/>
      <c r="E7" s="173"/>
      <c r="F7" s="173"/>
      <c r="G7" s="44"/>
    </row>
    <row r="8" spans="2:7" ht="15" x14ac:dyDescent="0.25">
      <c r="B8" s="46" t="s">
        <v>5255</v>
      </c>
      <c r="C8" s="39"/>
      <c r="D8" s="173"/>
      <c r="E8" s="173"/>
      <c r="F8" s="173"/>
      <c r="G8" s="44"/>
    </row>
    <row r="9" spans="2:7" ht="15" x14ac:dyDescent="0.25">
      <c r="B9" s="47" t="s">
        <v>76</v>
      </c>
      <c r="C9" s="33"/>
      <c r="D9" s="173"/>
      <c r="E9" s="173"/>
      <c r="F9" s="173"/>
      <c r="G9" s="44"/>
    </row>
    <row r="10" spans="2:7" ht="15" x14ac:dyDescent="0.25">
      <c r="B10" s="47" t="s">
        <v>5256</v>
      </c>
      <c r="C10" s="33"/>
      <c r="D10" s="173"/>
      <c r="E10" s="173"/>
      <c r="F10" s="173"/>
      <c r="G10" s="44"/>
    </row>
    <row r="11" spans="2:7" ht="15" x14ac:dyDescent="0.25">
      <c r="B11" s="47" t="s">
        <v>5257</v>
      </c>
      <c r="C11" s="33"/>
      <c r="D11" s="173"/>
      <c r="E11" s="173"/>
      <c r="F11" s="173"/>
      <c r="G11" s="44"/>
    </row>
    <row r="12" spans="2:7" ht="15" x14ac:dyDescent="0.25">
      <c r="B12" s="47" t="s">
        <v>34</v>
      </c>
      <c r="C12" s="33"/>
      <c r="D12" s="173"/>
      <c r="E12" s="173"/>
      <c r="F12" s="173"/>
      <c r="G12" s="44"/>
    </row>
    <row r="13" spans="2:7" ht="15" x14ac:dyDescent="0.25">
      <c r="B13" s="47" t="s">
        <v>5258</v>
      </c>
      <c r="C13" s="33"/>
      <c r="D13" s="173"/>
      <c r="E13" s="173"/>
      <c r="F13" s="173"/>
      <c r="G13" s="44"/>
    </row>
    <row r="14" spans="2:7" ht="15" x14ac:dyDescent="0.25">
      <c r="B14" s="47" t="s">
        <v>5259</v>
      </c>
      <c r="C14" s="33"/>
      <c r="D14" s="173"/>
      <c r="E14" s="173"/>
      <c r="F14" s="173"/>
      <c r="G14" s="44"/>
    </row>
    <row r="15" spans="2:7" s="30" customFormat="1" ht="15" x14ac:dyDescent="0.25">
      <c r="B15" s="47" t="s">
        <v>5260</v>
      </c>
      <c r="C15" s="33"/>
      <c r="D15" s="173"/>
      <c r="E15" s="173"/>
      <c r="F15" s="173"/>
      <c r="G15" s="44"/>
    </row>
    <row r="16" spans="2:7" ht="15" x14ac:dyDescent="0.25">
      <c r="B16" s="47" t="s">
        <v>5261</v>
      </c>
      <c r="C16" s="33"/>
      <c r="D16" s="173"/>
      <c r="E16" s="173"/>
      <c r="F16" s="173"/>
      <c r="G16" s="44"/>
    </row>
    <row r="17" spans="2:7" s="30" customFormat="1" ht="15" x14ac:dyDescent="0.25">
      <c r="B17" s="48" t="s">
        <v>5263</v>
      </c>
      <c r="C17" s="36"/>
      <c r="D17" s="173"/>
      <c r="E17" s="173"/>
      <c r="F17" s="173"/>
      <c r="G17" s="44"/>
    </row>
    <row r="18" spans="2:7" ht="15" x14ac:dyDescent="0.25">
      <c r="B18" s="47" t="s">
        <v>5264</v>
      </c>
      <c r="C18" s="33"/>
      <c r="D18" s="37"/>
      <c r="E18" s="37"/>
      <c r="F18" s="89" t="s">
        <v>5280</v>
      </c>
      <c r="G18" s="44"/>
    </row>
    <row r="19" spans="2:7" s="30" customFormat="1" ht="15" x14ac:dyDescent="0.25">
      <c r="B19" s="47" t="s">
        <v>5265</v>
      </c>
      <c r="C19" s="33"/>
      <c r="D19" s="37"/>
      <c r="E19" s="37"/>
      <c r="F19" s="37"/>
      <c r="G19" s="44"/>
    </row>
    <row r="20" spans="2:7" ht="15.75" customHeight="1" thickBot="1" x14ac:dyDescent="0.3">
      <c r="B20" s="49" t="s">
        <v>5266</v>
      </c>
      <c r="C20" s="40"/>
      <c r="D20" s="174" t="s">
        <v>5268</v>
      </c>
      <c r="E20" s="174"/>
      <c r="F20" s="174"/>
      <c r="G20" s="44"/>
    </row>
    <row r="21" spans="2:7" ht="15" x14ac:dyDescent="0.25">
      <c r="B21" s="50"/>
      <c r="C21" s="40"/>
      <c r="D21" s="174"/>
      <c r="E21" s="174"/>
      <c r="F21" s="174"/>
      <c r="G21" s="44"/>
    </row>
    <row r="22" spans="2:7" ht="15" x14ac:dyDescent="0.25">
      <c r="B22" s="51"/>
      <c r="C22" s="35"/>
      <c r="D22" s="35"/>
      <c r="E22" s="35"/>
      <c r="F22" s="35"/>
      <c r="G22" s="52"/>
    </row>
    <row r="23" spans="2:7" s="31" customFormat="1" x14ac:dyDescent="0.2">
      <c r="B23" s="170"/>
      <c r="C23" s="171"/>
      <c r="D23" s="171"/>
      <c r="E23" s="171"/>
      <c r="F23" s="171"/>
      <c r="G23" s="172"/>
    </row>
  </sheetData>
  <mergeCells count="4">
    <mergeCell ref="B2:G2"/>
    <mergeCell ref="B23:G23"/>
    <mergeCell ref="D5:F17"/>
    <mergeCell ref="D20:F21"/>
  </mergeCells>
  <hyperlinks>
    <hyperlink ref="B7" location="CCspecies" display="Cover Crop Selection" xr:uid="{E2769925-36FF-4113-A294-D6E670C1F200}"/>
    <hyperlink ref="B8" location="Planting!CCPlant" display="Planting" xr:uid="{0D5C1EDD-D2BF-4D86-8F79-3562892E0BEC}"/>
    <hyperlink ref="B4" location="home" display="Home" xr:uid="{921D4897-5576-4EEB-A0FA-9DF82C3D70B0}"/>
    <hyperlink ref="F18" location="CCspecies" display="Next" xr:uid="{8341355B-5918-4D6F-9D7D-0DCAD20A24DB}"/>
  </hyperlinks>
  <pageMargins left="0.7" right="0.7" top="0.75" bottom="0.75" header="0.3" footer="0.3"/>
  <pageSetup scale="90" orientation="portrait" r:id="rId1"/>
  <colBreaks count="1" manualBreakCount="1">
    <brk id="1" max="26" man="1"/>
  </colBreaks>
  <picture r:id="rId2"/>
  <extLst>
    <ext xmlns:x14="http://schemas.microsoft.com/office/spreadsheetml/2009/9/main" uri="{CCE6A557-97BC-4b89-ADB6-D9C93CAAB3DF}">
      <x14:dataValidations xmlns:xm="http://schemas.microsoft.com/office/excel/2006/main" count="1">
        <x14:dataValidation type="list" allowBlank="1" showInputMessage="1" showErrorMessage="1" xr:uid="{FC67153E-FC1B-4AC5-A9F7-EE67AECC85FC}">
          <x14:formula1>
            <xm:f>Geography!$J$5:$J$55</xm:f>
          </x14:formula1>
          <xm:sqref>F4 E4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E5D8D-1E59-4C7B-80D0-01845F81CE8F}">
  <sheetPr codeName="Sheet7"/>
  <dimension ref="B2:L25"/>
  <sheetViews>
    <sheetView showGridLines="0" zoomScale="115" zoomScaleNormal="115" workbookViewId="0">
      <selection activeCell="I12" sqref="I12"/>
    </sheetView>
  </sheetViews>
  <sheetFormatPr defaultColWidth="8.85546875" defaultRowHeight="15" x14ac:dyDescent="0.25"/>
  <cols>
    <col min="1" max="1" width="4" customWidth="1"/>
    <col min="2" max="2" width="25.28515625" customWidth="1"/>
    <col min="4" max="4" width="22.140625" bestFit="1" customWidth="1"/>
    <col min="5" max="5" width="13.85546875" customWidth="1"/>
    <col min="7" max="7" width="16.28515625" customWidth="1"/>
    <col min="8" max="8" width="15.42578125" customWidth="1"/>
    <col min="9" max="9" width="8.42578125" customWidth="1"/>
  </cols>
  <sheetData>
    <row r="2" spans="2:12" ht="20.25" x14ac:dyDescent="0.3">
      <c r="B2" s="166" t="s">
        <v>5269</v>
      </c>
      <c r="C2" s="167"/>
      <c r="D2" s="167"/>
      <c r="E2" s="167"/>
      <c r="F2" s="167"/>
      <c r="G2" s="167"/>
      <c r="H2" s="167"/>
      <c r="I2" s="167"/>
      <c r="J2" s="175"/>
    </row>
    <row r="3" spans="2:12" x14ac:dyDescent="0.25">
      <c r="B3" s="57"/>
      <c r="C3" s="55"/>
      <c r="D3" s="55"/>
      <c r="E3" s="55"/>
      <c r="F3" s="55"/>
      <c r="G3" s="55"/>
      <c r="H3" s="55"/>
      <c r="I3" s="55"/>
      <c r="J3" s="58"/>
    </row>
    <row r="4" spans="2:12" x14ac:dyDescent="0.25">
      <c r="B4" s="57"/>
      <c r="C4" s="55"/>
      <c r="D4" s="180" t="s">
        <v>5276</v>
      </c>
      <c r="E4" s="181"/>
      <c r="F4" s="181"/>
      <c r="G4" s="181"/>
      <c r="H4" s="181"/>
      <c r="I4" s="182"/>
      <c r="J4" s="58"/>
    </row>
    <row r="5" spans="2:12" ht="15.75" customHeight="1" thickBot="1" x14ac:dyDescent="0.3">
      <c r="B5" s="57"/>
      <c r="C5" s="55"/>
      <c r="D5" s="183"/>
      <c r="E5" s="184"/>
      <c r="F5" s="184"/>
      <c r="G5" s="184"/>
      <c r="H5" s="184"/>
      <c r="I5" s="185"/>
      <c r="J5" s="58"/>
    </row>
    <row r="6" spans="2:12" x14ac:dyDescent="0.25">
      <c r="B6" s="43" t="s">
        <v>5250</v>
      </c>
      <c r="C6" s="55"/>
      <c r="D6" s="183"/>
      <c r="E6" s="184"/>
      <c r="F6" s="184"/>
      <c r="G6" s="184"/>
      <c r="H6" s="184"/>
      <c r="I6" s="185"/>
      <c r="J6" s="58"/>
    </row>
    <row r="7" spans="2:12" x14ac:dyDescent="0.25">
      <c r="B7" s="45" t="s">
        <v>5251</v>
      </c>
      <c r="C7" s="55"/>
      <c r="D7" s="186"/>
      <c r="E7" s="187"/>
      <c r="F7" s="187"/>
      <c r="G7" s="187"/>
      <c r="H7" s="187"/>
      <c r="I7" s="188"/>
      <c r="J7" s="58"/>
    </row>
    <row r="8" spans="2:12" x14ac:dyDescent="0.25">
      <c r="B8" s="45" t="s">
        <v>5252</v>
      </c>
      <c r="C8" s="55"/>
      <c r="D8" s="55"/>
      <c r="E8" s="55"/>
      <c r="F8" s="55"/>
      <c r="G8" s="55"/>
      <c r="H8" s="55"/>
      <c r="I8" s="55"/>
      <c r="J8" s="58"/>
    </row>
    <row r="9" spans="2:12" x14ac:dyDescent="0.25">
      <c r="B9" s="46" t="s">
        <v>5253</v>
      </c>
      <c r="C9" s="55"/>
      <c r="D9" s="61" t="s">
        <v>5278</v>
      </c>
      <c r="F9" s="55"/>
      <c r="G9" s="55"/>
      <c r="H9" s="61" t="s">
        <v>5279</v>
      </c>
      <c r="I9" s="61"/>
      <c r="J9" s="58"/>
      <c r="L9" t="s">
        <v>121</v>
      </c>
    </row>
    <row r="10" spans="2:12" ht="30" x14ac:dyDescent="0.25">
      <c r="B10" s="46" t="s">
        <v>5255</v>
      </c>
      <c r="C10" s="55"/>
      <c r="D10" s="59" t="s">
        <v>0</v>
      </c>
      <c r="E10" s="67" t="s">
        <v>13</v>
      </c>
      <c r="F10" s="67" t="s">
        <v>12</v>
      </c>
      <c r="G10" s="67"/>
      <c r="H10" s="67" t="s">
        <v>13</v>
      </c>
      <c r="I10" s="67" t="s">
        <v>12</v>
      </c>
      <c r="J10" s="63"/>
      <c r="L10" t="s">
        <v>122</v>
      </c>
    </row>
    <row r="11" spans="2:12" x14ac:dyDescent="0.25">
      <c r="B11" s="47" t="s">
        <v>76</v>
      </c>
      <c r="C11" s="55"/>
      <c r="D11" s="60" t="s">
        <v>3</v>
      </c>
      <c r="E11" s="65">
        <v>10</v>
      </c>
      <c r="F11" s="66">
        <v>0.75</v>
      </c>
      <c r="G11" s="38"/>
      <c r="H11" s="68" cm="1">
        <f t="array" ref="H11">_xlfn.XLOOKUP($D11,SeedList,SeedTable[Typical Seeding Rate (lb/ac)],"")</f>
        <v>12</v>
      </c>
      <c r="I11" s="69" cm="1">
        <f t="array" ref="I11">_xlfn.XLOOKUP($D11,SeedList,SeedTable[Estimated Price ($/lb)],"")</f>
        <v>0.7</v>
      </c>
      <c r="J11" s="64"/>
      <c r="L11" t="s">
        <v>5277</v>
      </c>
    </row>
    <row r="12" spans="2:12" x14ac:dyDescent="0.25">
      <c r="B12" s="47" t="s">
        <v>5256</v>
      </c>
      <c r="C12" s="55"/>
      <c r="D12" s="60" t="s">
        <v>2</v>
      </c>
      <c r="E12" s="65">
        <v>2</v>
      </c>
      <c r="F12" s="66">
        <v>1</v>
      </c>
      <c r="G12" s="38"/>
      <c r="H12" s="68" cm="1">
        <f t="array" ref="H12">_xlfn.XLOOKUP($D12,SeedList,SeedTable[Typical Seeding Rate (lb/ac)],"")</f>
        <v>11</v>
      </c>
      <c r="I12" s="69" cm="1">
        <f t="array" ref="I12">_xlfn.XLOOKUP($D12,SeedList,SeedTable[Estimated Price ($/lb)],"")</f>
        <v>0.6</v>
      </c>
      <c r="J12" s="64"/>
    </row>
    <row r="13" spans="2:12" x14ac:dyDescent="0.25">
      <c r="B13" s="47" t="s">
        <v>5257</v>
      </c>
      <c r="C13" s="55"/>
      <c r="D13" s="60"/>
      <c r="E13" s="65"/>
      <c r="F13" s="66"/>
      <c r="G13" s="38"/>
      <c r="H13" s="68" t="str" cm="1">
        <f t="array" ref="H13">_xlfn.XLOOKUP($D13,SeedList,SeedTable[Typical Seeding Rate (lb/ac)],"")</f>
        <v/>
      </c>
      <c r="I13" s="69" t="str" cm="1">
        <f t="array" ref="I13">_xlfn.XLOOKUP($D13,SeedList,SeedTable[Estimated Price ($/lb)],"")</f>
        <v/>
      </c>
      <c r="J13" s="64"/>
    </row>
    <row r="14" spans="2:12" x14ac:dyDescent="0.25">
      <c r="B14" s="47" t="s">
        <v>34</v>
      </c>
      <c r="C14" s="55"/>
      <c r="D14" s="60"/>
      <c r="E14" s="65"/>
      <c r="F14" s="66"/>
      <c r="G14" s="38"/>
      <c r="H14" s="68" t="str" cm="1">
        <f t="array" ref="H14">_xlfn.XLOOKUP($D14,SeedList,SeedTable[Typical Seeding Rate (lb/ac)],"")</f>
        <v/>
      </c>
      <c r="I14" s="69" t="str" cm="1">
        <f t="array" ref="I14">_xlfn.XLOOKUP($D14,SeedList,SeedTable[Estimated Price ($/lb)],"")</f>
        <v/>
      </c>
      <c r="J14" s="64"/>
    </row>
    <row r="15" spans="2:12" x14ac:dyDescent="0.25">
      <c r="B15" s="47" t="s">
        <v>5258</v>
      </c>
      <c r="C15" s="55"/>
      <c r="D15" s="60"/>
      <c r="E15" s="65"/>
      <c r="F15" s="66"/>
      <c r="G15" s="38"/>
      <c r="H15" s="68" t="str" cm="1">
        <f t="array" ref="H15">_xlfn.XLOOKUP($D15,SeedList,SeedTable[Typical Seeding Rate (lb/ac)],"")</f>
        <v/>
      </c>
      <c r="I15" s="69" t="str" cm="1">
        <f t="array" ref="I15">_xlfn.XLOOKUP($D15,SeedList,SeedTable[Estimated Price ($/lb)],"")</f>
        <v/>
      </c>
      <c r="J15" s="64"/>
    </row>
    <row r="16" spans="2:12" x14ac:dyDescent="0.25">
      <c r="B16" s="47" t="s">
        <v>5259</v>
      </c>
      <c r="C16" s="55"/>
      <c r="D16" s="61" t="s">
        <v>5274</v>
      </c>
      <c r="E16" s="61"/>
      <c r="F16" s="62">
        <f>SUMPRODUCT(E11:E15,F11:F15)</f>
        <v>9.5</v>
      </c>
      <c r="G16" s="110">
        <f>(F11*E11)+(E12*F12)</f>
        <v>9.5</v>
      </c>
      <c r="H16" s="55"/>
      <c r="I16" s="55"/>
      <c r="J16" s="64"/>
    </row>
    <row r="17" spans="2:10" x14ac:dyDescent="0.25">
      <c r="B17" s="47" t="s">
        <v>5260</v>
      </c>
      <c r="C17" s="55"/>
      <c r="D17" s="55"/>
      <c r="E17" s="55"/>
      <c r="F17" s="55"/>
      <c r="G17" s="110"/>
      <c r="H17" s="55"/>
      <c r="I17" s="55"/>
      <c r="J17" s="64"/>
    </row>
    <row r="18" spans="2:10" x14ac:dyDescent="0.25">
      <c r="B18" s="47" t="s">
        <v>5261</v>
      </c>
      <c r="C18" s="55"/>
      <c r="D18" s="55"/>
      <c r="E18" s="55"/>
      <c r="F18" s="55"/>
      <c r="G18" s="110"/>
      <c r="H18" s="55"/>
      <c r="I18" s="55"/>
      <c r="J18" s="64"/>
    </row>
    <row r="19" spans="2:10" x14ac:dyDescent="0.25">
      <c r="B19" s="48" t="s">
        <v>5263</v>
      </c>
      <c r="C19" s="55"/>
      <c r="D19" s="55"/>
      <c r="E19" s="55"/>
      <c r="F19" s="55"/>
      <c r="G19" s="110"/>
      <c r="H19" s="55"/>
      <c r="I19" s="55"/>
      <c r="J19" s="64"/>
    </row>
    <row r="20" spans="2:10" x14ac:dyDescent="0.25">
      <c r="B20" s="47" t="s">
        <v>5264</v>
      </c>
      <c r="C20" s="55"/>
      <c r="D20" s="55"/>
      <c r="E20" s="55"/>
      <c r="F20" s="55"/>
      <c r="G20" s="55"/>
      <c r="H20" s="55"/>
      <c r="I20" s="55"/>
      <c r="J20" s="58"/>
    </row>
    <row r="21" spans="2:10" x14ac:dyDescent="0.25">
      <c r="B21" s="47" t="s">
        <v>5265</v>
      </c>
      <c r="C21" s="55"/>
      <c r="D21" s="176" t="str">
        <f>IF(Geography!K2="midwest","Midwest Cover Crops Council Species Selector","Northeast Cover Crops Council Species Selector")</f>
        <v>Northeast Cover Crops Council Species Selector</v>
      </c>
      <c r="E21" s="55"/>
      <c r="F21" s="178" t="s">
        <v>5275</v>
      </c>
      <c r="G21" s="55"/>
      <c r="I21" s="55"/>
      <c r="J21" s="58"/>
    </row>
    <row r="22" spans="2:10" ht="15.75" thickBot="1" x14ac:dyDescent="0.3">
      <c r="B22" s="49" t="s">
        <v>5266</v>
      </c>
      <c r="C22" s="55"/>
      <c r="D22" s="177"/>
      <c r="E22" s="55"/>
      <c r="F22" s="179"/>
      <c r="G22" s="55"/>
      <c r="I22" s="55"/>
      <c r="J22" s="58"/>
    </row>
    <row r="23" spans="2:10" x14ac:dyDescent="0.25">
      <c r="B23" s="57"/>
      <c r="C23" s="55"/>
      <c r="D23" s="55"/>
      <c r="E23" s="55"/>
      <c r="F23" s="55"/>
      <c r="G23" s="55"/>
      <c r="H23" s="55"/>
      <c r="I23" s="87" t="s">
        <v>5280</v>
      </c>
      <c r="J23" s="58"/>
    </row>
    <row r="24" spans="2:10" x14ac:dyDescent="0.25">
      <c r="B24" s="57"/>
      <c r="C24" s="55"/>
      <c r="D24" s="55"/>
      <c r="E24" s="55"/>
      <c r="F24" s="55"/>
      <c r="G24" s="55"/>
      <c r="H24" s="55"/>
      <c r="I24" s="86"/>
      <c r="J24" s="58"/>
    </row>
    <row r="25" spans="2:10" ht="20.25" x14ac:dyDescent="0.3">
      <c r="B25" s="166"/>
      <c r="C25" s="167"/>
      <c r="D25" s="167"/>
      <c r="E25" s="167"/>
      <c r="F25" s="167"/>
      <c r="G25" s="167"/>
      <c r="H25" s="167"/>
      <c r="I25" s="167"/>
      <c r="J25" s="175"/>
    </row>
  </sheetData>
  <mergeCells count="5">
    <mergeCell ref="B2:J2"/>
    <mergeCell ref="D21:D22"/>
    <mergeCell ref="F21:F22"/>
    <mergeCell ref="B25:J25"/>
    <mergeCell ref="D4:I7"/>
  </mergeCells>
  <dataValidations count="1">
    <dataValidation type="list" allowBlank="1" showInputMessage="1" showErrorMessage="1" sqref="D11:D15" xr:uid="{B9205423-728A-490F-A912-43FA066337F8}">
      <formula1>SeedList</formula1>
    </dataValidation>
  </dataValidations>
  <hyperlinks>
    <hyperlink ref="B9" location="CCspecies" display="Cover Crop Selection" xr:uid="{21B79A34-C92E-4281-9652-CEC576FB035E}"/>
    <hyperlink ref="B10" location="Planting!CCPlant" display="Planting" xr:uid="{79D357D3-B65E-4FC3-A510-83239C26B9DB}"/>
    <hyperlink ref="B6" location="home" display="Home" xr:uid="{4D6837D0-2A6A-40E9-AE55-088DCE66FD8E}"/>
    <hyperlink ref="D21:D22" r:id="rId1" display="https://mccc.msu.edu/selector-tool/" xr:uid="{86CCD1E8-2F6A-4D67-9C9D-6A301B4808A8}"/>
    <hyperlink ref="I23" location="Planting!CCPlant" display="Next" xr:uid="{5BC146A9-EAC8-41BA-8270-DBD2DF52DD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FEE9E-33A0-435A-BA11-DE9C9DC3C461}">
  <sheetPr codeName="Sheet8"/>
  <dimension ref="B5:K33"/>
  <sheetViews>
    <sheetView showGridLines="0" tabSelected="1" workbookViewId="0">
      <selection activeCell="K18" sqref="K18"/>
    </sheetView>
  </sheetViews>
  <sheetFormatPr defaultColWidth="8.85546875" defaultRowHeight="15" x14ac:dyDescent="0.25"/>
  <cols>
    <col min="2" max="2" width="25.42578125" customWidth="1"/>
    <col min="3" max="3" width="9.7109375" customWidth="1"/>
    <col min="4" max="4" width="70.28515625" bestFit="1" customWidth="1"/>
    <col min="5" max="5" width="21.42578125" customWidth="1"/>
  </cols>
  <sheetData>
    <row r="5" spans="2:11" ht="20.25" x14ac:dyDescent="0.3">
      <c r="B5" s="166" t="s">
        <v>5283</v>
      </c>
      <c r="C5" s="167"/>
      <c r="D5" s="167"/>
      <c r="E5" s="167"/>
      <c r="F5" s="167"/>
      <c r="G5" s="167"/>
      <c r="H5" s="175"/>
    </row>
    <row r="6" spans="2:11" x14ac:dyDescent="0.25">
      <c r="B6" s="80"/>
      <c r="C6" s="81"/>
      <c r="D6" s="81"/>
      <c r="E6" s="81"/>
      <c r="F6" s="81"/>
      <c r="G6" s="81"/>
      <c r="H6" s="82"/>
    </row>
    <row r="7" spans="2:11" x14ac:dyDescent="0.25">
      <c r="B7" s="57"/>
      <c r="C7" s="55"/>
      <c r="D7" s="180" t="s">
        <v>5284</v>
      </c>
      <c r="E7" s="181"/>
      <c r="F7" s="181"/>
      <c r="G7" s="182"/>
      <c r="H7" s="58"/>
    </row>
    <row r="8" spans="2:11" ht="30.75" customHeight="1" x14ac:dyDescent="0.25">
      <c r="B8" s="57"/>
      <c r="C8" s="55"/>
      <c r="D8" s="186"/>
      <c r="E8" s="187"/>
      <c r="F8" s="187"/>
      <c r="G8" s="188"/>
      <c r="H8" s="58"/>
    </row>
    <row r="9" spans="2:11" ht="15.75" thickBot="1" x14ac:dyDescent="0.3">
      <c r="B9" s="57"/>
      <c r="C9" s="55"/>
      <c r="D9" s="55"/>
      <c r="E9" s="55"/>
      <c r="F9" s="55"/>
      <c r="G9" s="55"/>
      <c r="H9" s="58"/>
    </row>
    <row r="10" spans="2:11" x14ac:dyDescent="0.25">
      <c r="B10" s="70" t="s">
        <v>5250</v>
      </c>
      <c r="C10" s="55"/>
      <c r="D10" s="61" t="s">
        <v>5254</v>
      </c>
      <c r="E10" s="55"/>
      <c r="F10" s="55"/>
      <c r="G10" s="55"/>
      <c r="H10" s="58"/>
    </row>
    <row r="11" spans="2:11" x14ac:dyDescent="0.25">
      <c r="B11" s="45" t="s">
        <v>5251</v>
      </c>
      <c r="C11" s="55"/>
      <c r="D11" s="61" t="s">
        <v>14</v>
      </c>
      <c r="E11" s="55"/>
      <c r="F11" s="55"/>
      <c r="G11" s="55"/>
      <c r="H11" s="58"/>
      <c r="K11" t="s">
        <v>123</v>
      </c>
    </row>
    <row r="12" spans="2:11" x14ac:dyDescent="0.25">
      <c r="B12" s="45" t="s">
        <v>5252</v>
      </c>
      <c r="C12" s="55"/>
      <c r="D12" s="71" t="s">
        <v>98</v>
      </c>
      <c r="E12" s="146" t="s">
        <v>17</v>
      </c>
      <c r="F12" s="55"/>
      <c r="G12" s="55"/>
      <c r="H12" s="58"/>
      <c r="J12" s="19"/>
      <c r="K12" t="s">
        <v>99</v>
      </c>
    </row>
    <row r="13" spans="2:11" x14ac:dyDescent="0.25">
      <c r="B13" s="46" t="s">
        <v>5253</v>
      </c>
      <c r="C13" s="55"/>
      <c r="D13" s="72" t="s">
        <v>16</v>
      </c>
      <c r="E13" s="73" t="s">
        <v>18</v>
      </c>
      <c r="F13" s="74"/>
      <c r="G13" s="55" t="s">
        <v>5593</v>
      </c>
      <c r="H13" s="58"/>
      <c r="J13" s="19"/>
    </row>
    <row r="14" spans="2:11" x14ac:dyDescent="0.25">
      <c r="B14" s="46" t="s">
        <v>5255</v>
      </c>
      <c r="C14" s="55"/>
      <c r="D14" s="160" t="s">
        <v>19</v>
      </c>
      <c r="E14" s="73" t="s">
        <v>20</v>
      </c>
      <c r="F14" s="75"/>
      <c r="G14" s="55"/>
      <c r="H14" s="58"/>
      <c r="J14" s="19"/>
      <c r="K14" t="s">
        <v>5230</v>
      </c>
    </row>
    <row r="15" spans="2:11" x14ac:dyDescent="0.25">
      <c r="B15" s="47" t="s">
        <v>76</v>
      </c>
      <c r="C15" s="55"/>
      <c r="D15" s="160" t="s">
        <v>5582</v>
      </c>
      <c r="E15" s="73" t="s">
        <v>5605</v>
      </c>
      <c r="F15" s="75"/>
      <c r="G15" s="55"/>
      <c r="H15" s="58"/>
      <c r="J15" s="19"/>
    </row>
    <row r="16" spans="2:11" x14ac:dyDescent="0.25">
      <c r="B16" s="47" t="s">
        <v>5256</v>
      </c>
      <c r="C16" s="55"/>
      <c r="D16" s="160" t="str">
        <f>IF(E14="self","Estimated relevant cost ($/ac)","Estimated custom cost ($/acre)")</f>
        <v>Estimated relevant cost ($/ac)</v>
      </c>
      <c r="E16" s="161">
        <f>IF(E14="self",'Equip Calcs'!F32,'Data tables'!K16)</f>
        <v>17.20685950618617</v>
      </c>
      <c r="F16" s="75"/>
      <c r="G16" s="55"/>
      <c r="H16" s="58"/>
      <c r="J16" s="19"/>
    </row>
    <row r="17" spans="2:11" x14ac:dyDescent="0.25">
      <c r="B17" s="47" t="s">
        <v>5257</v>
      </c>
      <c r="C17" s="55"/>
      <c r="D17" s="160" t="s">
        <v>5226</v>
      </c>
      <c r="E17" s="161"/>
      <c r="F17" s="75"/>
      <c r="G17" s="55"/>
      <c r="H17" s="58"/>
      <c r="J17" s="19"/>
    </row>
    <row r="18" spans="2:11" x14ac:dyDescent="0.25">
      <c r="B18" s="47" t="s">
        <v>34</v>
      </c>
      <c r="C18" s="55"/>
      <c r="D18" s="162" t="str">
        <f>IF(E13="yes","There is no cost associated with cover crop seedbed preparation.","Cost of seedbed preparation necessary for cover cropping.")</f>
        <v>Cost of seedbed preparation necessary for cover cropping.</v>
      </c>
      <c r="E18" s="165">
        <f>IF(E12="No",0,IF(E13="yes",0,IF(ISBLANK(E17),E16,E17)))</f>
        <v>17.20685950618617</v>
      </c>
      <c r="F18" s="75"/>
      <c r="G18" s="55"/>
      <c r="H18" s="58"/>
      <c r="J18" s="19"/>
      <c r="K18" t="s">
        <v>5227</v>
      </c>
    </row>
    <row r="19" spans="2:11" x14ac:dyDescent="0.25">
      <c r="B19" s="47" t="s">
        <v>5258</v>
      </c>
      <c r="C19" s="55"/>
      <c r="D19" s="152"/>
      <c r="E19" s="152"/>
      <c r="F19" s="75"/>
      <c r="G19" s="55"/>
      <c r="H19" s="58"/>
      <c r="J19" s="19"/>
    </row>
    <row r="20" spans="2:11" x14ac:dyDescent="0.25">
      <c r="B20" s="47" t="s">
        <v>5259</v>
      </c>
      <c r="C20" s="55"/>
      <c r="D20" s="77" t="s">
        <v>5255</v>
      </c>
      <c r="E20" s="76"/>
      <c r="F20" s="75"/>
      <c r="G20" s="55"/>
      <c r="H20" s="58"/>
      <c r="J20" s="19"/>
    </row>
    <row r="21" spans="2:11" x14ac:dyDescent="0.25">
      <c r="B21" s="47" t="s">
        <v>5260</v>
      </c>
      <c r="C21" s="55"/>
      <c r="D21" s="40" t="s">
        <v>19</v>
      </c>
      <c r="E21" s="146" t="s">
        <v>20</v>
      </c>
      <c r="F21" s="75"/>
      <c r="G21" s="55" t="s">
        <v>5592</v>
      </c>
      <c r="H21" s="58"/>
      <c r="J21" s="19"/>
    </row>
    <row r="22" spans="2:11" x14ac:dyDescent="0.25">
      <c r="B22" s="47" t="s">
        <v>5261</v>
      </c>
      <c r="C22" s="55"/>
      <c r="D22" s="155" t="s">
        <v>5582</v>
      </c>
      <c r="E22" s="151" t="s">
        <v>5625</v>
      </c>
      <c r="F22" s="55"/>
      <c r="G22" s="55"/>
      <c r="H22" s="58"/>
      <c r="J22" s="19"/>
    </row>
    <row r="23" spans="2:11" x14ac:dyDescent="0.25">
      <c r="B23" s="48" t="s">
        <v>5263</v>
      </c>
      <c r="C23" s="55"/>
      <c r="D23" s="154" t="str">
        <f>IF(E21="self","Estimated relevant cost ($/ac)","Estimated custom cost ($/acre)")</f>
        <v>Estimated relevant cost ($/ac)</v>
      </c>
      <c r="E23" s="164">
        <f>IF(E21="self",'Equip Calcs'!F51,'Data tables'!K17)</f>
        <v>15.278682052865705</v>
      </c>
      <c r="F23" s="55"/>
      <c r="G23" s="55"/>
      <c r="H23" s="58"/>
      <c r="J23" s="19"/>
    </row>
    <row r="24" spans="2:11" x14ac:dyDescent="0.25">
      <c r="B24" s="47" t="s">
        <v>5264</v>
      </c>
      <c r="C24" s="55"/>
      <c r="D24" s="79" t="s">
        <v>5226</v>
      </c>
      <c r="E24" s="163"/>
      <c r="F24" s="55"/>
      <c r="G24" s="55"/>
      <c r="H24" s="58"/>
      <c r="J24" s="19"/>
    </row>
    <row r="25" spans="2:11" x14ac:dyDescent="0.25">
      <c r="B25" s="47" t="s">
        <v>5265</v>
      </c>
      <c r="C25" s="55"/>
      <c r="D25" s="61" t="s">
        <v>66</v>
      </c>
      <c r="E25" s="62">
        <f>IF(ISBLANK(E24),E23,E24)</f>
        <v>15.278682052865705</v>
      </c>
      <c r="F25" s="55"/>
      <c r="G25" s="55"/>
      <c r="H25" s="58"/>
      <c r="J25" s="19"/>
    </row>
    <row r="26" spans="2:11" ht="15.75" thickBot="1" x14ac:dyDescent="0.3">
      <c r="B26" s="49" t="s">
        <v>5266</v>
      </c>
      <c r="C26" s="55"/>
      <c r="F26" s="55"/>
      <c r="G26" s="55"/>
      <c r="H26" s="58"/>
      <c r="J26" s="19"/>
    </row>
    <row r="27" spans="2:11" x14ac:dyDescent="0.25">
      <c r="B27" s="57"/>
      <c r="C27" s="55"/>
      <c r="D27" s="61" t="s">
        <v>5282</v>
      </c>
      <c r="E27" s="62">
        <f>E25+E18</f>
        <v>32.485541559051875</v>
      </c>
      <c r="F27" s="55"/>
      <c r="G27" s="55"/>
      <c r="H27" s="58"/>
    </row>
    <row r="28" spans="2:11" x14ac:dyDescent="0.25">
      <c r="B28" s="57"/>
      <c r="C28" s="55"/>
      <c r="F28" s="55"/>
      <c r="G28" s="55"/>
      <c r="H28" s="58"/>
    </row>
    <row r="29" spans="2:11" x14ac:dyDescent="0.25">
      <c r="B29" s="57"/>
      <c r="C29" s="55"/>
      <c r="F29" s="55"/>
      <c r="G29" s="55"/>
      <c r="H29" s="58"/>
    </row>
    <row r="30" spans="2:11" x14ac:dyDescent="0.25">
      <c r="B30" s="57"/>
      <c r="C30" s="55"/>
      <c r="D30" s="55"/>
      <c r="E30" s="55"/>
      <c r="F30" s="55"/>
      <c r="G30" s="55"/>
      <c r="H30" s="58"/>
    </row>
    <row r="31" spans="2:11" x14ac:dyDescent="0.25">
      <c r="B31" s="88" t="s">
        <v>5281</v>
      </c>
      <c r="C31" s="55"/>
      <c r="D31" s="55"/>
      <c r="E31" s="55"/>
      <c r="F31" s="55"/>
      <c r="G31" s="90" t="s">
        <v>5280</v>
      </c>
      <c r="H31" s="58"/>
    </row>
    <row r="32" spans="2:11" x14ac:dyDescent="0.25">
      <c r="B32" s="83"/>
      <c r="C32" s="84"/>
      <c r="D32" s="84"/>
      <c r="E32" s="84"/>
      <c r="F32" s="84"/>
      <c r="G32" s="84"/>
      <c r="H32" s="85"/>
    </row>
    <row r="33" spans="2:8" ht="20.25" x14ac:dyDescent="0.3">
      <c r="B33" s="126"/>
      <c r="C33" s="127"/>
      <c r="D33" s="127"/>
      <c r="E33" s="127"/>
      <c r="F33" s="127"/>
      <c r="G33" s="127"/>
      <c r="H33" s="128"/>
    </row>
  </sheetData>
  <mergeCells count="2">
    <mergeCell ref="B5:H5"/>
    <mergeCell ref="D7:G8"/>
  </mergeCells>
  <conditionalFormatting sqref="E13">
    <cfRule type="expression" dxfId="87" priority="11">
      <formula>$E$12="Yes"</formula>
    </cfRule>
  </conditionalFormatting>
  <conditionalFormatting sqref="E23">
    <cfRule type="expression" dxfId="86" priority="63">
      <formula>$E$21=$J$23</formula>
    </cfRule>
  </conditionalFormatting>
  <conditionalFormatting sqref="H19">
    <cfRule type="expression" dxfId="85" priority="64">
      <formula>ISBLANK($E$14)="false"</formula>
    </cfRule>
  </conditionalFormatting>
  <conditionalFormatting sqref="D13">
    <cfRule type="expression" dxfId="84" priority="12">
      <formula>$E$12="Yes"</formula>
    </cfRule>
  </conditionalFormatting>
  <conditionalFormatting sqref="D14 D17">
    <cfRule type="expression" dxfId="83" priority="4">
      <formula>AND($E$12="Yes",$E$13="No")</formula>
    </cfRule>
  </conditionalFormatting>
  <conditionalFormatting sqref="D15">
    <cfRule type="expression" dxfId="82" priority="8">
      <formula>AND($E$12="Yes",$E$13="No",$E$14="Self")</formula>
    </cfRule>
  </conditionalFormatting>
  <conditionalFormatting sqref="E16">
    <cfRule type="expression" dxfId="81" priority="2">
      <formula>AND($E$12="Yes",$E$13="No")</formula>
    </cfRule>
  </conditionalFormatting>
  <conditionalFormatting sqref="D16">
    <cfRule type="expression" dxfId="80" priority="5">
      <formula>AND(E12="yes",E13="No")</formula>
    </cfRule>
  </conditionalFormatting>
  <conditionalFormatting sqref="E17">
    <cfRule type="expression" dxfId="79" priority="6">
      <formula>AND($E$12="Yes",$E$13="No")</formula>
    </cfRule>
  </conditionalFormatting>
  <conditionalFormatting sqref="E14">
    <cfRule type="expression" dxfId="78" priority="3">
      <formula>AND($E$12="Yes",$E$13="No")</formula>
    </cfRule>
  </conditionalFormatting>
  <conditionalFormatting sqref="E15">
    <cfRule type="expression" dxfId="77" priority="7">
      <formula>AND($E$12="Yes",$E$13="No",E14="Self")</formula>
    </cfRule>
  </conditionalFormatting>
  <conditionalFormatting sqref="D22:E22">
    <cfRule type="expression" dxfId="76" priority="1">
      <formula>$E$21="Custom Operator"</formula>
    </cfRule>
  </conditionalFormatting>
  <dataValidations count="2">
    <dataValidation type="list" allowBlank="1" showInputMessage="1" showErrorMessage="1" sqref="E12:E13" xr:uid="{D357A24C-251D-4279-B4D0-C653518F5BA2}">
      <formula1>"Yes, No"</formula1>
    </dataValidation>
    <dataValidation type="list" allowBlank="1" showInputMessage="1" showErrorMessage="1" sqref="E21 E14" xr:uid="{8F1485B2-6F7F-4FB2-B1AF-4EFB90E0F672}">
      <formula1>"Self, Custom Operator"</formula1>
    </dataValidation>
  </dataValidations>
  <hyperlinks>
    <hyperlink ref="B13" location="CCspecies" display="Cover Crop Selection" xr:uid="{D8B7CB82-DA3A-4AC3-89A9-81C298EEDE79}"/>
    <hyperlink ref="B14" location="Planting!CCPlant" display="Planting" xr:uid="{313D9CBC-E392-43FC-B2D9-CD9654D92B64}"/>
    <hyperlink ref="B31" location="CCspecies" display="Previous" xr:uid="{C60845DD-FF4F-4922-92CB-2DBABCC644C9}"/>
    <hyperlink ref="G31" location="'Model Logic'!A1" display="Next" xr:uid="{936EF591-F1F3-4D93-AA85-C3D99773B7BE}"/>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602BEFD-3003-45EC-BF54-6F9CCA0087D8}">
          <x14:formula1>
            <xm:f>'Equip Calcs'!$S$59:$S$76</xm:f>
          </x14:formula1>
          <xm:sqref>E15</xm:sqref>
        </x14:dataValidation>
        <x14:dataValidation type="list" allowBlank="1" showInputMessage="1" showErrorMessage="1" xr:uid="{E64218E8-D414-4A85-AD01-FB2116F7A17C}">
          <x14:formula1>
            <xm:f>'Equip Calcs'!$S$77:$S$87</xm:f>
          </x14:formula1>
          <xm:sqref>E22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B563-228D-4603-BFFC-B626659E27C1}">
  <sheetPr codeName="Sheet1"/>
  <dimension ref="A1:R98"/>
  <sheetViews>
    <sheetView topLeftCell="A3" workbookViewId="0">
      <selection activeCell="I3" sqref="I3"/>
    </sheetView>
  </sheetViews>
  <sheetFormatPr defaultColWidth="8.85546875" defaultRowHeight="15" x14ac:dyDescent="0.25"/>
  <cols>
    <col min="1" max="1" width="24.85546875" customWidth="1"/>
    <col min="3" max="3" width="34.7109375" customWidth="1"/>
    <col min="4" max="4" width="12.28515625" customWidth="1"/>
    <col min="7" max="7" width="21.85546875" customWidth="1"/>
    <col min="8" max="8" width="15.28515625" customWidth="1"/>
    <col min="9" max="9" width="10.28515625" customWidth="1"/>
  </cols>
  <sheetData>
    <row r="1" spans="2:12" x14ac:dyDescent="0.25">
      <c r="B1" t="s">
        <v>5604</v>
      </c>
    </row>
    <row r="4" spans="2:12" x14ac:dyDescent="0.25">
      <c r="B4" t="s">
        <v>115</v>
      </c>
      <c r="C4" s="1" t="s">
        <v>116</v>
      </c>
    </row>
    <row r="5" spans="2:12" x14ac:dyDescent="0.25">
      <c r="C5" s="6" t="s">
        <v>117</v>
      </c>
    </row>
    <row r="6" spans="2:12" x14ac:dyDescent="0.25">
      <c r="C6" s="17" t="s">
        <v>118</v>
      </c>
    </row>
    <row r="7" spans="2:12" x14ac:dyDescent="0.25">
      <c r="C7" s="21" t="s">
        <v>119</v>
      </c>
    </row>
    <row r="8" spans="2:12" x14ac:dyDescent="0.25">
      <c r="C8" s="23" t="s">
        <v>120</v>
      </c>
    </row>
    <row r="11" spans="2:12" x14ac:dyDescent="0.25">
      <c r="C11" t="s">
        <v>130</v>
      </c>
      <c r="L11" t="s">
        <v>5222</v>
      </c>
    </row>
    <row r="12" spans="2:12" x14ac:dyDescent="0.25">
      <c r="C12" t="s">
        <v>131</v>
      </c>
      <c r="L12" t="s">
        <v>5223</v>
      </c>
    </row>
    <row r="14" spans="2:12" x14ac:dyDescent="0.25">
      <c r="C14" s="5" t="s">
        <v>25</v>
      </c>
      <c r="L14" t="s">
        <v>5219</v>
      </c>
    </row>
    <row r="15" spans="2:12" x14ac:dyDescent="0.25">
      <c r="C15" t="s">
        <v>26</v>
      </c>
      <c r="D15" s="7">
        <v>44470</v>
      </c>
      <c r="L15" t="s">
        <v>5220</v>
      </c>
    </row>
    <row r="16" spans="2:12" x14ac:dyDescent="0.25">
      <c r="C16" t="s">
        <v>27</v>
      </c>
      <c r="D16" s="7">
        <v>44470</v>
      </c>
      <c r="L16" t="s">
        <v>5221</v>
      </c>
    </row>
    <row r="17" spans="1:10" x14ac:dyDescent="0.25">
      <c r="C17" t="s">
        <v>28</v>
      </c>
      <c r="D17" s="7">
        <v>44652</v>
      </c>
    </row>
    <row r="18" spans="1:10" x14ac:dyDescent="0.25">
      <c r="C18" t="s">
        <v>29</v>
      </c>
      <c r="D18" s="7">
        <v>44289</v>
      </c>
    </row>
    <row r="19" spans="1:10" x14ac:dyDescent="0.25">
      <c r="A19" s="55"/>
    </row>
    <row r="21" spans="1:10" x14ac:dyDescent="0.25">
      <c r="C21" s="5" t="s">
        <v>31</v>
      </c>
    </row>
    <row r="22" spans="1:10" x14ac:dyDescent="0.25">
      <c r="C22" t="s">
        <v>32</v>
      </c>
      <c r="G22" s="1" t="s">
        <v>5585</v>
      </c>
    </row>
    <row r="23" spans="1:10" x14ac:dyDescent="0.25">
      <c r="C23" t="s">
        <v>37</v>
      </c>
      <c r="G23" s="1" t="s">
        <v>18</v>
      </c>
    </row>
    <row r="24" spans="1:10" x14ac:dyDescent="0.25">
      <c r="C24" s="3" t="s">
        <v>5231</v>
      </c>
      <c r="G24" s="1" t="s">
        <v>5234</v>
      </c>
    </row>
    <row r="25" spans="1:10" x14ac:dyDescent="0.25">
      <c r="C25" s="3" t="s">
        <v>5240</v>
      </c>
      <c r="G25" s="1">
        <v>1.5</v>
      </c>
      <c r="H25" s="6">
        <f>_xlfn.XLOOKUP(G24,Chemical[Burndown Herbicides],Chemical[Rate])</f>
        <v>2</v>
      </c>
      <c r="I25" t="str">
        <f>_xlfn.XLOOKUP(G24,Chemical[Burndown Herbicides],Chemical[Unit (rate)])</f>
        <v>lb/acre</v>
      </c>
      <c r="J25" t="s">
        <v>5597</v>
      </c>
    </row>
    <row r="26" spans="1:10" x14ac:dyDescent="0.25">
      <c r="C26" s="3" t="s">
        <v>5241</v>
      </c>
      <c r="G26" s="1">
        <v>3.5</v>
      </c>
      <c r="H26" s="13">
        <f>_xlfn.XLOOKUP(G24,Chemical[Burndown Herbicides],Chemical[Cost/unit])</f>
        <v>4</v>
      </c>
      <c r="I26" t="str">
        <f>_xlfn.XLOOKUP(G24,Chemical[Burndown Herbicides],Chemical[Unit (cost)])</f>
        <v>lb</v>
      </c>
      <c r="J26" t="s">
        <v>5597</v>
      </c>
    </row>
    <row r="27" spans="1:10" x14ac:dyDescent="0.25">
      <c r="C27" s="3" t="s">
        <v>19</v>
      </c>
      <c r="G27" s="1" t="s">
        <v>20</v>
      </c>
    </row>
    <row r="28" spans="1:10" x14ac:dyDescent="0.25">
      <c r="C28" s="4" t="s">
        <v>5229</v>
      </c>
      <c r="G28" s="13" t="str">
        <f>IF(G27="custom operator",_xlfn.XLOOKUP(G22,CCTermMethod,'Data tables'!K21:K24,""),"")</f>
        <v/>
      </c>
    </row>
    <row r="29" spans="1:10" x14ac:dyDescent="0.25">
      <c r="C29" s="4" t="s">
        <v>5243</v>
      </c>
      <c r="G29" s="16" t="s">
        <v>5599</v>
      </c>
      <c r="I29" t="s">
        <v>5598</v>
      </c>
    </row>
    <row r="30" spans="1:10" x14ac:dyDescent="0.25">
      <c r="C30" s="4" t="s">
        <v>5228</v>
      </c>
      <c r="G30" s="13" t="e">
        <f>IF(G27="self",_xlfn.XLOOKUP(G29,#REF!,#REF!),"")</f>
        <v>#REF!</v>
      </c>
      <c r="I30" t="s">
        <v>5601</v>
      </c>
    </row>
    <row r="31" spans="1:10" x14ac:dyDescent="0.25">
      <c r="C31" s="4" t="s">
        <v>5226</v>
      </c>
      <c r="G31" s="16"/>
    </row>
    <row r="32" spans="1:10" x14ac:dyDescent="0.25">
      <c r="C32" s="9" t="s">
        <v>67</v>
      </c>
      <c r="G32" s="21" t="e">
        <f>IF(G23="Yes",0,IF(ISBLANK(G31),SUM(G28,G30),G31))+IF(ISBLANK(G25),H25,G25)*IF(ISBLANK(G26),H26,G26)</f>
        <v>#REF!</v>
      </c>
    </row>
    <row r="33" spans="3:17" x14ac:dyDescent="0.25">
      <c r="C33" s="9"/>
      <c r="G33" s="19"/>
    </row>
    <row r="34" spans="3:17" x14ac:dyDescent="0.25">
      <c r="C34" s="5" t="s">
        <v>77</v>
      </c>
    </row>
    <row r="35" spans="3:17" x14ac:dyDescent="0.25">
      <c r="C35" s="26" t="s">
        <v>128</v>
      </c>
    </row>
    <row r="36" spans="3:17" x14ac:dyDescent="0.25">
      <c r="C36" t="s">
        <v>101</v>
      </c>
      <c r="G36" s="1" t="s">
        <v>17</v>
      </c>
    </row>
    <row r="37" spans="3:17" x14ac:dyDescent="0.25">
      <c r="C37" s="3" t="s">
        <v>102</v>
      </c>
      <c r="G37" s="1" t="s">
        <v>109</v>
      </c>
    </row>
    <row r="38" spans="3:17" x14ac:dyDescent="0.25">
      <c r="C38" s="3" t="s">
        <v>103</v>
      </c>
      <c r="G38" s="1">
        <v>3</v>
      </c>
    </row>
    <row r="39" spans="3:17" x14ac:dyDescent="0.25">
      <c r="C39" s="3" t="s">
        <v>104</v>
      </c>
      <c r="G39" s="1" t="s">
        <v>17</v>
      </c>
    </row>
    <row r="40" spans="3:17" x14ac:dyDescent="0.25">
      <c r="C40" s="3" t="s">
        <v>78</v>
      </c>
      <c r="G40" s="1">
        <v>0</v>
      </c>
    </row>
    <row r="41" spans="3:17" x14ac:dyDescent="0.25">
      <c r="C41" s="3" t="s">
        <v>19</v>
      </c>
      <c r="G41" s="1" t="s">
        <v>21</v>
      </c>
      <c r="L41" t="s">
        <v>100</v>
      </c>
    </row>
    <row r="42" spans="3:17" x14ac:dyDescent="0.25">
      <c r="C42" s="4" t="s">
        <v>24</v>
      </c>
      <c r="G42" s="1"/>
      <c r="I42" s="6" t="e" cm="1">
        <f t="array" ref="I42">IF(G41="custom operator",_xlfn.XLOOKUP(G37,SeedBedPrep,#REF!,""),"")</f>
        <v>#NAME?</v>
      </c>
    </row>
    <row r="43" spans="3:17" x14ac:dyDescent="0.25">
      <c r="C43" s="4" t="s">
        <v>22</v>
      </c>
      <c r="G43" s="17"/>
      <c r="L43" t="s">
        <v>23</v>
      </c>
    </row>
    <row r="44" spans="3:17" x14ac:dyDescent="0.25">
      <c r="C44" s="9" t="s">
        <v>111</v>
      </c>
      <c r="G44" s="21" t="e">
        <f>IF(G36="No",0,IF(G41="Custom Operator",-IF(ISBLANK(G42),I42,G42),G43))*(G38-G40)/10</f>
        <v>#NAME?</v>
      </c>
    </row>
    <row r="45" spans="3:17" x14ac:dyDescent="0.25">
      <c r="C45" s="9"/>
      <c r="G45" s="21"/>
    </row>
    <row r="46" spans="3:17" x14ac:dyDescent="0.25">
      <c r="C46" s="9"/>
    </row>
    <row r="47" spans="3:17" x14ac:dyDescent="0.25">
      <c r="C47" s="26" t="s">
        <v>129</v>
      </c>
    </row>
    <row r="48" spans="3:17" x14ac:dyDescent="0.25">
      <c r="C48" s="9" t="s">
        <v>105</v>
      </c>
      <c r="D48" s="1" t="s">
        <v>110</v>
      </c>
      <c r="G48" t="s">
        <v>107</v>
      </c>
      <c r="I48" s="1" t="s">
        <v>15</v>
      </c>
      <c r="K48" t="s">
        <v>112</v>
      </c>
      <c r="O48" s="21" t="e">
        <f>IF(I49="custom operator",IF(ISBLANK(I50),J50,I50),I51)-IF(D49="custom operator",IF(ISBLANK(D50),E50,D50),D51)</f>
        <v>#NAME?</v>
      </c>
      <c r="Q48" t="s">
        <v>124</v>
      </c>
    </row>
    <row r="49" spans="3:17" x14ac:dyDescent="0.25">
      <c r="C49" s="3" t="s">
        <v>19</v>
      </c>
      <c r="D49" s="1" t="s">
        <v>21</v>
      </c>
      <c r="I49" s="1" t="s">
        <v>21</v>
      </c>
    </row>
    <row r="50" spans="3:17" x14ac:dyDescent="0.25">
      <c r="C50" s="4" t="s">
        <v>24</v>
      </c>
      <c r="D50" s="16"/>
      <c r="E50" s="6" t="e" cm="1">
        <f t="array" ref="E50">IF(D49="custom operator",_xlfn.XLOOKUP(D48,SeedBedPrep,#REF!,""),"")</f>
        <v>#NAME?</v>
      </c>
      <c r="I50" s="16"/>
      <c r="J50" s="6" t="e" cm="1">
        <f t="array" ref="J50">IF(I49="custom operator",_xlfn.XLOOKUP(I48,SeedBedPrep,#REF!,""),"")</f>
        <v>#NAME?</v>
      </c>
    </row>
    <row r="51" spans="3:17" x14ac:dyDescent="0.25">
      <c r="C51" s="4" t="s">
        <v>22</v>
      </c>
      <c r="D51" s="17"/>
      <c r="I51" s="17"/>
      <c r="Q51" t="s">
        <v>23</v>
      </c>
    </row>
    <row r="52" spans="3:17" x14ac:dyDescent="0.25">
      <c r="C52" s="4"/>
      <c r="G52" s="19"/>
    </row>
    <row r="53" spans="3:17" x14ac:dyDescent="0.25">
      <c r="C53" s="9" t="s">
        <v>106</v>
      </c>
      <c r="D53" s="1" t="s">
        <v>15</v>
      </c>
      <c r="G53" t="s">
        <v>108</v>
      </c>
      <c r="I53" s="1" t="s">
        <v>15</v>
      </c>
      <c r="K53" t="s">
        <v>113</v>
      </c>
      <c r="O53" s="21" t="e">
        <f>IF(I54="custom operator",IF(ISBLANK(I55),J55,I55),I56)-IF(D54="custom operator",IF(ISBLANK(D55),E55,D55),D56)</f>
        <v>#NAME?</v>
      </c>
    </row>
    <row r="54" spans="3:17" x14ac:dyDescent="0.25">
      <c r="C54" s="3" t="s">
        <v>19</v>
      </c>
      <c r="D54" s="1" t="s">
        <v>21</v>
      </c>
      <c r="I54" s="1" t="s">
        <v>21</v>
      </c>
    </row>
    <row r="55" spans="3:17" x14ac:dyDescent="0.25">
      <c r="C55" s="4" t="s">
        <v>24</v>
      </c>
      <c r="D55" s="16"/>
      <c r="E55" s="6" t="e" cm="1">
        <f t="array" ref="E55">IF(D54="custom operator",_xlfn.XLOOKUP(D53,SeedBedPrep,#REF!,""),"")</f>
        <v>#NAME?</v>
      </c>
      <c r="I55" s="16"/>
      <c r="J55" s="6" t="e" cm="1">
        <f t="array" ref="J55">IF(I54="custom operator",_xlfn.XLOOKUP(I53,SeedBedPrep,#REF!,""),"")</f>
        <v>#NAME?</v>
      </c>
    </row>
    <row r="56" spans="3:17" x14ac:dyDescent="0.25">
      <c r="C56" s="4" t="s">
        <v>22</v>
      </c>
      <c r="D56" s="17"/>
      <c r="I56" s="17"/>
      <c r="Q56" t="s">
        <v>23</v>
      </c>
    </row>
    <row r="57" spans="3:17" x14ac:dyDescent="0.25">
      <c r="C57" s="9" t="s">
        <v>114</v>
      </c>
      <c r="O57" s="21" t="e">
        <f>O48+O53</f>
        <v>#NAME?</v>
      </c>
    </row>
    <row r="59" spans="3:17" x14ac:dyDescent="0.25">
      <c r="C59" s="5" t="s">
        <v>38</v>
      </c>
    </row>
    <row r="60" spans="3:17" x14ac:dyDescent="0.25">
      <c r="C60" s="14" t="s">
        <v>56</v>
      </c>
    </row>
    <row r="61" spans="3:17" x14ac:dyDescent="0.25">
      <c r="C61" s="11" t="s">
        <v>47</v>
      </c>
      <c r="J61" s="1" t="s">
        <v>18</v>
      </c>
      <c r="Q61" t="s">
        <v>48</v>
      </c>
    </row>
    <row r="62" spans="3:17" x14ac:dyDescent="0.25">
      <c r="E62" t="s">
        <v>43</v>
      </c>
      <c r="F62" t="s">
        <v>44</v>
      </c>
      <c r="G62" t="s">
        <v>45</v>
      </c>
    </row>
    <row r="63" spans="3:17" x14ac:dyDescent="0.25">
      <c r="C63" t="s">
        <v>60</v>
      </c>
      <c r="E63" s="13" t="e" cm="1">
        <f t="array" ref="E63">#REF!</f>
        <v>#REF!</v>
      </c>
      <c r="F63" s="13" t="e" cm="1">
        <f t="array" ref="F63">#REF!</f>
        <v>#REF!</v>
      </c>
      <c r="G63" s="13" t="e" cm="1">
        <f t="array" ref="G63">#REF!</f>
        <v>#REF!</v>
      </c>
    </row>
    <row r="64" spans="3:17" x14ac:dyDescent="0.25">
      <c r="C64" t="s">
        <v>61</v>
      </c>
      <c r="E64" s="18"/>
      <c r="F64" s="18"/>
      <c r="G64" s="18"/>
      <c r="I64" t="s">
        <v>55</v>
      </c>
      <c r="K64" t="s">
        <v>54</v>
      </c>
      <c r="M64" t="s">
        <v>73</v>
      </c>
      <c r="O64" t="s">
        <v>33</v>
      </c>
      <c r="Q64" t="s">
        <v>70</v>
      </c>
    </row>
    <row r="65" spans="3:18" x14ac:dyDescent="0.25">
      <c r="C65" s="12" t="s">
        <v>52</v>
      </c>
      <c r="E65" s="1"/>
      <c r="F65" s="1">
        <v>20</v>
      </c>
      <c r="G65" s="1"/>
      <c r="I65" s="1" t="s">
        <v>49</v>
      </c>
      <c r="K65" s="1" t="s">
        <v>21</v>
      </c>
      <c r="M65" s="1"/>
      <c r="N65" s="17"/>
      <c r="O65" s="13" t="e" cm="1">
        <f t="array" ref="O65">_xlfn.XLOOKUP(I65,FertMethod,#REF!,"")</f>
        <v>#REF!</v>
      </c>
      <c r="Q65" s="24" t="e">
        <f>IF(SUM(E65:G65)&gt;0,IF(K65="custom operator",IF(ISBLANK(M65),O65,M65),N65),0)</f>
        <v>#REF!</v>
      </c>
      <c r="R65" t="s">
        <v>125</v>
      </c>
    </row>
    <row r="66" spans="3:18" x14ac:dyDescent="0.25">
      <c r="C66" s="12" t="s">
        <v>53</v>
      </c>
      <c r="E66" s="1"/>
      <c r="F66" s="1"/>
      <c r="G66" s="1"/>
      <c r="I66" s="1"/>
      <c r="K66" s="1" t="s">
        <v>21</v>
      </c>
      <c r="M66" s="1"/>
      <c r="N66" s="17"/>
      <c r="O66" s="13" t="e" cm="1">
        <f t="array" ref="O66">_xlfn.XLOOKUP(I66,FertMethod,#REF!,"")</f>
        <v>#REF!</v>
      </c>
      <c r="Q66" s="24">
        <f>IF(SUM(E66:G66)&gt;0,IF(K66="custom operator",IF(ISBLANK(M66),O66,M66),N66),0)</f>
        <v>0</v>
      </c>
      <c r="R66" t="s">
        <v>125</v>
      </c>
    </row>
    <row r="67" spans="3:18" s="19" customFormat="1" x14ac:dyDescent="0.25">
      <c r="C67" s="22" t="s">
        <v>69</v>
      </c>
      <c r="E67" s="21" t="e">
        <f>SUM(E65:E66)*IF(ISBLANK(E64),E63,E64)</f>
        <v>#REF!</v>
      </c>
      <c r="F67" s="21" t="e">
        <f t="shared" ref="F67:G67" si="0">SUM(F65:F66)*IF(ISBLANK(F64),F63,F64)</f>
        <v>#REF!</v>
      </c>
      <c r="G67" s="21" t="e">
        <f t="shared" si="0"/>
        <v>#REF!</v>
      </c>
      <c r="H67" s="21" t="e">
        <f>SUM(E67:G67)</f>
        <v>#REF!</v>
      </c>
      <c r="I67"/>
      <c r="O67" s="20"/>
    </row>
    <row r="68" spans="3:18" s="19" customFormat="1" x14ac:dyDescent="0.25">
      <c r="C68" s="22" t="s">
        <v>68</v>
      </c>
      <c r="E68" s="20"/>
      <c r="F68" s="20"/>
      <c r="G68" s="21" t="e">
        <f>Q65+Q66</f>
        <v>#REF!</v>
      </c>
      <c r="I68"/>
      <c r="O68" s="20"/>
    </row>
    <row r="69" spans="3:18" x14ac:dyDescent="0.25">
      <c r="C69" s="10"/>
    </row>
    <row r="70" spans="3:18" x14ac:dyDescent="0.25">
      <c r="C70" s="15" t="s">
        <v>57</v>
      </c>
    </row>
    <row r="71" spans="3:18" x14ac:dyDescent="0.25">
      <c r="C71" s="11" t="s">
        <v>65</v>
      </c>
    </row>
    <row r="72" spans="3:18" x14ac:dyDescent="0.25">
      <c r="E72" t="s">
        <v>43</v>
      </c>
      <c r="F72" t="s">
        <v>44</v>
      </c>
      <c r="G72" t="s">
        <v>45</v>
      </c>
      <c r="I72" s="19"/>
      <c r="J72" s="19"/>
      <c r="K72" s="19"/>
      <c r="L72" s="19"/>
    </row>
    <row r="73" spans="3:18" x14ac:dyDescent="0.25">
      <c r="C73" s="4" t="s">
        <v>63</v>
      </c>
      <c r="E73" s="6">
        <v>30</v>
      </c>
      <c r="F73" s="6"/>
      <c r="G73" s="6"/>
      <c r="I73" s="19"/>
      <c r="J73" s="19"/>
      <c r="K73" s="19"/>
      <c r="L73" s="19"/>
      <c r="Q73" t="s">
        <v>62</v>
      </c>
    </row>
    <row r="74" spans="3:18" x14ac:dyDescent="0.25">
      <c r="C74" s="4" t="s">
        <v>64</v>
      </c>
      <c r="E74" s="1">
        <v>30</v>
      </c>
      <c r="F74" s="1"/>
      <c r="G74" s="1"/>
      <c r="I74" s="19"/>
      <c r="J74" s="19"/>
      <c r="K74" s="19"/>
      <c r="L74" s="19"/>
    </row>
    <row r="75" spans="3:18" x14ac:dyDescent="0.25">
      <c r="C75" s="9" t="s">
        <v>72</v>
      </c>
      <c r="E75" s="21" t="e">
        <f>E74*IF(ISBLANK(E64),E63,E64)</f>
        <v>#REF!</v>
      </c>
      <c r="F75" s="21" t="e">
        <f>F74*IF(ISBLANK(F64),F63,F64)</f>
        <v>#REF!</v>
      </c>
      <c r="G75" s="21" t="e">
        <f>G74*IF(ISBLANK(G64),G63,G64)</f>
        <v>#REF!</v>
      </c>
      <c r="H75" s="21" t="e">
        <f>SUM(E75:G75)</f>
        <v>#REF!</v>
      </c>
      <c r="I75" s="19"/>
      <c r="J75" s="19"/>
      <c r="K75" s="19"/>
      <c r="L75" s="19"/>
    </row>
    <row r="77" spans="3:18" x14ac:dyDescent="0.25">
      <c r="C77" s="3" t="s">
        <v>126</v>
      </c>
    </row>
    <row r="78" spans="3:18" x14ac:dyDescent="0.25">
      <c r="C78" t="s">
        <v>58</v>
      </c>
      <c r="F78" t="s">
        <v>59</v>
      </c>
      <c r="L78" t="s">
        <v>73</v>
      </c>
      <c r="N78" t="s">
        <v>33</v>
      </c>
      <c r="P78" t="s">
        <v>70</v>
      </c>
    </row>
    <row r="79" spans="3:18" x14ac:dyDescent="0.25">
      <c r="C79" s="3" t="s">
        <v>49</v>
      </c>
      <c r="D79" s="1" t="s">
        <v>17</v>
      </c>
      <c r="F79" s="1" t="s">
        <v>21</v>
      </c>
      <c r="L79" s="1"/>
      <c r="M79" s="17"/>
      <c r="N79" s="13">
        <f>'Data tables'!S22</f>
        <v>0</v>
      </c>
      <c r="P79" s="24">
        <f>IF(D79="Yes",IF(F79="custom operator",IF(ISBLANK(L79),N79,L79),M79),0)</f>
        <v>0</v>
      </c>
      <c r="Q79" t="s">
        <v>125</v>
      </c>
    </row>
    <row r="80" spans="3:18" x14ac:dyDescent="0.25">
      <c r="C80" s="3" t="s">
        <v>50</v>
      </c>
      <c r="D80" s="1" t="s">
        <v>18</v>
      </c>
      <c r="F80" s="1"/>
      <c r="L80" s="1"/>
      <c r="M80" s="17"/>
      <c r="N80" s="13">
        <f>'Data tables'!S23</f>
        <v>0</v>
      </c>
      <c r="P80" s="24">
        <f t="shared" ref="P80:P81" si="1">IF(D80="Yes",IF(F80="custom operator",IF(ISBLANK(L80),N80,L80),M80),0)</f>
        <v>0</v>
      </c>
      <c r="Q80" t="s">
        <v>125</v>
      </c>
    </row>
    <row r="81" spans="3:17" x14ac:dyDescent="0.25">
      <c r="C81" s="3" t="s">
        <v>51</v>
      </c>
      <c r="D81" s="1" t="s">
        <v>18</v>
      </c>
      <c r="F81" s="1"/>
      <c r="L81" s="1"/>
      <c r="M81" s="17"/>
      <c r="N81" s="13">
        <f>'Data tables'!S24</f>
        <v>0</v>
      </c>
      <c r="P81" s="24">
        <f t="shared" si="1"/>
        <v>0</v>
      </c>
      <c r="Q81" t="s">
        <v>125</v>
      </c>
    </row>
    <row r="82" spans="3:17" x14ac:dyDescent="0.25">
      <c r="C82" s="9" t="s">
        <v>71</v>
      </c>
      <c r="F82" s="21">
        <f>SUM(P79:P81)</f>
        <v>0</v>
      </c>
    </row>
    <row r="84" spans="3:17" x14ac:dyDescent="0.25">
      <c r="C84" s="9" t="s">
        <v>89</v>
      </c>
    </row>
    <row r="85" spans="3:17" x14ac:dyDescent="0.25">
      <c r="C85" s="3" t="s">
        <v>79</v>
      </c>
      <c r="D85" s="1" t="s">
        <v>82</v>
      </c>
      <c r="G85" t="s">
        <v>80</v>
      </c>
      <c r="I85" s="1" t="s">
        <v>83</v>
      </c>
      <c r="K85" t="s">
        <v>92</v>
      </c>
      <c r="O85" s="21" t="e">
        <f>_xlfn.XLOOKUP(D85,#REF!,#REF!)-_xlfn.XLOOKUP(I85,#REF!,#REF!)</f>
        <v>#REF!</v>
      </c>
    </row>
    <row r="86" spans="3:17" x14ac:dyDescent="0.25">
      <c r="C86" s="3" t="s">
        <v>94</v>
      </c>
      <c r="D86" s="1">
        <v>180</v>
      </c>
      <c r="G86" t="s">
        <v>95</v>
      </c>
      <c r="I86" s="1">
        <v>150</v>
      </c>
      <c r="K86" t="s">
        <v>96</v>
      </c>
      <c r="O86" s="25">
        <f>D86-I86</f>
        <v>30</v>
      </c>
      <c r="Q86" t="s">
        <v>127</v>
      </c>
    </row>
    <row r="87" spans="3:17" x14ac:dyDescent="0.25">
      <c r="C87" s="3" t="s">
        <v>90</v>
      </c>
      <c r="D87" s="1" t="s">
        <v>51</v>
      </c>
      <c r="G87" t="s">
        <v>91</v>
      </c>
      <c r="I87" s="1" t="s">
        <v>49</v>
      </c>
      <c r="K87" t="s">
        <v>93</v>
      </c>
      <c r="O87" s="21" t="e" cm="1">
        <f t="array" ref="O87">_xlfn.XLOOKUP(D87,FertMethod,#REF!)-_xlfn.XLOOKUP(I87,FertMethod,#REF!)</f>
        <v>#REF!</v>
      </c>
    </row>
    <row r="88" spans="3:17" x14ac:dyDescent="0.25">
      <c r="C88" s="9" t="s">
        <v>97</v>
      </c>
      <c r="O88" s="21" t="e">
        <f>O85*O86+O87</f>
        <v>#REF!</v>
      </c>
    </row>
    <row r="90" spans="3:17" x14ac:dyDescent="0.25">
      <c r="C90" s="28" t="s">
        <v>5247</v>
      </c>
    </row>
    <row r="91" spans="3:17" x14ac:dyDescent="0.25">
      <c r="C91" s="3" t="s">
        <v>5248</v>
      </c>
    </row>
    <row r="92" spans="3:17" x14ac:dyDescent="0.25">
      <c r="C92" s="3" t="s">
        <v>5244</v>
      </c>
    </row>
    <row r="94" spans="3:17" x14ac:dyDescent="0.25">
      <c r="C94" s="5" t="s">
        <v>5245</v>
      </c>
    </row>
    <row r="98" spans="3:3" x14ac:dyDescent="0.25">
      <c r="C98" s="5" t="s">
        <v>5246</v>
      </c>
    </row>
  </sheetData>
  <dataConsolidate/>
  <dataValidations count="9">
    <dataValidation type="list" allowBlank="1" showInputMessage="1" showErrorMessage="1" sqref="I53 G37 D48 I48 D53" xr:uid="{4B67EC6E-1817-4007-8767-5CC024395DA4}">
      <formula1>SeedBedPrep</formula1>
    </dataValidation>
    <dataValidation type="list" allowBlank="1" showInputMessage="1" showErrorMessage="1" sqref="G36 J61 D79:D81 G39" xr:uid="{CC2E0AAC-E9D2-4A85-8A21-DD2A8F963AB8}">
      <formula1>YN</formula1>
    </dataValidation>
    <dataValidation type="list" allowBlank="1" showInputMessage="1" showErrorMessage="1" sqref="I54 F79:F81 K65:K66 G41 D49 I49 D54" xr:uid="{F44A2350-DE5F-40FE-9124-B3543B068A68}">
      <formula1>Who</formula1>
    </dataValidation>
    <dataValidation type="list" allowBlank="1" showInputMessage="1" showErrorMessage="1" sqref="G22" xr:uid="{C2A7EE74-34AD-4BA5-8C65-A392EB8F2014}">
      <formula1>CCTermMethod</formula1>
    </dataValidation>
    <dataValidation type="list" allowBlank="1" showInputMessage="1" showErrorMessage="1" sqref="I65:I66 D87 I87" xr:uid="{06EBFC5E-5781-4F3C-B089-FA1DBF373B2E}">
      <formula1>FertMethod</formula1>
    </dataValidation>
    <dataValidation type="list" allowBlank="1" showInputMessage="1" showErrorMessage="1" sqref="D85 I85" xr:uid="{042BA515-BE5A-40D0-BCAA-37B7A5F6D5BF}">
      <formula1>FertProducts</formula1>
    </dataValidation>
    <dataValidation type="list" allowBlank="1" showInputMessage="1" showErrorMessage="1" sqref="G24" xr:uid="{95DD4B05-0EEA-49CB-9E97-FEE18F9C3A6B}">
      <formula1>Herbicides</formula1>
    </dataValidation>
    <dataValidation type="list" allowBlank="1" showInputMessage="1" showErrorMessage="1" sqref="G23" xr:uid="{1C518086-FE99-43BE-95E2-6D71D16AEDE0}">
      <formula1>"Yes,No"</formula1>
    </dataValidation>
    <dataValidation type="list" allowBlank="1" showInputMessage="1" showErrorMessage="1" sqref="G27" xr:uid="{559587C4-F76C-4EAA-9C55-276D6F30877D}">
      <formula1>"Self,Custom Operator"</formula1>
    </dataValidation>
  </dataValidations>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16DA27B8-FFFA-4977-A5D3-52258EEA390C}">
          <x14:formula1>
            <xm:f>'Equip Calcs'!$S$89:$S$90</xm:f>
          </x14:formula1>
          <xm:sqref>G29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5C6F7-25B3-479E-AE7F-AEBD2FF19664}">
  <dimension ref="B2:CS209"/>
  <sheetViews>
    <sheetView zoomScale="130" zoomScaleNormal="130" workbookViewId="0"/>
  </sheetViews>
  <sheetFormatPr defaultColWidth="8.85546875" defaultRowHeight="15" x14ac:dyDescent="0.25"/>
  <cols>
    <col min="2" max="2" width="25.7109375" customWidth="1"/>
    <col min="3" max="3" width="16.28515625" customWidth="1"/>
    <col min="4" max="4" width="17.28515625" customWidth="1"/>
    <col min="5" max="5" width="13.85546875" customWidth="1"/>
    <col min="6" max="6" width="13.5703125" customWidth="1"/>
    <col min="8" max="8" width="16" customWidth="1"/>
    <col min="9" max="9" width="12" customWidth="1"/>
    <col min="10" max="10" width="13" customWidth="1"/>
    <col min="11" max="11" width="14.7109375" customWidth="1"/>
    <col min="12" max="12" width="9.7109375" bestFit="1" customWidth="1"/>
    <col min="14" max="14" width="55.5703125" customWidth="1"/>
    <col min="15" max="15" width="8" bestFit="1" customWidth="1"/>
    <col min="19" max="19" width="60.7109375" bestFit="1" customWidth="1"/>
    <col min="20" max="20" width="49.28515625" customWidth="1"/>
    <col min="21" max="21" width="17.7109375" customWidth="1"/>
    <col min="22" max="23" width="13.28515625" customWidth="1"/>
    <col min="24" max="24" width="11.28515625" customWidth="1"/>
    <col min="25" max="25" width="13.28515625" customWidth="1"/>
    <col min="26" max="26" width="27.7109375" customWidth="1"/>
    <col min="27" max="27" width="14.140625" customWidth="1"/>
    <col min="28" max="28" width="11.7109375" customWidth="1"/>
    <col min="29" max="29" width="14.7109375" customWidth="1"/>
    <col min="30" max="30" width="12.7109375" customWidth="1"/>
    <col min="31" max="31" width="13.7109375" customWidth="1"/>
    <col min="32" max="32" width="13.42578125" customWidth="1"/>
    <col min="33" max="38" width="11.140625" customWidth="1"/>
    <col min="39" max="39" width="13.7109375" customWidth="1"/>
    <col min="40" max="40" width="19.42578125" customWidth="1"/>
    <col min="41" max="41" width="17" customWidth="1"/>
    <col min="42" max="42" width="14.42578125" customWidth="1"/>
    <col min="43" max="43" width="20.140625" customWidth="1"/>
    <col min="44" max="44" width="14" customWidth="1"/>
    <col min="45" max="46" width="12" customWidth="1"/>
    <col min="47" max="50" width="19" customWidth="1"/>
    <col min="51" max="53" width="15.7109375" customWidth="1"/>
    <col min="54" max="54" width="13.7109375" customWidth="1"/>
    <col min="55" max="56" width="14.28515625" customWidth="1"/>
    <col min="57" max="57" width="19.85546875" customWidth="1"/>
    <col min="58" max="58" width="17" customWidth="1"/>
    <col min="59" max="59" width="21.42578125" customWidth="1"/>
    <col min="60" max="60" width="13.7109375" customWidth="1"/>
    <col min="61" max="61" width="37.28515625" bestFit="1" customWidth="1"/>
    <col min="62" max="62" width="19.28515625" customWidth="1"/>
    <col min="63" max="63" width="14" customWidth="1"/>
    <col min="64" max="64" width="14.42578125" customWidth="1"/>
    <col min="65" max="65" width="16.7109375" customWidth="1"/>
    <col min="66" max="66" width="12.42578125" customWidth="1"/>
    <col min="67" max="67" width="37.28515625" bestFit="1" customWidth="1"/>
    <col min="69" max="70" width="11.5703125" style="19" customWidth="1"/>
    <col min="71" max="71" width="16.42578125" style="19" bestFit="1" customWidth="1"/>
    <col min="72" max="72" width="18.28515625" style="19" customWidth="1"/>
    <col min="73" max="74" width="11.5703125" style="19" customWidth="1"/>
    <col min="75" max="75" width="8.85546875" style="19" customWidth="1"/>
    <col min="76" max="76" width="10.85546875" customWidth="1"/>
    <col min="77" max="77" width="16.85546875" customWidth="1"/>
    <col min="78" max="78" width="18.7109375" customWidth="1"/>
    <col min="79" max="79" width="15.140625" customWidth="1"/>
    <col min="80" max="80" width="18.42578125" customWidth="1"/>
    <col min="81" max="84" width="13.85546875" customWidth="1"/>
    <col min="85" max="85" width="11.5703125" customWidth="1"/>
    <col min="89" max="89" width="36.140625" bestFit="1" customWidth="1"/>
  </cols>
  <sheetData>
    <row r="2" spans="2:75" x14ac:dyDescent="0.25">
      <c r="B2" s="125" t="s">
        <v>5552</v>
      </c>
      <c r="F2" t="s">
        <v>5591</v>
      </c>
    </row>
    <row r="3" spans="2:75" x14ac:dyDescent="0.25">
      <c r="B3" s="75" t="s">
        <v>5324</v>
      </c>
      <c r="C3" s="55"/>
      <c r="D3" s="75" t="b">
        <v>1</v>
      </c>
    </row>
    <row r="4" spans="2:75" x14ac:dyDescent="0.25">
      <c r="B4" s="75" t="s">
        <v>5325</v>
      </c>
      <c r="C4" s="55"/>
      <c r="D4" s="75" t="b">
        <v>1</v>
      </c>
    </row>
    <row r="5" spans="2:75" x14ac:dyDescent="0.25">
      <c r="B5" s="75" t="s">
        <v>5511</v>
      </c>
      <c r="C5" s="55"/>
      <c r="D5" s="75" t="b">
        <v>1</v>
      </c>
    </row>
    <row r="6" spans="2:75" x14ac:dyDescent="0.25">
      <c r="B6" s="75" t="s">
        <v>5513</v>
      </c>
      <c r="C6" s="55"/>
      <c r="D6" s="75" t="b">
        <v>1</v>
      </c>
    </row>
    <row r="7" spans="2:75" x14ac:dyDescent="0.25">
      <c r="B7" s="75" t="s">
        <v>5553</v>
      </c>
      <c r="C7" s="55"/>
      <c r="D7" s="75" t="b">
        <v>1</v>
      </c>
    </row>
    <row r="8" spans="2:75" x14ac:dyDescent="0.25">
      <c r="B8" s="75" t="s">
        <v>5554</v>
      </c>
      <c r="C8" s="55"/>
      <c r="D8" s="75" t="b">
        <v>1</v>
      </c>
    </row>
    <row r="9" spans="2:75" x14ac:dyDescent="0.25">
      <c r="B9" s="75" t="s">
        <v>5512</v>
      </c>
      <c r="C9" s="55"/>
      <c r="D9" s="75" t="b">
        <v>1</v>
      </c>
    </row>
    <row r="10" spans="2:75" x14ac:dyDescent="0.25">
      <c r="B10" s="75" t="s">
        <v>5514</v>
      </c>
      <c r="C10" s="55"/>
      <c r="D10" s="75" t="b">
        <v>1</v>
      </c>
    </row>
    <row r="15" spans="2:75" x14ac:dyDescent="0.25">
      <c r="BP15" s="19"/>
      <c r="BW15"/>
    </row>
    <row r="16" spans="2:75" x14ac:dyDescent="0.25">
      <c r="B16" s="5" t="s">
        <v>5575</v>
      </c>
      <c r="C16" s="61" t="s">
        <v>5224</v>
      </c>
      <c r="D16" s="61" t="s">
        <v>1226</v>
      </c>
      <c r="BP16" s="19"/>
      <c r="BW16"/>
    </row>
    <row r="17" spans="2:75" x14ac:dyDescent="0.25">
      <c r="B17" s="55" t="s">
        <v>5429</v>
      </c>
      <c r="C17" s="60" t="str">
        <f>Planting!E15</f>
        <v>Chisel Plow; 15 Ft</v>
      </c>
      <c r="D17" s="55"/>
      <c r="G17" t="s">
        <v>5430</v>
      </c>
      <c r="BP17" s="19"/>
      <c r="BW17"/>
    </row>
    <row r="18" spans="2:75" ht="15.75" thickBot="1" x14ac:dyDescent="0.3">
      <c r="B18" s="111" t="s">
        <v>5431</v>
      </c>
      <c r="C18" s="111"/>
      <c r="D18" s="112" t="str">
        <f>_xlfn.XLOOKUP(C17,Implements[`],Implements[Default Power Unit])</f>
        <v>130 HP MFWD Tractor</v>
      </c>
      <c r="G18" s="19" t="s">
        <v>5497</v>
      </c>
      <c r="BP18" s="19"/>
      <c r="BW18"/>
    </row>
    <row r="19" spans="2:75" x14ac:dyDescent="0.25">
      <c r="B19" s="75" t="s">
        <v>5555</v>
      </c>
      <c r="C19" s="100">
        <f>_xlfn.XLOOKUP(C17,Implements[`],Implements[Acres/year])</f>
        <v>463.63636363636363</v>
      </c>
      <c r="D19" s="75"/>
      <c r="BP19" s="19"/>
      <c r="BW19"/>
    </row>
    <row r="20" spans="2:75" x14ac:dyDescent="0.25">
      <c r="B20" s="75" t="s">
        <v>5556</v>
      </c>
      <c r="D20">
        <f>_xlfn.XLOOKUP(D18,Power[Power Description and HP],Power[Expected Use (Hr/yr)])</f>
        <v>450</v>
      </c>
      <c r="BP20" s="19"/>
      <c r="BW20"/>
    </row>
    <row r="21" spans="2:75" x14ac:dyDescent="0.25">
      <c r="B21" s="75" t="s">
        <v>5488</v>
      </c>
      <c r="C21" s="55"/>
      <c r="D21" s="147">
        <f>_xlfn.XLOOKUP(C17,Implements[`],Implements[Acres/hour])</f>
        <v>7.7272727272727275</v>
      </c>
      <c r="BP21" s="19"/>
      <c r="BW21"/>
    </row>
    <row r="22" spans="2:75" x14ac:dyDescent="0.25">
      <c r="B22" s="55"/>
      <c r="C22" s="55"/>
      <c r="D22" s="55"/>
      <c r="BP22" s="19"/>
      <c r="BW22"/>
    </row>
    <row r="23" spans="2:75" ht="30" x14ac:dyDescent="0.25">
      <c r="B23" s="157" t="s">
        <v>5558</v>
      </c>
      <c r="C23" s="158" t="s">
        <v>5577</v>
      </c>
      <c r="D23" s="158" t="s">
        <v>5576</v>
      </c>
      <c r="E23" s="158" t="s">
        <v>5557</v>
      </c>
      <c r="F23" s="159" t="s">
        <v>5578</v>
      </c>
      <c r="I23" s="55"/>
      <c r="J23" s="75"/>
      <c r="M23" s="75" t="s">
        <v>5574</v>
      </c>
      <c r="N23" s="145"/>
      <c r="O23" s="145"/>
      <c r="BP23" s="19"/>
      <c r="BW23"/>
    </row>
    <row r="24" spans="2:75" x14ac:dyDescent="0.25">
      <c r="B24" s="132" t="s">
        <v>5324</v>
      </c>
      <c r="C24" s="136">
        <f>_xlfn.XLOOKUP($C$17,Implements[`],Implements[Labor (hr/acre)])*'Data tables'!AD56</f>
        <v>3.96</v>
      </c>
      <c r="D24" s="133"/>
      <c r="E24" s="136">
        <f>C24+D24</f>
        <v>3.96</v>
      </c>
      <c r="F24" s="137">
        <f t="shared" ref="F24:F31" si="0">IF(D3,E24,0)</f>
        <v>3.96</v>
      </c>
      <c r="H24" s="75"/>
      <c r="I24" s="55"/>
      <c r="J24" s="75"/>
      <c r="M24" t="s">
        <v>5506</v>
      </c>
      <c r="N24" t="s">
        <v>5505</v>
      </c>
      <c r="O24" t="s">
        <v>5290</v>
      </c>
      <c r="BP24" s="19"/>
      <c r="BW24"/>
    </row>
    <row r="25" spans="2:75" x14ac:dyDescent="0.25">
      <c r="B25" s="134" t="s">
        <v>5325</v>
      </c>
      <c r="C25" s="135"/>
      <c r="D25" s="138">
        <f>(_xlfn.XLOOKUP(D18,Power[Power Description and HP],Power[Fuel (gal/hour)])*(1+'Data tables'!AD61))*'Data tables'!AD60/D21</f>
        <v>2.0356470588235296</v>
      </c>
      <c r="E25" s="140">
        <f t="shared" ref="E25" si="1">C25+D25</f>
        <v>2.0356470588235296</v>
      </c>
      <c r="F25" s="141">
        <f t="shared" si="0"/>
        <v>2.0356470588235296</v>
      </c>
      <c r="H25" s="75">
        <f>_xlfn.XLOOKUP(D18,Power[Power Description and HP],Power[Fuel (gal/hour)])</f>
        <v>5.72</v>
      </c>
      <c r="I25" s="55"/>
      <c r="J25" s="75"/>
      <c r="M25" t="s">
        <v>5507</v>
      </c>
      <c r="N25" t="s">
        <v>5508</v>
      </c>
      <c r="O25" s="23">
        <f>VLOOKUP(N25,Exptyp[],IF(M25="cash",2,3),FALSE)</f>
        <v>4</v>
      </c>
      <c r="BP25" s="19"/>
      <c r="BW25"/>
    </row>
    <row r="26" spans="2:75" x14ac:dyDescent="0.25">
      <c r="B26" s="132" t="s">
        <v>5511</v>
      </c>
      <c r="C26" s="136">
        <f>_xlfn.XLOOKUP($C$17,Implements[`],Implements[Depreciation ($/acre)])</f>
        <v>2.7752353638500029</v>
      </c>
      <c r="D26" s="136">
        <f>_xlfn.XLOOKUP(D18,Power[Power Description and HP],Power[Depreciation ($/hour)])/D21</f>
        <v>2.4628140284027262</v>
      </c>
      <c r="E26" s="136">
        <f>C26+D26</f>
        <v>5.2380493922527291</v>
      </c>
      <c r="F26" s="137">
        <f t="shared" si="0"/>
        <v>5.2380493922527291</v>
      </c>
      <c r="H26" s="75">
        <f>(1+'Data tables'!AD61)</f>
        <v>1.1000000000000001</v>
      </c>
      <c r="I26" s="55"/>
      <c r="J26" s="75"/>
      <c r="M26" t="s">
        <v>5332</v>
      </c>
      <c r="N26" t="s">
        <v>5508</v>
      </c>
      <c r="O26" s="23">
        <f>VLOOKUP(N26,Exptyp[],IF(M26="cash",2,3),FALSE)</f>
        <v>2</v>
      </c>
      <c r="BP26" s="19"/>
      <c r="BW26"/>
    </row>
    <row r="27" spans="2:75" x14ac:dyDescent="0.25">
      <c r="B27" s="134" t="s">
        <v>5513</v>
      </c>
      <c r="C27" s="138">
        <f>_xlfn.XLOOKUP($C$17,Implements[`],Implements[Interest ($/acre)])</f>
        <v>1.460036455247117</v>
      </c>
      <c r="D27" s="138">
        <f>_xlfn.XLOOKUP(D18,Power[Power Description and HP],Power[Interest ($/hour)])/D21</f>
        <v>1.4827560771500929</v>
      </c>
      <c r="E27" s="140">
        <f t="shared" ref="E27:E30" si="2">C27+D27</f>
        <v>2.9427925323972097</v>
      </c>
      <c r="F27" s="141">
        <f t="shared" si="0"/>
        <v>2.9427925323972097</v>
      </c>
      <c r="H27" s="75">
        <f>(_xlfn.XLOOKUP(D18,Power[Power Description and HP],Power[Fuel (gal/hour)])*(1+'Data tables'!AD61))*'Data tables'!AD60/D21</f>
        <v>2.0356470588235296</v>
      </c>
      <c r="I27" s="55"/>
      <c r="J27" s="75"/>
      <c r="M27" t="s">
        <v>5332</v>
      </c>
      <c r="N27" t="s">
        <v>5508</v>
      </c>
      <c r="O27" s="23">
        <f>VLOOKUP(N27,Exptyp[],IF(M27="cash",2,3),FALSE)</f>
        <v>2</v>
      </c>
      <c r="BP27" s="19"/>
      <c r="BW27"/>
    </row>
    <row r="28" spans="2:75" x14ac:dyDescent="0.25">
      <c r="B28" s="132" t="s">
        <v>5553</v>
      </c>
      <c r="C28" s="136">
        <f>_xlfn.XLOOKUP($C$17,Implements[`],Implements[Repair ($/acre)])</f>
        <v>0.84729281110504107</v>
      </c>
      <c r="D28" s="136">
        <f>_xlfn.XLOOKUP(D18,Power[Power Description and HP],Power[Repair ($/hour)])/D21</f>
        <v>0.68329411764705894</v>
      </c>
      <c r="E28" s="136">
        <f t="shared" si="2"/>
        <v>1.5305869287521001</v>
      </c>
      <c r="F28" s="137">
        <f t="shared" si="0"/>
        <v>1.5305869287521001</v>
      </c>
      <c r="H28" s="75">
        <f>(_xlfn.XLOOKUP(D18,Power[Power Description and HP],Power[Fuel (gal/hour)])*(1+'Data tables'!AD61))*'Data tables'!AD60/D21</f>
        <v>2.0356470588235296</v>
      </c>
      <c r="I28" s="55"/>
      <c r="J28" s="75"/>
      <c r="M28" t="s">
        <v>5332</v>
      </c>
      <c r="N28" t="s">
        <v>5509</v>
      </c>
      <c r="O28" s="23">
        <f>VLOOKUP(N28,Exptyp[],IF(M28="cash",2,3),FALSE)</f>
        <v>1</v>
      </c>
      <c r="BP28" s="19"/>
      <c r="BW28"/>
    </row>
    <row r="29" spans="2:75" x14ac:dyDescent="0.25">
      <c r="B29" s="134" t="s">
        <v>5554</v>
      </c>
      <c r="C29" s="138">
        <f>_xlfn.XLOOKUP($C$17,Implements[`],Implements[Taxes ($/acre)])</f>
        <v>0.18250455690588963</v>
      </c>
      <c r="D29" s="138">
        <f>_xlfn.XLOOKUP(D18,Power[Power Description and HP],Power[Taxes ($/hour)])/D21</f>
        <v>0.18534450964376162</v>
      </c>
      <c r="E29" s="140">
        <f t="shared" si="2"/>
        <v>0.36784906654965122</v>
      </c>
      <c r="F29" s="141">
        <f t="shared" si="0"/>
        <v>0.36784906654965122</v>
      </c>
      <c r="H29" s="75"/>
      <c r="I29" s="55"/>
      <c r="J29" s="75"/>
      <c r="M29" t="s">
        <v>5332</v>
      </c>
      <c r="N29" t="s">
        <v>5509</v>
      </c>
      <c r="O29" s="23">
        <f>VLOOKUP(N29,Exptyp[],IF(M29="cash",2,3),FALSE)</f>
        <v>1</v>
      </c>
      <c r="BP29" s="19"/>
      <c r="BW29"/>
    </row>
    <row r="30" spans="2:75" x14ac:dyDescent="0.25">
      <c r="B30" s="132" t="s">
        <v>5512</v>
      </c>
      <c r="C30" s="136">
        <f>_xlfn.XLOOKUP($C$17,Implements[`],Implements[Insurance ($/acre)])</f>
        <v>0.31025774674001233</v>
      </c>
      <c r="D30" s="136">
        <f>_xlfn.XLOOKUP(D18,Power[Power Description and HP],Power[Insurance ($/hour)])/D21</f>
        <v>0.31508566639439478</v>
      </c>
      <c r="E30" s="136">
        <f t="shared" si="2"/>
        <v>0.62534341313440711</v>
      </c>
      <c r="F30" s="137">
        <f t="shared" si="0"/>
        <v>0.62534341313440711</v>
      </c>
      <c r="H30" s="75"/>
      <c r="I30" s="55"/>
      <c r="J30" s="75"/>
      <c r="M30" t="s">
        <v>5332</v>
      </c>
      <c r="N30" t="s">
        <v>5509</v>
      </c>
      <c r="O30" s="23">
        <f>VLOOKUP(N30,Exptyp[],IF(M30="cash",2,3),FALSE)</f>
        <v>1</v>
      </c>
      <c r="BP30" s="19"/>
      <c r="BW30"/>
    </row>
    <row r="31" spans="2:75" x14ac:dyDescent="0.25">
      <c r="B31" s="129" t="s">
        <v>5514</v>
      </c>
      <c r="C31" s="139">
        <f>_xlfn.XLOOKUP($C$17,Implements[`],Implements[Shed ($/acre)])</f>
        <v>0.47035626153599236</v>
      </c>
      <c r="D31" s="139">
        <f>_xlfn.XLOOKUP(D18,Power[Power Description and HP],Power[Shed ($/hour)])/D21</f>
        <v>3.6234852740550522E-2</v>
      </c>
      <c r="E31" s="143">
        <f t="shared" ref="E31" si="3">C31+D31</f>
        <v>0.50659111427654291</v>
      </c>
      <c r="F31" s="144">
        <f t="shared" si="0"/>
        <v>0.50659111427654291</v>
      </c>
      <c r="H31" s="75"/>
      <c r="I31" s="55"/>
      <c r="J31" s="75"/>
      <c r="M31" t="s">
        <v>5507</v>
      </c>
      <c r="N31" t="s">
        <v>5508</v>
      </c>
      <c r="O31" s="23">
        <f>VLOOKUP(N31,Exptyp[],IF(M31="cash",2,3),FALSE)</f>
        <v>4</v>
      </c>
      <c r="BP31" s="19"/>
      <c r="BW31"/>
    </row>
    <row r="32" spans="2:75" x14ac:dyDescent="0.25">
      <c r="B32" s="148" t="s">
        <v>5285</v>
      </c>
      <c r="C32" s="149">
        <f>SUM(C24:C31)</f>
        <v>10.005683195384053</v>
      </c>
      <c r="D32" s="149">
        <f>SUM(D24:D31)</f>
        <v>7.2011763108021141</v>
      </c>
      <c r="E32" s="149">
        <f>SUM(E24:E31)</f>
        <v>17.20685950618617</v>
      </c>
      <c r="F32" s="150">
        <f>SUM(F24:F31)</f>
        <v>17.20685950618617</v>
      </c>
      <c r="M32" s="75"/>
      <c r="N32" s="75"/>
      <c r="O32" s="145"/>
      <c r="BP32" s="19"/>
      <c r="BW32"/>
    </row>
    <row r="33" spans="2:75" x14ac:dyDescent="0.25">
      <c r="BP33" s="19"/>
      <c r="BW33"/>
    </row>
    <row r="34" spans="2:75" x14ac:dyDescent="0.25">
      <c r="BP34" s="19"/>
      <c r="BW34"/>
    </row>
    <row r="35" spans="2:75" x14ac:dyDescent="0.25">
      <c r="B35" s="5" t="s">
        <v>5600</v>
      </c>
      <c r="C35" s="61" t="s">
        <v>5224</v>
      </c>
      <c r="D35" s="61" t="s">
        <v>1226</v>
      </c>
      <c r="BP35" s="19"/>
      <c r="BW35"/>
    </row>
    <row r="36" spans="2:75" x14ac:dyDescent="0.25">
      <c r="B36" s="55" t="s">
        <v>5429</v>
      </c>
      <c r="C36" s="60" t="str">
        <f>Planting!E22</f>
        <v>Row Crop Planter; 6 Row; 15 Ft</v>
      </c>
      <c r="D36" s="55"/>
      <c r="G36" t="s">
        <v>5430</v>
      </c>
      <c r="BP36" s="19"/>
      <c r="BW36"/>
    </row>
    <row r="37" spans="2:75" ht="15.75" thickBot="1" x14ac:dyDescent="0.3">
      <c r="B37" s="111" t="s">
        <v>5431</v>
      </c>
      <c r="C37" s="111"/>
      <c r="D37" s="112" t="str">
        <f>_xlfn.XLOOKUP(C36,Implements[`],Implements[Default Power Unit])</f>
        <v>60 HP Tractor</v>
      </c>
      <c r="G37" s="19" t="s">
        <v>5497</v>
      </c>
      <c r="BP37" s="19"/>
      <c r="BW37"/>
    </row>
    <row r="38" spans="2:75" x14ac:dyDescent="0.25">
      <c r="B38" s="75" t="s">
        <v>5555</v>
      </c>
      <c r="C38" s="100">
        <f>_xlfn.XLOOKUP(C36,Implements[`],Implements[Acres/year])</f>
        <v>489.99999999999994</v>
      </c>
      <c r="D38" s="75"/>
      <c r="BP38" s="19"/>
      <c r="BW38"/>
    </row>
    <row r="39" spans="2:75" x14ac:dyDescent="0.25">
      <c r="B39" s="75" t="s">
        <v>5556</v>
      </c>
      <c r="D39">
        <f>_xlfn.XLOOKUP(D37,Power[Power Description and HP],Power[Expected Use (Hr/yr)])</f>
        <v>400</v>
      </c>
      <c r="BP39" s="19"/>
      <c r="BW39"/>
    </row>
    <row r="40" spans="2:75" x14ac:dyDescent="0.25">
      <c r="B40" s="75" t="s">
        <v>5488</v>
      </c>
      <c r="C40" s="55"/>
      <c r="D40" s="147">
        <f>_xlfn.XLOOKUP(C36,Implements[`],Implements[Acres/hour])</f>
        <v>6.9999999999999991</v>
      </c>
      <c r="BP40" s="19"/>
      <c r="BW40"/>
    </row>
    <row r="41" spans="2:75" x14ac:dyDescent="0.25">
      <c r="B41" s="55"/>
      <c r="C41" s="55"/>
      <c r="D41" s="55"/>
      <c r="BP41" s="19"/>
      <c r="BW41"/>
    </row>
    <row r="42" spans="2:75" ht="30" x14ac:dyDescent="0.25">
      <c r="B42" s="157" t="s">
        <v>5558</v>
      </c>
      <c r="C42" s="158" t="s">
        <v>5577</v>
      </c>
      <c r="D42" s="158" t="s">
        <v>5576</v>
      </c>
      <c r="E42" s="158" t="s">
        <v>5579</v>
      </c>
      <c r="F42" s="159" t="s">
        <v>5578</v>
      </c>
      <c r="BP42" s="19"/>
      <c r="BW42"/>
    </row>
    <row r="43" spans="2:75" x14ac:dyDescent="0.25">
      <c r="B43" s="132" t="s">
        <v>5324</v>
      </c>
      <c r="C43" s="136">
        <f>_xlfn.XLOOKUP(C36,Implements[`],Implements[Labor (hr/acre)])*'Data tables'!$AD$56</f>
        <v>4.9714285714285715</v>
      </c>
      <c r="D43" s="133"/>
      <c r="E43" s="136">
        <f>C43+D43</f>
        <v>4.9714285714285715</v>
      </c>
      <c r="F43" s="137">
        <f t="shared" ref="F43:F50" si="4">IF(D3,E43,0)</f>
        <v>4.9714285714285715</v>
      </c>
      <c r="BP43" s="19"/>
      <c r="BW43"/>
    </row>
    <row r="44" spans="2:75" x14ac:dyDescent="0.25">
      <c r="B44" s="134" t="s">
        <v>5325</v>
      </c>
      <c r="C44" s="135"/>
      <c r="D44" s="138">
        <f>(_xlfn.XLOOKUP(D37,Power[Power Description and HP],Power[Fuel (gal/hour)])*(1+'Data tables'!$AD$61))*'Data tables'!$AD$60/D40</f>
        <v>1.0371428571428571</v>
      </c>
      <c r="E44" s="140">
        <f t="shared" ref="E44" si="5">C44+D44</f>
        <v>1.0371428571428571</v>
      </c>
      <c r="F44" s="141">
        <f t="shared" si="4"/>
        <v>1.0371428571428571</v>
      </c>
      <c r="H44">
        <f>_xlfn.XLOOKUP(D37,Power[Power Description and HP],Power[Fuel (gal/hour)])</f>
        <v>2.6399999999999997</v>
      </c>
      <c r="BP44" s="19"/>
      <c r="BW44"/>
    </row>
    <row r="45" spans="2:75" x14ac:dyDescent="0.25">
      <c r="B45" s="132" t="s">
        <v>5511</v>
      </c>
      <c r="C45" s="136">
        <f>_xlfn.XLOOKUP(C36,Implements[`],Implements[Depreciation ($/acre)])</f>
        <v>2.9825193882593153</v>
      </c>
      <c r="D45" s="136">
        <f>_xlfn.XLOOKUP(D37,Power[Power Description and HP],Power[Depreciation ($/hour)])/D40</f>
        <v>0.5008659648499092</v>
      </c>
      <c r="E45" s="136">
        <f>C45+D45</f>
        <v>3.4833853531092247</v>
      </c>
      <c r="F45" s="137">
        <f t="shared" si="4"/>
        <v>3.4833853531092247</v>
      </c>
      <c r="H45">
        <f>1+'Data tables'!$AD$61</f>
        <v>1.1000000000000001</v>
      </c>
      <c r="BP45" s="19"/>
      <c r="BW45"/>
    </row>
    <row r="46" spans="2:75" x14ac:dyDescent="0.25">
      <c r="B46" s="134" t="s">
        <v>5513</v>
      </c>
      <c r="C46" s="138">
        <f>_xlfn.XLOOKUP(C36,Implements[`],Implements[Interest ($/acre)])</f>
        <v>2.3642538978482572</v>
      </c>
      <c r="D46" s="138">
        <f>_xlfn.XLOOKUP(D37,Power[Power Description and HP],Power[Interest ($/hour)])/D40</f>
        <v>0.36123805916159141</v>
      </c>
      <c r="E46" s="140">
        <f t="shared" ref="E46:E50" si="6">C46+D46</f>
        <v>2.7254919570098486</v>
      </c>
      <c r="F46" s="141">
        <f t="shared" si="4"/>
        <v>2.7254919570098486</v>
      </c>
      <c r="H46">
        <f>'Data tables'!$AD$60/D40</f>
        <v>0.35714285714285721</v>
      </c>
      <c r="BP46" s="19"/>
      <c r="BW46"/>
    </row>
    <row r="47" spans="2:75" x14ac:dyDescent="0.25">
      <c r="B47" s="132" t="s">
        <v>5553</v>
      </c>
      <c r="C47" s="136">
        <f>_xlfn.XLOOKUP(C36,Implements[`],Implements[Repair ($/acre)])</f>
        <v>1.5513806403933164</v>
      </c>
      <c r="D47" s="136">
        <f>_xlfn.XLOOKUP(D37,Power[Power Description and HP],Power[Repair ($/hour)])/D40</f>
        <v>0.15840000000000001</v>
      </c>
      <c r="E47" s="136">
        <f t="shared" si="6"/>
        <v>1.7097806403933165</v>
      </c>
      <c r="F47" s="137">
        <f t="shared" si="4"/>
        <v>1.7097806403933165</v>
      </c>
      <c r="BP47" s="19"/>
      <c r="BW47"/>
    </row>
    <row r="48" spans="2:75" x14ac:dyDescent="0.25">
      <c r="B48" s="134" t="s">
        <v>5554</v>
      </c>
      <c r="C48" s="138">
        <f>_xlfn.XLOOKUP(C36,Implements[`],Implements[Taxes ($/acre)])</f>
        <v>0.29553173723103215</v>
      </c>
      <c r="D48" s="138">
        <f>_xlfn.XLOOKUP(D37,Power[Power Description and HP],Power[Taxes ($/hour)])/D40</f>
        <v>4.5154757395198926E-2</v>
      </c>
      <c r="E48" s="140">
        <f t="shared" si="6"/>
        <v>0.34068649462623107</v>
      </c>
      <c r="F48" s="141">
        <f t="shared" si="4"/>
        <v>0.34068649462623107</v>
      </c>
      <c r="BP48" s="19"/>
      <c r="BW48"/>
    </row>
    <row r="49" spans="2:75" x14ac:dyDescent="0.25">
      <c r="B49" s="132" t="s">
        <v>5512</v>
      </c>
      <c r="C49" s="136">
        <f>_xlfn.XLOOKUP(C36,Implements[`],Implements[Insurance ($/acre)])</f>
        <v>0.50240395329275467</v>
      </c>
      <c r="D49" s="136">
        <f>_xlfn.XLOOKUP(D37,Power[Power Description and HP],Power[Insurance ($/hour)])/D40</f>
        <v>7.6763087571838182E-2</v>
      </c>
      <c r="E49" s="136">
        <f t="shared" si="6"/>
        <v>0.57916704086459281</v>
      </c>
      <c r="F49" s="137">
        <f t="shared" si="4"/>
        <v>0.57916704086459281</v>
      </c>
      <c r="BP49" s="19"/>
      <c r="BW49"/>
    </row>
    <row r="50" spans="2:75" x14ac:dyDescent="0.25">
      <c r="B50" s="129" t="s">
        <v>5514</v>
      </c>
      <c r="C50" s="139">
        <f>_xlfn.XLOOKUP(C36,Implements[`],Implements[Shed ($/acre)])</f>
        <v>0.39559957680207153</v>
      </c>
      <c r="D50" s="139">
        <f>_xlfn.XLOOKUP(D37,Power[Power Description and HP],Power[Shed ($/hour)])/D40</f>
        <v>3.5999561488988509E-2</v>
      </c>
      <c r="E50" s="143">
        <f t="shared" si="6"/>
        <v>0.43159913829106006</v>
      </c>
      <c r="F50" s="141">
        <f t="shared" si="4"/>
        <v>0.43159913829106006</v>
      </c>
      <c r="BP50" s="19"/>
      <c r="BW50"/>
    </row>
    <row r="51" spans="2:75" x14ac:dyDescent="0.25">
      <c r="B51" s="148" t="s">
        <v>5285</v>
      </c>
      <c r="C51" s="149">
        <f>SUM(C43:C50)</f>
        <v>13.063117765255319</v>
      </c>
      <c r="D51" s="149">
        <f>SUM(D43:D50)</f>
        <v>2.2155642876103836</v>
      </c>
      <c r="E51" s="149">
        <f>SUM(E43:E50)</f>
        <v>15.278682052865705</v>
      </c>
      <c r="F51" s="150">
        <f>SUM(F43:F50)</f>
        <v>15.278682052865705</v>
      </c>
      <c r="BP51" s="19"/>
      <c r="BW51"/>
    </row>
    <row r="52" spans="2:75" s="19" customFormat="1" x14ac:dyDescent="0.25">
      <c r="B52" s="156"/>
      <c r="C52" s="78"/>
      <c r="D52" s="78"/>
      <c r="E52" s="78"/>
      <c r="F52" s="78"/>
    </row>
    <row r="53" spans="2:75" s="19" customFormat="1" x14ac:dyDescent="0.25">
      <c r="B53" s="156"/>
      <c r="C53" s="78"/>
      <c r="D53" s="78"/>
      <c r="E53" s="78"/>
      <c r="F53" s="78"/>
    </row>
    <row r="54" spans="2:75" s="19" customFormat="1" x14ac:dyDescent="0.25">
      <c r="B54" s="156"/>
      <c r="C54" s="78"/>
      <c r="D54" s="78"/>
      <c r="E54" s="78"/>
      <c r="F54" s="78"/>
    </row>
    <row r="55" spans="2:75" x14ac:dyDescent="0.25">
      <c r="B55" s="156"/>
      <c r="C55" s="78"/>
      <c r="D55" s="78"/>
      <c r="E55" s="78"/>
      <c r="F55" s="78"/>
      <c r="BP55" s="19"/>
      <c r="BW55"/>
    </row>
    <row r="56" spans="2:75" x14ac:dyDescent="0.25">
      <c r="B56" s="156"/>
      <c r="C56" s="78"/>
      <c r="D56" s="78"/>
      <c r="E56" s="78"/>
      <c r="F56" s="78"/>
      <c r="M56" t="s">
        <v>5493</v>
      </c>
      <c r="BP56" s="19"/>
      <c r="BW56"/>
    </row>
    <row r="57" spans="2:75" x14ac:dyDescent="0.25">
      <c r="M57" s="5" t="s">
        <v>5502</v>
      </c>
      <c r="N57" s="109"/>
      <c r="BP57" s="19"/>
      <c r="BW57"/>
    </row>
    <row r="58" spans="2:75" s="2" customFormat="1" ht="45" x14ac:dyDescent="0.25">
      <c r="M58" s="195" t="s">
        <v>5427</v>
      </c>
      <c r="N58" s="196" t="s">
        <v>5428</v>
      </c>
      <c r="O58" s="197" t="s">
        <v>5415</v>
      </c>
      <c r="P58" s="197" t="s">
        <v>5414</v>
      </c>
      <c r="Q58" s="196" t="s">
        <v>5416</v>
      </c>
      <c r="R58" s="196" t="s">
        <v>5417</v>
      </c>
      <c r="S58" s="196" t="s">
        <v>5606</v>
      </c>
      <c r="T58" s="197" t="s">
        <v>5531</v>
      </c>
      <c r="U58" s="198" t="s">
        <v>5536</v>
      </c>
      <c r="V58" s="196" t="s">
        <v>5535</v>
      </c>
      <c r="W58" s="196" t="s">
        <v>5539</v>
      </c>
      <c r="X58" s="196" t="s">
        <v>5537</v>
      </c>
      <c r="Y58" s="197" t="s">
        <v>5545</v>
      </c>
      <c r="Z58" s="197" t="s">
        <v>5547</v>
      </c>
      <c r="AA58" s="196" t="s">
        <v>5548</v>
      </c>
      <c r="AB58" s="196" t="s">
        <v>5549</v>
      </c>
      <c r="AC58" s="197" t="s">
        <v>5489</v>
      </c>
      <c r="AD58" s="197" t="s">
        <v>5490</v>
      </c>
      <c r="AE58" s="196" t="s">
        <v>5496</v>
      </c>
      <c r="AF58" s="197" t="s">
        <v>5533</v>
      </c>
      <c r="AG58" s="199" t="s">
        <v>5432</v>
      </c>
      <c r="AH58" s="199" t="s">
        <v>5433</v>
      </c>
      <c r="AI58" s="199" t="s">
        <v>5434</v>
      </c>
      <c r="AJ58" s="199" t="s">
        <v>5435</v>
      </c>
      <c r="AK58" s="199" t="s">
        <v>5436</v>
      </c>
      <c r="AL58" s="199" t="s">
        <v>5437</v>
      </c>
      <c r="AM58" s="199" t="s">
        <v>5466</v>
      </c>
      <c r="AN58" s="200" t="s">
        <v>5540</v>
      </c>
      <c r="AO58" s="200" t="s">
        <v>5541</v>
      </c>
      <c r="AP58" s="200" t="s">
        <v>5542</v>
      </c>
      <c r="AQ58" s="200" t="s">
        <v>5544</v>
      </c>
      <c r="AR58" s="200" t="s">
        <v>5543</v>
      </c>
      <c r="AS58" s="200" t="s">
        <v>5488</v>
      </c>
      <c r="AT58" s="200" t="s">
        <v>5551</v>
      </c>
      <c r="AU58" s="200" t="s">
        <v>5487</v>
      </c>
      <c r="AV58" s="200" t="s">
        <v>5559</v>
      </c>
      <c r="AW58" s="200" t="s">
        <v>5561</v>
      </c>
      <c r="AX58" s="200" t="s">
        <v>5562</v>
      </c>
      <c r="AY58" s="195" t="s">
        <v>5560</v>
      </c>
      <c r="AZ58" s="195" t="s">
        <v>5570</v>
      </c>
      <c r="BA58" s="195" t="s">
        <v>5572</v>
      </c>
      <c r="BP58" s="123"/>
      <c r="BQ58" s="123"/>
      <c r="BR58" s="123"/>
      <c r="BS58" s="123"/>
      <c r="BT58" s="123"/>
      <c r="BU58" s="123"/>
      <c r="BV58" s="123"/>
    </row>
    <row r="59" spans="2:75" x14ac:dyDescent="0.25">
      <c r="M59" s="201" t="s">
        <v>5425</v>
      </c>
      <c r="N59" s="202" t="s">
        <v>5354</v>
      </c>
      <c r="O59" s="203">
        <v>15</v>
      </c>
      <c r="P59" s="204" t="s">
        <v>5355</v>
      </c>
      <c r="Q59" s="205"/>
      <c r="R59" s="205"/>
      <c r="S59" s="205" t="str">
        <f>CONCATENATE(N59&amp;"; "&amp;IF(Implements[[#This Row],[Size2]]&lt;&gt;"",Implements[[#This Row],[Size2]]&amp;" "&amp;Implements[[#This Row],[Unit2]]&amp;"; ","")&amp;IF(Implements[[#This Row],[Size1]]&gt;0,ROUND(Implements[[#This Row],[Size1]],1)&amp;" "&amp;Implements[[#This Row],[Unit1]]," "))</f>
        <v>Chisel Plow; 15 Ft</v>
      </c>
      <c r="T59" s="206" t="s">
        <v>5472</v>
      </c>
      <c r="U59" s="207">
        <v>24000</v>
      </c>
      <c r="V59" s="208">
        <v>0.1</v>
      </c>
      <c r="W59" s="208">
        <f>Implements[[#This Row],[Purchase Price (2020)]]/(1-Implements[[#This Row],[List Discount]])</f>
        <v>26666.666666666664</v>
      </c>
      <c r="X59" s="203">
        <v>12</v>
      </c>
      <c r="Y59" s="209">
        <v>60</v>
      </c>
      <c r="Z59" s="210" t="s">
        <v>109</v>
      </c>
      <c r="AA59" s="203">
        <v>5</v>
      </c>
      <c r="AB59" s="208">
        <v>0.85</v>
      </c>
      <c r="AC59" s="208">
        <v>1</v>
      </c>
      <c r="AD59" s="208">
        <v>1.02</v>
      </c>
      <c r="AE59" s="203" t="s">
        <v>5495</v>
      </c>
      <c r="AF59" s="203">
        <v>225</v>
      </c>
      <c r="AG59" s="211">
        <f>_xlfn.XLOOKUP(Implements[[#This Row],[Defaulty ASABE Category]],ASABECoefficients[ASABE Category],ASABECoefficients[RF1])</f>
        <v>0.28000000000000003</v>
      </c>
      <c r="AH59" s="211">
        <f>_xlfn.XLOOKUP(Implements[[#This Row],[Defaulty ASABE Category]],ASABECoefficients[ASABE Category],ASABECoefficients[RF2])</f>
        <v>1.4</v>
      </c>
      <c r="AI59" s="211">
        <f>_xlfn.XLOOKUP(Implements[[#This Row],[Defaulty ASABE Category]],ASABECoefficients[ASABE Category],ASABECoefficients[RV1])</f>
        <v>0.69269999999999998</v>
      </c>
      <c r="AJ59" s="211">
        <f>_xlfn.XLOOKUP(Implements[[#This Row],[Defaulty ASABE Category]],ASABECoefficients[ASABE Category],ASABECoefficients[RV2])</f>
        <v>7.0300000000000001E-2</v>
      </c>
      <c r="AK59" s="211">
        <f>_xlfn.XLOOKUP(Implements[[#This Row],[Defaulty ASABE Category]],ASABECoefficients[ASABE Category],ASABECoefficients[RV3])</f>
        <v>0</v>
      </c>
      <c r="AL59" s="211">
        <f>_xlfn.XLOOKUP(Implements[[#This Row],[Defaulty ASABE Category]],ASABECoefficients[ASABE Category],ASABECoefficients[RV4])</f>
        <v>1.1999999999999999E-3</v>
      </c>
      <c r="AM59" s="211">
        <f>_xlfn.XLOOKUP(Implements[[#This Row],[Defaulty ASABE Category]],ASABECoefficients[ASABE Category],ASABECoefficients[RV5])</f>
        <v>0.12230000000000001</v>
      </c>
      <c r="AN59" s="211">
        <f>(Implements[[#This Row],[RV1]]-Implements[[#This Row],[RV2]]*Implements[[#This Row],[Expected Life (years)]]^0.5-Implements[[#This Row],[RV3]]*Implements[[#This Row],[Expected Use (hr/yr)]]^0.5+Implements[[#This Row],[RV4]]*'Data tables'!$AD$67)^2+0.25*Implements[[#This Row],[RV5]]</f>
        <v>0.32098498545129495</v>
      </c>
      <c r="AO59" s="211">
        <f>Implements[[#This Row],[Trade-in (%)]]*Implements[[#This Row],[List Price]]</f>
        <v>8559.5996120345317</v>
      </c>
      <c r="AP59" s="211">
        <f>(Implements[[#This Row],[Purchase Price (2020)]]-Implements[[#This Row],[Trade-in ($)]])/Implements[[#This Row],[Expected Life (years)]]</f>
        <v>1286.7000323304558</v>
      </c>
      <c r="AQ59" s="211">
        <f>Implements[[#This Row],[List Price]]*(Implements[[#This Row],[RF1]]*(Implements[[#This Row],[Expected Life (years)]]*Implements[[#This Row],[Expected Use (hr/yr)]]/1000)^Implements[[#This Row],[RF2]])</f>
        <v>4714.0290945116831</v>
      </c>
      <c r="AR59" s="211">
        <f>Implements[[#This Row],[Accumulated Repairs ($)]]/Implements[[#This Row],[Expected Life (years)]]</f>
        <v>392.83575787597357</v>
      </c>
      <c r="AS59" s="212">
        <f>Implements[[#This Row],[Size1]]*Implements[[#This Row],[Field Speed (m/h)]]*Implements[[#This Row],[Field Efficiency]]/'Data tables'!$AD$68</f>
        <v>7.7272727272727275</v>
      </c>
      <c r="AT59" s="213">
        <f>Implements[[#This Row],[Acres/hour]]*Implements[[#This Row],[Expected Use (hr/yr)]]</f>
        <v>463.63636363636363</v>
      </c>
      <c r="AU59" s="213">
        <f>Implements[[#This Row],[Annual Depreciation]]/Implements[[#This Row],[Acres/year]]</f>
        <v>2.7752353638500029</v>
      </c>
      <c r="AV59" s="213">
        <f>(Implements[[#This Row],[Purchase Price (2020)]]+Implements[[#This Row],[Trade-in ($)]]+Implements[[#This Row],[Annual Depreciation]])/2*'Data tables'!$AD$58/Implements[[#This Row],[Acres/year]]</f>
        <v>1.460036455247117</v>
      </c>
      <c r="AW59" s="213">
        <f>Implements[[#This Row],[Annual Repairs ($)]]/Implements[[#This Row],[Acres/year]]</f>
        <v>0.84729281110504107</v>
      </c>
      <c r="AX59" s="213">
        <f>(Implements[[#This Row],[Purchase Price (2020)]]+Implements[[#This Row],[Trade-in ($)]]+Implements[[#This Row],[Annual Depreciation]])/2*'Data tables'!$AD$70/Implements[[#This Row],[Acres/year]]</f>
        <v>0.18250455690588963</v>
      </c>
      <c r="AY59" s="201">
        <f>(Implements[[#This Row],[Purchase Price (2020)]]+Implements[[#This Row],[Trade-in ($)]]+Implements[[#This Row],[Annual Depreciation]])/2*'Data tables'!$AD$59/Implements[[#This Row],[Acres/year]]</f>
        <v>0.31025774674001233</v>
      </c>
      <c r="AZ59" s="201">
        <f>(Implements[[#This Row],[Tractor (hr/impl)]]*Implements[[#This Row],[Labor (hr/trac)]])/Implements[[#This Row],[Acres/hour]]</f>
        <v>0.13200000000000001</v>
      </c>
      <c r="BA59" s="201">
        <f>'Data tables'!$AD$62*Implements[[#This Row],[Shed (ft^2)]]/Implements[[#This Row],[Acres/year]]</f>
        <v>0.47035626153599236</v>
      </c>
      <c r="BP59" s="19"/>
      <c r="BW59"/>
    </row>
    <row r="60" spans="2:75" x14ac:dyDescent="0.25">
      <c r="M60" s="201" t="s">
        <v>5425</v>
      </c>
      <c r="N60" s="202" t="s">
        <v>5354</v>
      </c>
      <c r="O60" s="203">
        <v>23</v>
      </c>
      <c r="P60" s="204" t="s">
        <v>5355</v>
      </c>
      <c r="Q60" s="205"/>
      <c r="R60" s="205"/>
      <c r="S60" s="205" t="str">
        <f>CONCATENATE(N60&amp;"; "&amp;IF(Implements[[#This Row],[Size2]]&lt;&gt;"",Implements[[#This Row],[Size2]]&amp;" "&amp;Implements[[#This Row],[Unit2]]&amp;"; ","")&amp;IF(Implements[[#This Row],[Size1]]&gt;0,ROUND(Implements[[#This Row],[Size1]],1)&amp;" "&amp;Implements[[#This Row],[Unit1]]," "))</f>
        <v>Chisel Plow; 23 Ft</v>
      </c>
      <c r="T60" s="206" t="s">
        <v>5473</v>
      </c>
      <c r="U60" s="207">
        <v>43000</v>
      </c>
      <c r="V60" s="208">
        <v>0.1</v>
      </c>
      <c r="W60" s="208">
        <f>Implements[[#This Row],[Purchase Price (2020)]]/(1-Implements[[#This Row],[List Discount]])</f>
        <v>47777.777777777774</v>
      </c>
      <c r="X60" s="203">
        <v>12</v>
      </c>
      <c r="Y60" s="209">
        <v>60</v>
      </c>
      <c r="Z60" s="210" t="s">
        <v>109</v>
      </c>
      <c r="AA60" s="203">
        <v>5</v>
      </c>
      <c r="AB60" s="208">
        <v>0.85</v>
      </c>
      <c r="AC60" s="208">
        <v>1</v>
      </c>
      <c r="AD60" s="208">
        <v>1.02</v>
      </c>
      <c r="AE60" s="203" t="s">
        <v>5495</v>
      </c>
      <c r="AF60" s="203">
        <v>250</v>
      </c>
      <c r="AG60" s="208">
        <f>_xlfn.XLOOKUP(Implements[[#This Row],[Defaulty ASABE Category]],ASABECoefficients[ASABE Category],ASABECoefficients[RF1])</f>
        <v>0.28000000000000003</v>
      </c>
      <c r="AH60" s="208">
        <f>_xlfn.XLOOKUP(Implements[[#This Row],[Defaulty ASABE Category]],ASABECoefficients[ASABE Category],ASABECoefficients[RF2])</f>
        <v>1.4</v>
      </c>
      <c r="AI60" s="208">
        <f>_xlfn.XLOOKUP(Implements[[#This Row],[Defaulty ASABE Category]],ASABECoefficients[ASABE Category],ASABECoefficients[RV1])</f>
        <v>0.69269999999999998</v>
      </c>
      <c r="AJ60" s="208">
        <f>_xlfn.XLOOKUP(Implements[[#This Row],[Defaulty ASABE Category]],ASABECoefficients[ASABE Category],ASABECoefficients[RV2])</f>
        <v>7.0300000000000001E-2</v>
      </c>
      <c r="AK60" s="208">
        <f>_xlfn.XLOOKUP(Implements[[#This Row],[Defaulty ASABE Category]],ASABECoefficients[ASABE Category],ASABECoefficients[RV3])</f>
        <v>0</v>
      </c>
      <c r="AL60" s="208">
        <f>_xlfn.XLOOKUP(Implements[[#This Row],[Defaulty ASABE Category]],ASABECoefficients[ASABE Category],ASABECoefficients[RV4])</f>
        <v>1.1999999999999999E-3</v>
      </c>
      <c r="AM60" s="208">
        <f>_xlfn.XLOOKUP(Implements[[#This Row],[Defaulty ASABE Category]],ASABECoefficients[ASABE Category],ASABECoefficients[RV5])</f>
        <v>0.12230000000000001</v>
      </c>
      <c r="AN60" s="208">
        <f>(Implements[[#This Row],[RV1]]-Implements[[#This Row],[RV2]]*Implements[[#This Row],[Expected Life (years)]]^0.5-Implements[[#This Row],[RV3]]*Implements[[#This Row],[Expected Use (hr/yr)]]^0.5+Implements[[#This Row],[RV4]]*'Data tables'!$AD$67)^2+0.25*Implements[[#This Row],[RV5]]</f>
        <v>0.32098498545129495</v>
      </c>
      <c r="AO60" s="208">
        <f>Implements[[#This Row],[Trade-in (%)]]*Implements[[#This Row],[List Price]]</f>
        <v>15335.949304895201</v>
      </c>
      <c r="AP60" s="208">
        <f>(Implements[[#This Row],[Purchase Price (2020)]]-Implements[[#This Row],[Trade-in ($)]])/Implements[[#This Row],[Expected Life (years)]]</f>
        <v>2305.3375579254002</v>
      </c>
      <c r="AQ60" s="208">
        <f>Implements[[#This Row],[List Price]]*(Implements[[#This Row],[RF1]]*(Implements[[#This Row],[Expected Life (years)]]*Implements[[#This Row],[Expected Use (hr/yr)]]/1000)^Implements[[#This Row],[RF2]])</f>
        <v>8445.968794333432</v>
      </c>
      <c r="AR60" s="208">
        <f>Implements[[#This Row],[Accumulated Repairs ($)]]/Implements[[#This Row],[Expected Life (years)]]</f>
        <v>703.83073286111937</v>
      </c>
      <c r="AS60" s="212">
        <f>Implements[[#This Row],[Size1]]*Implements[[#This Row],[Field Speed (m/h)]]*Implements[[#This Row],[Field Efficiency]]/'Data tables'!$AD$68</f>
        <v>11.848484848484848</v>
      </c>
      <c r="AT60" s="212">
        <f>Implements[[#This Row],[Acres/hour]]*Implements[[#This Row],[Expected Use (hr/yr)]]</f>
        <v>710.90909090909088</v>
      </c>
      <c r="AU60" s="212">
        <f>Implements[[#This Row],[Annual Depreciation]]/Implements[[#This Row],[Acres/year]]</f>
        <v>3.2428021914551666</v>
      </c>
      <c r="AV60" s="212">
        <f>(Implements[[#This Row],[Purchase Price (2020)]]+Implements[[#This Row],[Trade-in ($)]]+Implements[[#This Row],[Annual Depreciation]])/2*'Data tables'!$AD$58/Implements[[#This Row],[Acres/year]]</f>
        <v>1.706020858033316</v>
      </c>
      <c r="AW60" s="212">
        <f>Implements[[#This Row],[Annual Repairs ($)]]/Implements[[#This Row],[Acres/year]]</f>
        <v>0.99004323036730346</v>
      </c>
      <c r="AX60" s="212">
        <f>(Implements[[#This Row],[Purchase Price (2020)]]+Implements[[#This Row],[Trade-in ($)]]+Implements[[#This Row],[Annual Depreciation]])/2*'Data tables'!$AD$70/Implements[[#This Row],[Acres/year]]</f>
        <v>0.21325260725416451</v>
      </c>
      <c r="AY60" s="201">
        <f>(Implements[[#This Row],[Purchase Price (2020)]]+Implements[[#This Row],[Trade-in ($)]]+Implements[[#This Row],[Annual Depreciation]])/2*'Data tables'!$AD$59/Implements[[#This Row],[Acres/year]]</f>
        <v>0.36252943233207974</v>
      </c>
      <c r="AZ60" s="201">
        <f>(Implements[[#This Row],[Tractor (hr/impl)]]*Implements[[#This Row],[Labor (hr/trac)]])/Implements[[#This Row],[Acres/hour]]</f>
        <v>8.6086956521739144E-2</v>
      </c>
      <c r="BA60" s="201">
        <f>'Data tables'!$AD$62*Implements[[#This Row],[Shed (ft^2)]]/Implements[[#This Row],[Acres/year]]</f>
        <v>0.34083787067825533</v>
      </c>
      <c r="BP60" s="19"/>
      <c r="BW60"/>
    </row>
    <row r="61" spans="2:75" x14ac:dyDescent="0.25">
      <c r="M61" s="201" t="s">
        <v>5425</v>
      </c>
      <c r="N61" s="202" t="s">
        <v>5354</v>
      </c>
      <c r="O61" s="203">
        <v>37</v>
      </c>
      <c r="P61" s="204" t="s">
        <v>5355</v>
      </c>
      <c r="Q61" s="205"/>
      <c r="R61" s="205"/>
      <c r="S61" s="205" t="str">
        <f>CONCATENATE(N61&amp;"; "&amp;IF(Implements[[#This Row],[Size2]]&lt;&gt;"",Implements[[#This Row],[Size2]]&amp;" "&amp;Implements[[#This Row],[Unit2]]&amp;"; ","")&amp;IF(Implements[[#This Row],[Size1]]&gt;0,ROUND(Implements[[#This Row],[Size1]],1)&amp;" "&amp;Implements[[#This Row],[Unit1]]," "))</f>
        <v>Chisel Plow; 37 Ft</v>
      </c>
      <c r="T61" s="206" t="s">
        <v>5474</v>
      </c>
      <c r="U61" s="207">
        <v>63000</v>
      </c>
      <c r="V61" s="208">
        <v>0.1</v>
      </c>
      <c r="W61" s="208">
        <f>Implements[[#This Row],[Purchase Price (2020)]]/(1-Implements[[#This Row],[List Discount]])</f>
        <v>70000</v>
      </c>
      <c r="X61" s="203">
        <v>12</v>
      </c>
      <c r="Y61" s="209">
        <v>60</v>
      </c>
      <c r="Z61" s="210" t="s">
        <v>109</v>
      </c>
      <c r="AA61" s="203">
        <v>5</v>
      </c>
      <c r="AB61" s="208">
        <v>0.85</v>
      </c>
      <c r="AC61" s="208">
        <v>1</v>
      </c>
      <c r="AD61" s="208">
        <v>1.02</v>
      </c>
      <c r="AE61" s="203" t="s">
        <v>5495</v>
      </c>
      <c r="AF61" s="203">
        <v>370</v>
      </c>
      <c r="AG61" s="208">
        <f>_xlfn.XLOOKUP(Implements[[#This Row],[Defaulty ASABE Category]],ASABECoefficients[ASABE Category],ASABECoefficients[RF1])</f>
        <v>0.28000000000000003</v>
      </c>
      <c r="AH61" s="208">
        <f>_xlfn.XLOOKUP(Implements[[#This Row],[Defaulty ASABE Category]],ASABECoefficients[ASABE Category],ASABECoefficients[RF2])</f>
        <v>1.4</v>
      </c>
      <c r="AI61" s="208">
        <f>_xlfn.XLOOKUP(Implements[[#This Row],[Defaulty ASABE Category]],ASABECoefficients[ASABE Category],ASABECoefficients[RV1])</f>
        <v>0.69269999999999998</v>
      </c>
      <c r="AJ61" s="208">
        <f>_xlfn.XLOOKUP(Implements[[#This Row],[Defaulty ASABE Category]],ASABECoefficients[ASABE Category],ASABECoefficients[RV2])</f>
        <v>7.0300000000000001E-2</v>
      </c>
      <c r="AK61" s="208">
        <f>_xlfn.XLOOKUP(Implements[[#This Row],[Defaulty ASABE Category]],ASABECoefficients[ASABE Category],ASABECoefficients[RV3])</f>
        <v>0</v>
      </c>
      <c r="AL61" s="208">
        <f>_xlfn.XLOOKUP(Implements[[#This Row],[Defaulty ASABE Category]],ASABECoefficients[ASABE Category],ASABECoefficients[RV4])</f>
        <v>1.1999999999999999E-3</v>
      </c>
      <c r="AM61" s="208">
        <f>_xlfn.XLOOKUP(Implements[[#This Row],[Defaulty ASABE Category]],ASABECoefficients[ASABE Category],ASABECoefficients[RV5])</f>
        <v>0.12230000000000001</v>
      </c>
      <c r="AN61" s="208">
        <f>(Implements[[#This Row],[RV1]]-Implements[[#This Row],[RV2]]*Implements[[#This Row],[Expected Life (years)]]^0.5-Implements[[#This Row],[RV3]]*Implements[[#This Row],[Expected Use (hr/yr)]]^0.5+Implements[[#This Row],[RV4]]*'Data tables'!$AD$67)^2+0.25*Implements[[#This Row],[RV5]]</f>
        <v>0.32098498545129495</v>
      </c>
      <c r="AO61" s="208">
        <f>Implements[[#This Row],[Trade-in (%)]]*Implements[[#This Row],[List Price]]</f>
        <v>22468.948981590645</v>
      </c>
      <c r="AP61" s="208">
        <f>(Implements[[#This Row],[Purchase Price (2020)]]-Implements[[#This Row],[Trade-in ($)]])/Implements[[#This Row],[Expected Life (years)]]</f>
        <v>3377.5875848674464</v>
      </c>
      <c r="AQ61" s="208">
        <f>Implements[[#This Row],[List Price]]*(Implements[[#This Row],[RF1]]*(Implements[[#This Row],[Expected Life (years)]]*Implements[[#This Row],[Expected Use (hr/yr)]]/1000)^Implements[[#This Row],[RF2]])</f>
        <v>12374.326373093169</v>
      </c>
      <c r="AR61" s="208">
        <f>Implements[[#This Row],[Accumulated Repairs ($)]]/Implements[[#This Row],[Expected Life (years)]]</f>
        <v>1031.1938644244308</v>
      </c>
      <c r="AS61" s="212">
        <f>Implements[[#This Row],[Size1]]*Implements[[#This Row],[Field Speed (m/h)]]*Implements[[#This Row],[Field Efficiency]]/'Data tables'!$AD$68</f>
        <v>19.060606060606062</v>
      </c>
      <c r="AT61" s="212">
        <f>Implements[[#This Row],[Acres/hour]]*Implements[[#This Row],[Expected Use (hr/yr)]]</f>
        <v>1143.6363636363637</v>
      </c>
      <c r="AU61" s="212">
        <f>Implements[[#This Row],[Annual Depreciation]]/Implements[[#This Row],[Acres/year]]</f>
        <v>2.9533754716646983</v>
      </c>
      <c r="AV61" s="212">
        <f>(Implements[[#This Row],[Purchase Price (2020)]]+Implements[[#This Row],[Trade-in ($)]]+Implements[[#This Row],[Annual Depreciation]])/2*'Data tables'!$AD$58/Implements[[#This Row],[Acres/year]]</f>
        <v>1.5537550114960872</v>
      </c>
      <c r="AW61" s="212">
        <f>Implements[[#This Row],[Annual Repairs ($)]]/Implements[[#This Row],[Acres/year]]</f>
        <v>0.90167984965570247</v>
      </c>
      <c r="AX61" s="212">
        <f>(Implements[[#This Row],[Purchase Price (2020)]]+Implements[[#This Row],[Trade-in ($)]]+Implements[[#This Row],[Annual Depreciation]])/2*'Data tables'!$AD$70/Implements[[#This Row],[Acres/year]]</f>
        <v>0.1942193764370109</v>
      </c>
      <c r="AY61" s="201">
        <f>(Implements[[#This Row],[Purchase Price (2020)]]+Implements[[#This Row],[Trade-in ($)]]+Implements[[#This Row],[Annual Depreciation]])/2*'Data tables'!$AD$59/Implements[[#This Row],[Acres/year]]</f>
        <v>0.33017293994291858</v>
      </c>
      <c r="AZ61" s="201">
        <f>(Implements[[#This Row],[Tractor (hr/impl)]]*Implements[[#This Row],[Labor (hr/trac)]])/Implements[[#This Row],[Acres/hour]]</f>
        <v>5.3513513513513508E-2</v>
      </c>
      <c r="BA61" s="201">
        <f>'Data tables'!$AD$62*Implements[[#This Row],[Shed (ft^2)]]/Implements[[#This Row],[Acres/year]]</f>
        <v>0.31357084102399491</v>
      </c>
      <c r="BP61" s="19"/>
      <c r="BW61"/>
    </row>
    <row r="62" spans="2:75" x14ac:dyDescent="0.25">
      <c r="M62" s="201" t="s">
        <v>5425</v>
      </c>
      <c r="N62" s="202" t="s">
        <v>5354</v>
      </c>
      <c r="O62" s="203">
        <v>57</v>
      </c>
      <c r="P62" s="204" t="s">
        <v>5355</v>
      </c>
      <c r="Q62" s="205"/>
      <c r="R62" s="205"/>
      <c r="S62" s="205" t="str">
        <f>CONCATENATE(N62&amp;"; "&amp;IF(Implements[[#This Row],[Size2]]&lt;&gt;"",Implements[[#This Row],[Size2]]&amp;" "&amp;Implements[[#This Row],[Unit2]]&amp;"; ","")&amp;IF(Implements[[#This Row],[Size1]]&gt;0,ROUND(Implements[[#This Row],[Size1]],1)&amp;" "&amp;Implements[[#This Row],[Unit1]]," "))</f>
        <v>Chisel Plow; 57 Ft</v>
      </c>
      <c r="T62" s="206" t="s">
        <v>5475</v>
      </c>
      <c r="U62" s="207">
        <v>105500</v>
      </c>
      <c r="V62" s="208">
        <v>0.1</v>
      </c>
      <c r="W62" s="208">
        <f>Implements[[#This Row],[Purchase Price (2020)]]/(1-Implements[[#This Row],[List Discount]])</f>
        <v>117222.22222222222</v>
      </c>
      <c r="X62" s="203">
        <v>12</v>
      </c>
      <c r="Y62" s="209">
        <v>60</v>
      </c>
      <c r="Z62" s="210" t="s">
        <v>109</v>
      </c>
      <c r="AA62" s="203">
        <v>5</v>
      </c>
      <c r="AB62" s="208">
        <v>0.85</v>
      </c>
      <c r="AC62" s="208">
        <v>1</v>
      </c>
      <c r="AD62" s="208">
        <v>1.02</v>
      </c>
      <c r="AE62" s="203" t="s">
        <v>5495</v>
      </c>
      <c r="AF62" s="203">
        <v>370</v>
      </c>
      <c r="AG62" s="208">
        <f>_xlfn.XLOOKUP(Implements[[#This Row],[Defaulty ASABE Category]],ASABECoefficients[ASABE Category],ASABECoefficients[RF1])</f>
        <v>0.28000000000000003</v>
      </c>
      <c r="AH62" s="208">
        <f>_xlfn.XLOOKUP(Implements[[#This Row],[Defaulty ASABE Category]],ASABECoefficients[ASABE Category],ASABECoefficients[RF2])</f>
        <v>1.4</v>
      </c>
      <c r="AI62" s="208">
        <f>_xlfn.XLOOKUP(Implements[[#This Row],[Defaulty ASABE Category]],ASABECoefficients[ASABE Category],ASABECoefficients[RV1])</f>
        <v>0.69269999999999998</v>
      </c>
      <c r="AJ62" s="208">
        <f>_xlfn.XLOOKUP(Implements[[#This Row],[Defaulty ASABE Category]],ASABECoefficients[ASABE Category],ASABECoefficients[RV2])</f>
        <v>7.0300000000000001E-2</v>
      </c>
      <c r="AK62" s="208">
        <f>_xlfn.XLOOKUP(Implements[[#This Row],[Defaulty ASABE Category]],ASABECoefficients[ASABE Category],ASABECoefficients[RV3])</f>
        <v>0</v>
      </c>
      <c r="AL62" s="208">
        <f>_xlfn.XLOOKUP(Implements[[#This Row],[Defaulty ASABE Category]],ASABECoefficients[ASABE Category],ASABECoefficients[RV4])</f>
        <v>1.1999999999999999E-3</v>
      </c>
      <c r="AM62" s="208">
        <f>_xlfn.XLOOKUP(Implements[[#This Row],[Defaulty ASABE Category]],ASABECoefficients[ASABE Category],ASABECoefficients[RV5])</f>
        <v>0.12230000000000001</v>
      </c>
      <c r="AN62" s="208">
        <f>(Implements[[#This Row],[RV1]]-Implements[[#This Row],[RV2]]*Implements[[#This Row],[Expected Life (years)]]^0.5-Implements[[#This Row],[RV3]]*Implements[[#This Row],[Expected Use (hr/yr)]]^0.5+Implements[[#This Row],[RV4]]*'Data tables'!$AD$67)^2+0.25*Implements[[#This Row],[RV5]]</f>
        <v>0.32098498545129495</v>
      </c>
      <c r="AO62" s="208">
        <f>Implements[[#This Row],[Trade-in (%)]]*Implements[[#This Row],[List Price]]</f>
        <v>37626.573294568465</v>
      </c>
      <c r="AP62" s="208">
        <f>(Implements[[#This Row],[Purchase Price (2020)]]-Implements[[#This Row],[Trade-in ($)]])/Implements[[#This Row],[Expected Life (years)]]</f>
        <v>5656.1188921192952</v>
      </c>
      <c r="AQ62" s="208">
        <f>Implements[[#This Row],[List Price]]*(Implements[[#This Row],[RF1]]*(Implements[[#This Row],[Expected Life (years)]]*Implements[[#This Row],[Expected Use (hr/yr)]]/1000)^Implements[[#This Row],[RF2]])</f>
        <v>20722.086227957607</v>
      </c>
      <c r="AR62" s="208">
        <f>Implements[[#This Row],[Accumulated Repairs ($)]]/Implements[[#This Row],[Expected Life (years)]]</f>
        <v>1726.8405189964672</v>
      </c>
      <c r="AS62" s="212">
        <f>Implements[[#This Row],[Size1]]*Implements[[#This Row],[Field Speed (m/h)]]*Implements[[#This Row],[Field Efficiency]]/'Data tables'!$AD$68</f>
        <v>29.363636363636363</v>
      </c>
      <c r="AT62" s="212">
        <f>Implements[[#This Row],[Acres/hour]]*Implements[[#This Row],[Expected Use (hr/yr)]]</f>
        <v>1761.8181818181818</v>
      </c>
      <c r="AU62" s="212">
        <f>Implements[[#This Row],[Annual Depreciation]]/Implements[[#This Row],[Acres/year]]</f>
        <v>3.2103874000677117</v>
      </c>
      <c r="AV62" s="212">
        <f>(Implements[[#This Row],[Purchase Price (2020)]]+Implements[[#This Row],[Trade-in ($)]]+Implements[[#This Row],[Annual Depreciation]])/2*'Data tables'!$AD$58/Implements[[#This Row],[Acres/year]]</f>
        <v>1.6889676099623996</v>
      </c>
      <c r="AW62" s="212">
        <f>Implements[[#This Row],[Annual Repairs ($)]]/Implements[[#This Row],[Acres/year]]</f>
        <v>0.98014683740769548</v>
      </c>
      <c r="AX62" s="212">
        <f>(Implements[[#This Row],[Purchase Price (2020)]]+Implements[[#This Row],[Trade-in ($)]]+Implements[[#This Row],[Annual Depreciation]])/2*'Data tables'!$AD$70/Implements[[#This Row],[Acres/year]]</f>
        <v>0.21112095124529995</v>
      </c>
      <c r="AY62" s="201">
        <f>(Implements[[#This Row],[Purchase Price (2020)]]+Implements[[#This Row],[Trade-in ($)]]+Implements[[#This Row],[Annual Depreciation]])/2*'Data tables'!$AD$59/Implements[[#This Row],[Acres/year]]</f>
        <v>0.35890561711700997</v>
      </c>
      <c r="AZ62" s="201">
        <f>(Implements[[#This Row],[Tractor (hr/impl)]]*Implements[[#This Row],[Labor (hr/trac)]])/Implements[[#This Row],[Acres/hour]]</f>
        <v>3.4736842105263156E-2</v>
      </c>
      <c r="BA62" s="201">
        <f>'Data tables'!$AD$62*Implements[[#This Row],[Shed (ft^2)]]/Implements[[#This Row],[Acres/year]]</f>
        <v>0.20354598452434758</v>
      </c>
      <c r="BP62" s="19"/>
      <c r="BW62"/>
    </row>
    <row r="63" spans="2:75" x14ac:dyDescent="0.25">
      <c r="M63" s="201" t="s">
        <v>5425</v>
      </c>
      <c r="N63" s="214" t="s">
        <v>5500</v>
      </c>
      <c r="O63" s="203">
        <v>16.25</v>
      </c>
      <c r="P63" s="204" t="s">
        <v>5355</v>
      </c>
      <c r="Q63" s="205"/>
      <c r="R63" s="205"/>
      <c r="S63" s="205" t="str">
        <f>CONCATENATE(N63&amp;"; "&amp;IF(Implements[[#This Row],[Size2]]&lt;&gt;"",Implements[[#This Row],[Size2]]&amp;" "&amp;Implements[[#This Row],[Unit2]]&amp;"; ","")&amp;IF(Implements[[#This Row],[Size1]]&gt;0,ROUND(Implements[[#This Row],[Size1]],1)&amp;" "&amp;Implements[[#This Row],[Unit1]]," "))</f>
        <v>Chisel Plow, Front Dsk; 16.3 Ft</v>
      </c>
      <c r="T63" s="206" t="s">
        <v>5473</v>
      </c>
      <c r="U63" s="207">
        <v>28500</v>
      </c>
      <c r="V63" s="208">
        <v>0.1</v>
      </c>
      <c r="W63" s="208">
        <f>Implements[[#This Row],[Purchase Price (2020)]]/(1-Implements[[#This Row],[List Discount]])</f>
        <v>31666.666666666664</v>
      </c>
      <c r="X63" s="203">
        <v>12</v>
      </c>
      <c r="Y63" s="209">
        <v>80</v>
      </c>
      <c r="Z63" s="210" t="s">
        <v>5356</v>
      </c>
      <c r="AA63" s="203">
        <v>5</v>
      </c>
      <c r="AB63" s="208">
        <v>0.85</v>
      </c>
      <c r="AC63" s="208">
        <v>1</v>
      </c>
      <c r="AD63" s="208">
        <v>1.02</v>
      </c>
      <c r="AE63" s="203" t="s">
        <v>5495</v>
      </c>
      <c r="AF63" s="203">
        <v>225</v>
      </c>
      <c r="AG63" s="208">
        <f>_xlfn.XLOOKUP(Implements[[#This Row],[Defaulty ASABE Category]],ASABECoefficients[ASABE Category],ASABECoefficients[RF1])</f>
        <v>0.18</v>
      </c>
      <c r="AH63" s="208">
        <f>_xlfn.XLOOKUP(Implements[[#This Row],[Defaulty ASABE Category]],ASABECoefficients[ASABE Category],ASABECoefficients[RF2])</f>
        <v>1.7</v>
      </c>
      <c r="AI63" s="208">
        <f>_xlfn.XLOOKUP(Implements[[#This Row],[Defaulty ASABE Category]],ASABECoefficients[ASABE Category],ASABECoefficients[RV1])</f>
        <v>0.71940000000000004</v>
      </c>
      <c r="AJ63" s="208">
        <f>_xlfn.XLOOKUP(Implements[[#This Row],[Defaulty ASABE Category]],ASABECoefficients[ASABE Category],ASABECoefficients[RV2])</f>
        <v>0.11020000000000001</v>
      </c>
      <c r="AK63" s="208">
        <f>_xlfn.XLOOKUP(Implements[[#This Row],[Defaulty ASABE Category]],ASABECoefficients[ASABE Category],ASABECoefficients[RV3])</f>
        <v>0</v>
      </c>
      <c r="AL63" s="208">
        <f>_xlfn.XLOOKUP(Implements[[#This Row],[Defaulty ASABE Category]],ASABECoefficients[ASABE Category],ASABECoefficients[RV4])</f>
        <v>3.0000000000000001E-3</v>
      </c>
      <c r="AM63" s="208">
        <f>_xlfn.XLOOKUP(Implements[[#This Row],[Defaulty ASABE Category]],ASABECoefficients[ASABE Category],ASABECoefficients[RV5])</f>
        <v>0.12130000000000001</v>
      </c>
      <c r="AN63" s="208">
        <f>(Implements[[#This Row],[RV1]]-Implements[[#This Row],[RV2]]*Implements[[#This Row],[Expected Life (years)]]^0.5-Implements[[#This Row],[RV3]]*Implements[[#This Row],[Expected Use (hr/yr)]]^0.5+Implements[[#This Row],[RV4]]*'Data tables'!$AD$67)^2+0.25*Implements[[#This Row],[RV5]]</f>
        <v>0.34612896594255843</v>
      </c>
      <c r="AO63" s="208">
        <f>Implements[[#This Row],[Trade-in (%)]]*Implements[[#This Row],[List Price]]</f>
        <v>10960.750588181016</v>
      </c>
      <c r="AP63" s="208">
        <f>(Implements[[#This Row],[Purchase Price (2020)]]-Implements[[#This Row],[Trade-in ($)]])/Implements[[#This Row],[Expected Life (years)]]</f>
        <v>1461.6041176515821</v>
      </c>
      <c r="AQ63" s="208">
        <f>Implements[[#This Row],[List Price]]*(Implements[[#This Row],[RF1]]*(Implements[[#This Row],[Expected Life (years)]]*Implements[[#This Row],[Expected Use (hr/yr)]]/1000)^Implements[[#This Row],[RF2]])</f>
        <v>5317.8483930818857</v>
      </c>
      <c r="AR63" s="208">
        <f>Implements[[#This Row],[Accumulated Repairs ($)]]/Implements[[#This Row],[Expected Life (years)]]</f>
        <v>443.15403275682382</v>
      </c>
      <c r="AS63" s="212">
        <f>Implements[[#This Row],[Size1]]*Implements[[#This Row],[Field Speed (m/h)]]*Implements[[#This Row],[Field Efficiency]]/'Data tables'!$AD$68</f>
        <v>8.3712121212121211</v>
      </c>
      <c r="AT63" s="212">
        <f>Implements[[#This Row],[Acres/hour]]*Implements[[#This Row],[Expected Use (hr/yr)]]</f>
        <v>669.69696969696975</v>
      </c>
      <c r="AU63" s="212">
        <f>Implements[[#This Row],[Annual Depreciation]]/Implements[[#This Row],[Acres/year]]</f>
        <v>2.1824857865385612</v>
      </c>
      <c r="AV63" s="212">
        <f>(Implements[[#This Row],[Purchase Price (2020)]]+Implements[[#This Row],[Trade-in ($)]]+Implements[[#This Row],[Annual Depreciation]])/2*'Data tables'!$AD$58/Implements[[#This Row],[Acres/year]]</f>
        <v>1.2221155704004303</v>
      </c>
      <c r="AW63" s="212">
        <f>Implements[[#This Row],[Annual Repairs ($)]]/Implements[[#This Row],[Acres/year]]</f>
        <v>0.66172321633371878</v>
      </c>
      <c r="AX63" s="212">
        <f>(Implements[[#This Row],[Purchase Price (2020)]]+Implements[[#This Row],[Trade-in ($)]]+Implements[[#This Row],[Annual Depreciation]])/2*'Data tables'!$AD$70/Implements[[#This Row],[Acres/year]]</f>
        <v>0.15276444630005379</v>
      </c>
      <c r="AY63" s="201">
        <f>(Implements[[#This Row],[Purchase Price (2020)]]+Implements[[#This Row],[Trade-in ($)]]+Implements[[#This Row],[Annual Depreciation]])/2*'Data tables'!$AD$59/Implements[[#This Row],[Acres/year]]</f>
        <v>0.25969955871009148</v>
      </c>
      <c r="AZ63" s="201">
        <f>(Implements[[#This Row],[Tractor (hr/impl)]]*Implements[[#This Row],[Labor (hr/trac)]])/Implements[[#This Row],[Acres/hour]]</f>
        <v>0.12184615384615385</v>
      </c>
      <c r="BA63" s="201">
        <f>'Data tables'!$AD$62*Implements[[#This Row],[Shed (ft^2)]]/Implements[[#This Row],[Acres/year]]</f>
        <v>0.3256312579864562</v>
      </c>
      <c r="BP63" s="19"/>
      <c r="BW63"/>
    </row>
    <row r="64" spans="2:75" x14ac:dyDescent="0.25">
      <c r="M64" s="201" t="s">
        <v>5425</v>
      </c>
      <c r="N64" s="214" t="s">
        <v>5500</v>
      </c>
      <c r="O64" s="203">
        <v>21.25</v>
      </c>
      <c r="P64" s="204" t="s">
        <v>5357</v>
      </c>
      <c r="Q64" s="205"/>
      <c r="R64" s="205"/>
      <c r="S64" s="205" t="str">
        <f>CONCATENATE(N64&amp;"; "&amp;IF(Implements[[#This Row],[Size2]]&lt;&gt;"",Implements[[#This Row],[Size2]]&amp;" "&amp;Implements[[#This Row],[Unit2]]&amp;"; ","")&amp;IF(Implements[[#This Row],[Size1]]&gt;0,ROUND(Implements[[#This Row],[Size1]],1)&amp;" "&amp;Implements[[#This Row],[Unit1]]," "))</f>
        <v>Chisel Plow, Front Dsk; 21.3 Ft Fold</v>
      </c>
      <c r="T64" s="206" t="s">
        <v>5474</v>
      </c>
      <c r="U64" s="207">
        <v>44500</v>
      </c>
      <c r="V64" s="208">
        <v>0.1</v>
      </c>
      <c r="W64" s="208">
        <f>Implements[[#This Row],[Purchase Price (2020)]]/(1-Implements[[#This Row],[List Discount]])</f>
        <v>49444.444444444445</v>
      </c>
      <c r="X64" s="203">
        <v>12</v>
      </c>
      <c r="Y64" s="209">
        <v>80</v>
      </c>
      <c r="Z64" s="210" t="s">
        <v>5356</v>
      </c>
      <c r="AA64" s="203">
        <v>5</v>
      </c>
      <c r="AB64" s="208">
        <v>0.85</v>
      </c>
      <c r="AC64" s="208">
        <v>1</v>
      </c>
      <c r="AD64" s="208">
        <v>1.02</v>
      </c>
      <c r="AE64" s="203" t="s">
        <v>5495</v>
      </c>
      <c r="AF64" s="203">
        <v>225</v>
      </c>
      <c r="AG64" s="208">
        <f>_xlfn.XLOOKUP(Implements[[#This Row],[Defaulty ASABE Category]],ASABECoefficients[ASABE Category],ASABECoefficients[RF1])</f>
        <v>0.18</v>
      </c>
      <c r="AH64" s="208">
        <f>_xlfn.XLOOKUP(Implements[[#This Row],[Defaulty ASABE Category]],ASABECoefficients[ASABE Category],ASABECoefficients[RF2])</f>
        <v>1.7</v>
      </c>
      <c r="AI64" s="208">
        <f>_xlfn.XLOOKUP(Implements[[#This Row],[Defaulty ASABE Category]],ASABECoefficients[ASABE Category],ASABECoefficients[RV1])</f>
        <v>0.71940000000000004</v>
      </c>
      <c r="AJ64" s="208">
        <f>_xlfn.XLOOKUP(Implements[[#This Row],[Defaulty ASABE Category]],ASABECoefficients[ASABE Category],ASABECoefficients[RV2])</f>
        <v>0.11020000000000001</v>
      </c>
      <c r="AK64" s="208">
        <f>_xlfn.XLOOKUP(Implements[[#This Row],[Defaulty ASABE Category]],ASABECoefficients[ASABE Category],ASABECoefficients[RV3])</f>
        <v>0</v>
      </c>
      <c r="AL64" s="208">
        <f>_xlfn.XLOOKUP(Implements[[#This Row],[Defaulty ASABE Category]],ASABECoefficients[ASABE Category],ASABECoefficients[RV4])</f>
        <v>3.0000000000000001E-3</v>
      </c>
      <c r="AM64" s="208">
        <f>_xlfn.XLOOKUP(Implements[[#This Row],[Defaulty ASABE Category]],ASABECoefficients[ASABE Category],ASABECoefficients[RV5])</f>
        <v>0.12130000000000001</v>
      </c>
      <c r="AN64" s="208">
        <f>(Implements[[#This Row],[RV1]]-Implements[[#This Row],[RV2]]*Implements[[#This Row],[Expected Life (years)]]^0.5-Implements[[#This Row],[RV3]]*Implements[[#This Row],[Expected Use (hr/yr)]]^0.5+Implements[[#This Row],[RV4]]*'Data tables'!$AD$67)^2+0.25*Implements[[#This Row],[RV5]]</f>
        <v>0.34612896594255843</v>
      </c>
      <c r="AO64" s="208">
        <f>Implements[[#This Row],[Trade-in (%)]]*Implements[[#This Row],[List Price]]</f>
        <v>17114.154427159832</v>
      </c>
      <c r="AP64" s="208">
        <f>(Implements[[#This Row],[Purchase Price (2020)]]-Implements[[#This Row],[Trade-in ($)]])/Implements[[#This Row],[Expected Life (years)]]</f>
        <v>2282.1537977366806</v>
      </c>
      <c r="AQ64" s="208">
        <f>Implements[[#This Row],[List Price]]*(Implements[[#This Row],[RF1]]*(Implements[[#This Row],[Expected Life (years)]]*Implements[[#This Row],[Expected Use (hr/yr)]]/1000)^Implements[[#This Row],[RF2]])</f>
        <v>8303.3071400752251</v>
      </c>
      <c r="AR64" s="208">
        <f>Implements[[#This Row],[Accumulated Repairs ($)]]/Implements[[#This Row],[Expected Life (years)]]</f>
        <v>691.94226167293539</v>
      </c>
      <c r="AS64" s="212">
        <f>Implements[[#This Row],[Size1]]*Implements[[#This Row],[Field Speed (m/h)]]*Implements[[#This Row],[Field Efficiency]]/'Data tables'!$AD$68</f>
        <v>10.946969696969697</v>
      </c>
      <c r="AT64" s="212">
        <f>Implements[[#This Row],[Acres/hour]]*Implements[[#This Row],[Expected Use (hr/yr)]]</f>
        <v>875.75757575757575</v>
      </c>
      <c r="AU64" s="212">
        <f>Implements[[#This Row],[Annual Depreciation]]/Implements[[#This Row],[Acres/year]]</f>
        <v>2.6059195614294279</v>
      </c>
      <c r="AV64" s="212">
        <f>(Implements[[#This Row],[Purchase Price (2020)]]+Implements[[#This Row],[Trade-in ($)]]+Implements[[#This Row],[Annual Depreciation]])/2*'Data tables'!$AD$58/Implements[[#This Row],[Acres/year]]</f>
        <v>1.4592236480426195</v>
      </c>
      <c r="AW64" s="212">
        <f>Implements[[#This Row],[Annual Repairs ($)]]/Implements[[#This Row],[Acres/year]]</f>
        <v>0.79010708080300585</v>
      </c>
      <c r="AX64" s="212">
        <f>(Implements[[#This Row],[Purchase Price (2020)]]+Implements[[#This Row],[Trade-in ($)]]+Implements[[#This Row],[Annual Depreciation]])/2*'Data tables'!$AD$70/Implements[[#This Row],[Acres/year]]</f>
        <v>0.18240295600532744</v>
      </c>
      <c r="AY64" s="201">
        <f>(Implements[[#This Row],[Purchase Price (2020)]]+Implements[[#This Row],[Trade-in ($)]]+Implements[[#This Row],[Annual Depreciation]])/2*'Data tables'!$AD$59/Implements[[#This Row],[Acres/year]]</f>
        <v>0.31008502520905662</v>
      </c>
      <c r="AZ64" s="201">
        <f>(Implements[[#This Row],[Tractor (hr/impl)]]*Implements[[#This Row],[Labor (hr/trac)]])/Implements[[#This Row],[Acres/hour]]</f>
        <v>9.3176470588235291E-2</v>
      </c>
      <c r="BA64" s="201">
        <f>'Data tables'!$AD$62*Implements[[#This Row],[Shed (ft^2)]]/Implements[[#This Row],[Acres/year]]</f>
        <v>0.24901213846023124</v>
      </c>
      <c r="BP64" s="19"/>
      <c r="BW64"/>
    </row>
    <row r="65" spans="13:75" x14ac:dyDescent="0.25">
      <c r="M65" s="201" t="s">
        <v>5425</v>
      </c>
      <c r="N65" s="202" t="s">
        <v>5358</v>
      </c>
      <c r="O65" s="203">
        <v>9</v>
      </c>
      <c r="P65" s="204" t="s">
        <v>5355</v>
      </c>
      <c r="Q65" s="205">
        <v>6</v>
      </c>
      <c r="R65" s="215" t="s">
        <v>5359</v>
      </c>
      <c r="S65" s="205" t="str">
        <f>CONCATENATE(N65&amp;"; "&amp;IF(Implements[[#This Row],[Size2]]&lt;&gt;"",Implements[[#This Row],[Size2]]&amp;" "&amp;Implements[[#This Row],[Unit2]]&amp;"; ","")&amp;IF(Implements[[#This Row],[Size1]]&gt;0,ROUND(Implements[[#This Row],[Size1]],1)&amp;" "&amp;Implements[[#This Row],[Unit1]]," "))</f>
        <v>Moldboard Plow; 6 Bottom; 9 Ft</v>
      </c>
      <c r="T65" s="206" t="s">
        <v>5472</v>
      </c>
      <c r="U65" s="207">
        <v>37500</v>
      </c>
      <c r="V65" s="208">
        <v>0.1</v>
      </c>
      <c r="W65" s="208">
        <f>Implements[[#This Row],[Purchase Price (2020)]]/(1-Implements[[#This Row],[List Discount]])</f>
        <v>41666.666666666664</v>
      </c>
      <c r="X65" s="203">
        <v>12</v>
      </c>
      <c r="Y65" s="209">
        <v>120</v>
      </c>
      <c r="Z65" s="210" t="s">
        <v>5444</v>
      </c>
      <c r="AA65" s="203">
        <v>4.5</v>
      </c>
      <c r="AB65" s="208">
        <v>0.85</v>
      </c>
      <c r="AC65" s="208">
        <v>1</v>
      </c>
      <c r="AD65" s="208">
        <v>1.02</v>
      </c>
      <c r="AE65" s="203" t="s">
        <v>5495</v>
      </c>
      <c r="AF65" s="203">
        <v>132</v>
      </c>
      <c r="AG65" s="208">
        <f>_xlfn.XLOOKUP(Implements[[#This Row],[Defaulty ASABE Category]],ASABECoefficients[ASABE Category],ASABECoefficients[RF1])</f>
        <v>0.28999999999999998</v>
      </c>
      <c r="AH65" s="208">
        <f>_xlfn.XLOOKUP(Implements[[#This Row],[Defaulty ASABE Category]],ASABECoefficients[ASABE Category],ASABECoefficients[RF2])</f>
        <v>1.8</v>
      </c>
      <c r="AI65" s="208">
        <f>_xlfn.XLOOKUP(Implements[[#This Row],[Defaulty ASABE Category]],ASABECoefficients[ASABE Category],ASABECoefficients[RV1])</f>
        <v>0.69269999999999998</v>
      </c>
      <c r="AJ65" s="208">
        <f>_xlfn.XLOOKUP(Implements[[#This Row],[Defaulty ASABE Category]],ASABECoefficients[ASABE Category],ASABECoefficients[RV2])</f>
        <v>7.0300000000000001E-2</v>
      </c>
      <c r="AK65" s="208">
        <f>_xlfn.XLOOKUP(Implements[[#This Row],[Defaulty ASABE Category]],ASABECoefficients[ASABE Category],ASABECoefficients[RV3])</f>
        <v>0</v>
      </c>
      <c r="AL65" s="208">
        <f>_xlfn.XLOOKUP(Implements[[#This Row],[Defaulty ASABE Category]],ASABECoefficients[ASABE Category],ASABECoefficients[RV4])</f>
        <v>1.1999999999999999E-3</v>
      </c>
      <c r="AM65" s="208">
        <f>_xlfn.XLOOKUP(Implements[[#This Row],[Defaulty ASABE Category]],ASABECoefficients[ASABE Category],ASABECoefficients[RV5])</f>
        <v>0.12230000000000001</v>
      </c>
      <c r="AN65" s="208">
        <f>(Implements[[#This Row],[RV1]]-Implements[[#This Row],[RV2]]*Implements[[#This Row],[Expected Life (years)]]^0.5-Implements[[#This Row],[RV3]]*Implements[[#This Row],[Expected Use (hr/yr)]]^0.5+Implements[[#This Row],[RV4]]*'Data tables'!$AD$67)^2+0.25*Implements[[#This Row],[RV5]]</f>
        <v>0.32098498545129495</v>
      </c>
      <c r="AO65" s="208">
        <f>Implements[[#This Row],[Trade-in (%)]]*Implements[[#This Row],[List Price]]</f>
        <v>13374.374393803955</v>
      </c>
      <c r="AP65" s="208">
        <f>(Implements[[#This Row],[Purchase Price (2020)]]-Implements[[#This Row],[Trade-in ($)]])/Implements[[#This Row],[Expected Life (years)]]</f>
        <v>2010.4688005163371</v>
      </c>
      <c r="AQ65" s="208">
        <f>Implements[[#This Row],[List Price]]*(Implements[[#This Row],[RF1]]*(Implements[[#This Row],[Expected Life (years)]]*Implements[[#This Row],[Expected Use (hr/yr)]]/1000)^Implements[[#This Row],[RF2]])</f>
        <v>23293.740981718795</v>
      </c>
      <c r="AR65" s="208">
        <f>Implements[[#This Row],[Accumulated Repairs ($)]]/Implements[[#This Row],[Expected Life (years)]]</f>
        <v>1941.1450818098995</v>
      </c>
      <c r="AS65" s="212">
        <f>Implements[[#This Row],[Size1]]*Implements[[#This Row],[Field Speed (m/h)]]*Implements[[#This Row],[Field Efficiency]]/'Data tables'!$AD$68</f>
        <v>4.172727272727272</v>
      </c>
      <c r="AT65" s="212">
        <f>Implements[[#This Row],[Acres/hour]]*Implements[[#This Row],[Expected Use (hr/yr)]]</f>
        <v>500.72727272727263</v>
      </c>
      <c r="AU65" s="212">
        <f>Implements[[#This Row],[Annual Depreciation]]/Implements[[#This Row],[Acres/year]]</f>
        <v>4.015097459273731</v>
      </c>
      <c r="AV65" s="212">
        <f>(Implements[[#This Row],[Purchase Price (2020)]]+Implements[[#This Row],[Trade-in ($)]]+Implements[[#This Row],[Annual Depreciation]])/2*'Data tables'!$AD$58/Implements[[#This Row],[Acres/year]]</f>
        <v>2.1123212604848338</v>
      </c>
      <c r="AW65" s="212">
        <f>Implements[[#This Row],[Annual Repairs ($)]]/Implements[[#This Row],[Acres/year]]</f>
        <v>3.8766513979500541</v>
      </c>
      <c r="AX65" s="212">
        <f>(Implements[[#This Row],[Purchase Price (2020)]]+Implements[[#This Row],[Trade-in ($)]]+Implements[[#This Row],[Annual Depreciation]])/2*'Data tables'!$AD$70/Implements[[#This Row],[Acres/year]]</f>
        <v>0.26404015756060423</v>
      </c>
      <c r="AY65" s="201">
        <f>(Implements[[#This Row],[Purchase Price (2020)]]+Implements[[#This Row],[Trade-in ($)]]+Implements[[#This Row],[Annual Depreciation]])/2*'Data tables'!$AD$59/Implements[[#This Row],[Acres/year]]</f>
        <v>0.44886826785302725</v>
      </c>
      <c r="AZ65" s="201">
        <f>(Implements[[#This Row],[Tractor (hr/impl)]]*Implements[[#This Row],[Labor (hr/trac)]])/Implements[[#This Row],[Acres/hour]]</f>
        <v>0.24444444444444449</v>
      </c>
      <c r="BA65" s="201">
        <f>'Data tables'!$AD$62*Implements[[#This Row],[Shed (ft^2)]]/Implements[[#This Row],[Acres/year]]</f>
        <v>0.25550216676029219</v>
      </c>
      <c r="BP65" s="19"/>
      <c r="BW65"/>
    </row>
    <row r="66" spans="13:75" x14ac:dyDescent="0.25">
      <c r="M66" s="201" t="s">
        <v>5425</v>
      </c>
      <c r="N66" s="202" t="s">
        <v>5358</v>
      </c>
      <c r="O66" s="203">
        <v>12</v>
      </c>
      <c r="P66" s="204" t="s">
        <v>5355</v>
      </c>
      <c r="Q66" s="205">
        <v>8</v>
      </c>
      <c r="R66" s="215" t="s">
        <v>5359</v>
      </c>
      <c r="S66" s="205" t="str">
        <f>CONCATENATE(N66&amp;"; "&amp;IF(Implements[[#This Row],[Size2]]&lt;&gt;"",Implements[[#This Row],[Size2]]&amp;" "&amp;Implements[[#This Row],[Unit2]]&amp;"; ","")&amp;IF(Implements[[#This Row],[Size1]]&gt;0,ROUND(Implements[[#This Row],[Size1]],1)&amp;" "&amp;Implements[[#This Row],[Unit1]]," "))</f>
        <v>Moldboard Plow; 8 Bottom; 12 Ft</v>
      </c>
      <c r="T66" s="206" t="s">
        <v>5476</v>
      </c>
      <c r="U66" s="207">
        <v>47500</v>
      </c>
      <c r="V66" s="208">
        <v>0.1</v>
      </c>
      <c r="W66" s="208">
        <f>Implements[[#This Row],[Purchase Price (2020)]]/(1-Implements[[#This Row],[List Discount]])</f>
        <v>52777.777777777774</v>
      </c>
      <c r="X66" s="203">
        <v>12</v>
      </c>
      <c r="Y66" s="209">
        <v>120</v>
      </c>
      <c r="Z66" s="210" t="s">
        <v>5444</v>
      </c>
      <c r="AA66" s="203">
        <v>4.5</v>
      </c>
      <c r="AB66" s="208">
        <v>0.85</v>
      </c>
      <c r="AC66" s="208">
        <v>1</v>
      </c>
      <c r="AD66" s="208">
        <v>1.02</v>
      </c>
      <c r="AE66" s="203" t="s">
        <v>5495</v>
      </c>
      <c r="AF66" s="203">
        <v>150</v>
      </c>
      <c r="AG66" s="208">
        <f>_xlfn.XLOOKUP(Implements[[#This Row],[Defaulty ASABE Category]],ASABECoefficients[ASABE Category],ASABECoefficients[RF1])</f>
        <v>0.28999999999999998</v>
      </c>
      <c r="AH66" s="208">
        <f>_xlfn.XLOOKUP(Implements[[#This Row],[Defaulty ASABE Category]],ASABECoefficients[ASABE Category],ASABECoefficients[RF2])</f>
        <v>1.8</v>
      </c>
      <c r="AI66" s="208">
        <f>_xlfn.XLOOKUP(Implements[[#This Row],[Defaulty ASABE Category]],ASABECoefficients[ASABE Category],ASABECoefficients[RV1])</f>
        <v>0.69269999999999998</v>
      </c>
      <c r="AJ66" s="208">
        <f>_xlfn.XLOOKUP(Implements[[#This Row],[Defaulty ASABE Category]],ASABECoefficients[ASABE Category],ASABECoefficients[RV2])</f>
        <v>7.0300000000000001E-2</v>
      </c>
      <c r="AK66" s="208">
        <f>_xlfn.XLOOKUP(Implements[[#This Row],[Defaulty ASABE Category]],ASABECoefficients[ASABE Category],ASABECoefficients[RV3])</f>
        <v>0</v>
      </c>
      <c r="AL66" s="208">
        <f>_xlfn.XLOOKUP(Implements[[#This Row],[Defaulty ASABE Category]],ASABECoefficients[ASABE Category],ASABECoefficients[RV4])</f>
        <v>1.1999999999999999E-3</v>
      </c>
      <c r="AM66" s="208">
        <f>_xlfn.XLOOKUP(Implements[[#This Row],[Defaulty ASABE Category]],ASABECoefficients[ASABE Category],ASABECoefficients[RV5])</f>
        <v>0.12230000000000001</v>
      </c>
      <c r="AN66" s="208">
        <f>(Implements[[#This Row],[RV1]]-Implements[[#This Row],[RV2]]*Implements[[#This Row],[Expected Life (years)]]^0.5-Implements[[#This Row],[RV3]]*Implements[[#This Row],[Expected Use (hr/yr)]]^0.5+Implements[[#This Row],[RV4]]*'Data tables'!$AD$67)^2+0.25*Implements[[#This Row],[RV5]]</f>
        <v>0.32098498545129495</v>
      </c>
      <c r="AO66" s="208">
        <f>Implements[[#This Row],[Trade-in (%)]]*Implements[[#This Row],[List Price]]</f>
        <v>16940.874232151677</v>
      </c>
      <c r="AP66" s="208">
        <f>(Implements[[#This Row],[Purchase Price (2020)]]-Implements[[#This Row],[Trade-in ($)]])/Implements[[#This Row],[Expected Life (years)]]</f>
        <v>2546.5938139873601</v>
      </c>
      <c r="AQ66" s="208">
        <f>Implements[[#This Row],[List Price]]*(Implements[[#This Row],[RF1]]*(Implements[[#This Row],[Expected Life (years)]]*Implements[[#This Row],[Expected Use (hr/yr)]]/1000)^Implements[[#This Row],[RF2]])</f>
        <v>29505.405243510475</v>
      </c>
      <c r="AR66" s="208">
        <f>Implements[[#This Row],[Accumulated Repairs ($)]]/Implements[[#This Row],[Expected Life (years)]]</f>
        <v>2458.7837702925394</v>
      </c>
      <c r="AS66" s="212">
        <f>Implements[[#This Row],[Size1]]*Implements[[#This Row],[Field Speed (m/h)]]*Implements[[#This Row],[Field Efficiency]]/'Data tables'!$AD$68</f>
        <v>5.5636363636363635</v>
      </c>
      <c r="AT66" s="212">
        <f>Implements[[#This Row],[Acres/hour]]*Implements[[#This Row],[Expected Use (hr/yr)]]</f>
        <v>667.63636363636363</v>
      </c>
      <c r="AU66" s="212">
        <f>Implements[[#This Row],[Annual Depreciation]]/Implements[[#This Row],[Acres/year]]</f>
        <v>3.814342586310044</v>
      </c>
      <c r="AV66" s="212">
        <f>(Implements[[#This Row],[Purchase Price (2020)]]+Implements[[#This Row],[Trade-in ($)]]+Implements[[#This Row],[Annual Depreciation]])/2*'Data tables'!$AD$58/Implements[[#This Row],[Acres/year]]</f>
        <v>2.0067051974605921</v>
      </c>
      <c r="AW66" s="212">
        <f>Implements[[#This Row],[Annual Repairs ($)]]/Implements[[#This Row],[Acres/year]]</f>
        <v>3.6828188280525511</v>
      </c>
      <c r="AX66" s="212">
        <f>(Implements[[#This Row],[Purchase Price (2020)]]+Implements[[#This Row],[Trade-in ($)]]+Implements[[#This Row],[Annual Depreciation]])/2*'Data tables'!$AD$70/Implements[[#This Row],[Acres/year]]</f>
        <v>0.25083814968257401</v>
      </c>
      <c r="AY66" s="201">
        <f>(Implements[[#This Row],[Purchase Price (2020)]]+Implements[[#This Row],[Trade-in ($)]]+Implements[[#This Row],[Annual Depreciation]])/2*'Data tables'!$AD$59/Implements[[#This Row],[Acres/year]]</f>
        <v>0.42642485446037592</v>
      </c>
      <c r="AZ66" s="201">
        <f>(Implements[[#This Row],[Tractor (hr/impl)]]*Implements[[#This Row],[Labor (hr/trac)]])/Implements[[#This Row],[Acres/hour]]</f>
        <v>0.18333333333333335</v>
      </c>
      <c r="BA66" s="201">
        <f>'Data tables'!$AD$62*Implements[[#This Row],[Shed (ft^2)]]/Implements[[#This Row],[Acres/year]]</f>
        <v>0.21775752848888535</v>
      </c>
      <c r="BP66" s="19"/>
      <c r="BW66"/>
    </row>
    <row r="67" spans="13:75" x14ac:dyDescent="0.25">
      <c r="M67" s="201" t="s">
        <v>5425</v>
      </c>
      <c r="N67" s="214" t="s">
        <v>5499</v>
      </c>
      <c r="O67" s="203">
        <v>23</v>
      </c>
      <c r="P67" s="204" t="s">
        <v>5355</v>
      </c>
      <c r="Q67" s="205"/>
      <c r="R67" s="205"/>
      <c r="S67" s="205" t="str">
        <f>CONCATENATE(N67&amp;"; "&amp;IF(Implements[[#This Row],[Size2]]&lt;&gt;"",Implements[[#This Row],[Size2]]&amp;" "&amp;Implements[[#This Row],[Unit2]]&amp;"; ","")&amp;IF(Implements[[#This Row],[Size1]]&gt;0,ROUND(Implements[[#This Row],[Size1]],1)&amp;" "&amp;Implements[[#This Row],[Unit1]]," "))</f>
        <v>Field Cultivator; 23 Ft</v>
      </c>
      <c r="T67" s="206" t="s">
        <v>5477</v>
      </c>
      <c r="U67" s="207">
        <v>40500</v>
      </c>
      <c r="V67" s="208">
        <v>0.1</v>
      </c>
      <c r="W67" s="208">
        <f>Implements[[#This Row],[Purchase Price (2020)]]/(1-Implements[[#This Row],[List Discount]])</f>
        <v>45000</v>
      </c>
      <c r="X67" s="203">
        <v>12</v>
      </c>
      <c r="Y67" s="209">
        <v>100</v>
      </c>
      <c r="Z67" s="210" t="s">
        <v>5360</v>
      </c>
      <c r="AA67" s="203">
        <v>7</v>
      </c>
      <c r="AB67" s="208">
        <v>0.85</v>
      </c>
      <c r="AC67" s="208">
        <v>1</v>
      </c>
      <c r="AD67" s="208">
        <v>1.02</v>
      </c>
      <c r="AE67" s="203" t="s">
        <v>5495</v>
      </c>
      <c r="AF67" s="203">
        <v>200</v>
      </c>
      <c r="AG67" s="208">
        <f>_xlfn.XLOOKUP(Implements[[#This Row],[Defaulty ASABE Category]],ASABECoefficients[ASABE Category],ASABECoefficients[RF1])</f>
        <v>0.27</v>
      </c>
      <c r="AH67" s="208">
        <f>_xlfn.XLOOKUP(Implements[[#This Row],[Defaulty ASABE Category]],ASABECoefficients[ASABE Category],ASABECoefficients[RF2])</f>
        <v>1.4</v>
      </c>
      <c r="AI67" s="208">
        <f>_xlfn.XLOOKUP(Implements[[#This Row],[Defaulty ASABE Category]],ASABECoefficients[ASABE Category],ASABECoefficients[RV1])</f>
        <v>0.69269999999999998</v>
      </c>
      <c r="AJ67" s="208">
        <f>_xlfn.XLOOKUP(Implements[[#This Row],[Defaulty ASABE Category]],ASABECoefficients[ASABE Category],ASABECoefficients[RV2])</f>
        <v>7.0300000000000001E-2</v>
      </c>
      <c r="AK67" s="208">
        <f>_xlfn.XLOOKUP(Implements[[#This Row],[Defaulty ASABE Category]],ASABECoefficients[ASABE Category],ASABECoefficients[RV3])</f>
        <v>0</v>
      </c>
      <c r="AL67" s="208">
        <f>_xlfn.XLOOKUP(Implements[[#This Row],[Defaulty ASABE Category]],ASABECoefficients[ASABE Category],ASABECoefficients[RV4])</f>
        <v>1.1999999999999999E-3</v>
      </c>
      <c r="AM67" s="208">
        <f>_xlfn.XLOOKUP(Implements[[#This Row],[Defaulty ASABE Category]],ASABECoefficients[ASABE Category],ASABECoefficients[RV5])</f>
        <v>0.12230000000000001</v>
      </c>
      <c r="AN67" s="208">
        <f>(Implements[[#This Row],[RV1]]-Implements[[#This Row],[RV2]]*Implements[[#This Row],[Expected Life (years)]]^0.5-Implements[[#This Row],[RV3]]*Implements[[#This Row],[Expected Use (hr/yr)]]^0.5+Implements[[#This Row],[RV4]]*'Data tables'!$AD$67)^2+0.25*Implements[[#This Row],[RV5]]</f>
        <v>0.32098498545129495</v>
      </c>
      <c r="AO67" s="208">
        <f>Implements[[#This Row],[Trade-in (%)]]*Implements[[#This Row],[List Price]]</f>
        <v>14444.324345308272</v>
      </c>
      <c r="AP67" s="208">
        <f>(Implements[[#This Row],[Purchase Price (2020)]]-Implements[[#This Row],[Trade-in ($)]])/Implements[[#This Row],[Expected Life (years)]]</f>
        <v>2171.3063045576441</v>
      </c>
      <c r="AQ67" s="208">
        <f>Implements[[#This Row],[List Price]]*(Implements[[#This Row],[RF1]]*(Implements[[#This Row],[Expected Life (years)]]*Implements[[#This Row],[Expected Use (hr/yr)]]/1000)^Implements[[#This Row],[RF2]])</f>
        <v>15683.031776076872</v>
      </c>
      <c r="AR67" s="208">
        <f>Implements[[#This Row],[Accumulated Repairs ($)]]/Implements[[#This Row],[Expected Life (years)]]</f>
        <v>1306.9193146730727</v>
      </c>
      <c r="AS67" s="212">
        <f>Implements[[#This Row],[Size1]]*Implements[[#This Row],[Field Speed (m/h)]]*Implements[[#This Row],[Field Efficiency]]/'Data tables'!$AD$68</f>
        <v>16.587878787878786</v>
      </c>
      <c r="AT67" s="212">
        <f>Implements[[#This Row],[Acres/hour]]*Implements[[#This Row],[Expected Use (hr/yr)]]</f>
        <v>1658.7878787878785</v>
      </c>
      <c r="AU67" s="212">
        <f>Implements[[#This Row],[Annual Depreciation]]/Implements[[#This Row],[Acres/year]]</f>
        <v>1.3089716487103082</v>
      </c>
      <c r="AV67" s="212">
        <f>(Implements[[#This Row],[Purchase Price (2020)]]+Implements[[#This Row],[Trade-in ($)]]+Implements[[#This Row],[Annual Depreciation]])/2*'Data tables'!$AD$58/Implements[[#This Row],[Acres/year]]</f>
        <v>0.68864297093371407</v>
      </c>
      <c r="AW67" s="212">
        <f>Implements[[#This Row],[Annual Repairs ($)]]/Implements[[#This Row],[Acres/year]]</f>
        <v>0.78787609397536362</v>
      </c>
      <c r="AX67" s="212">
        <f>(Implements[[#This Row],[Purchase Price (2020)]]+Implements[[#This Row],[Trade-in ($)]]+Implements[[#This Row],[Annual Depreciation]])/2*'Data tables'!$AD$70/Implements[[#This Row],[Acres/year]]</f>
        <v>8.6080371366714259E-2</v>
      </c>
      <c r="AY67" s="201">
        <f>(Implements[[#This Row],[Purchase Price (2020)]]+Implements[[#This Row],[Trade-in ($)]]+Implements[[#This Row],[Annual Depreciation]])/2*'Data tables'!$AD$59/Implements[[#This Row],[Acres/year]]</f>
        <v>0.14633663132341423</v>
      </c>
      <c r="AZ67" s="201">
        <f>(Implements[[#This Row],[Tractor (hr/impl)]]*Implements[[#This Row],[Labor (hr/trac)]])/Implements[[#This Row],[Acres/hour]]</f>
        <v>6.1490683229813672E-2</v>
      </c>
      <c r="BA67" s="201">
        <f>'Data tables'!$AD$62*Implements[[#This Row],[Shed (ft^2)]]/Implements[[#This Row],[Acres/year]]</f>
        <v>0.11685869851825899</v>
      </c>
      <c r="BP67" s="19"/>
      <c r="BW67"/>
    </row>
    <row r="68" spans="13:75" x14ac:dyDescent="0.25">
      <c r="M68" s="201" t="s">
        <v>5425</v>
      </c>
      <c r="N68" s="214" t="s">
        <v>5499</v>
      </c>
      <c r="O68" s="203">
        <v>47</v>
      </c>
      <c r="P68" s="204" t="s">
        <v>5355</v>
      </c>
      <c r="Q68" s="205"/>
      <c r="R68" s="205"/>
      <c r="S68" s="205" t="str">
        <f>CONCATENATE(N68&amp;"; "&amp;IF(Implements[[#This Row],[Size2]]&lt;&gt;"",Implements[[#This Row],[Size2]]&amp;" "&amp;Implements[[#This Row],[Unit2]]&amp;"; ","")&amp;IF(Implements[[#This Row],[Size1]]&gt;0,ROUND(Implements[[#This Row],[Size1]],1)&amp;" "&amp;Implements[[#This Row],[Unit1]]," "))</f>
        <v>Field Cultivator; 47 Ft</v>
      </c>
      <c r="T68" s="206" t="s">
        <v>5478</v>
      </c>
      <c r="U68" s="207">
        <v>79000</v>
      </c>
      <c r="V68" s="208">
        <v>0.1</v>
      </c>
      <c r="W68" s="208">
        <f>Implements[[#This Row],[Purchase Price (2020)]]/(1-Implements[[#This Row],[List Discount]])</f>
        <v>87777.777777777781</v>
      </c>
      <c r="X68" s="203">
        <v>12</v>
      </c>
      <c r="Y68" s="209">
        <v>100</v>
      </c>
      <c r="Z68" s="210" t="s">
        <v>5360</v>
      </c>
      <c r="AA68" s="203">
        <v>7</v>
      </c>
      <c r="AB68" s="208">
        <v>0.85</v>
      </c>
      <c r="AC68" s="208">
        <v>1</v>
      </c>
      <c r="AD68" s="208">
        <v>1.02</v>
      </c>
      <c r="AE68" s="203" t="s">
        <v>5495</v>
      </c>
      <c r="AF68" s="203">
        <v>400</v>
      </c>
      <c r="AG68" s="208">
        <f>_xlfn.XLOOKUP(Implements[[#This Row],[Defaulty ASABE Category]],ASABECoefficients[ASABE Category],ASABECoefficients[RF1])</f>
        <v>0.27</v>
      </c>
      <c r="AH68" s="208">
        <f>_xlfn.XLOOKUP(Implements[[#This Row],[Defaulty ASABE Category]],ASABECoefficients[ASABE Category],ASABECoefficients[RF2])</f>
        <v>1.4</v>
      </c>
      <c r="AI68" s="208">
        <f>_xlfn.XLOOKUP(Implements[[#This Row],[Defaulty ASABE Category]],ASABECoefficients[ASABE Category],ASABECoefficients[RV1])</f>
        <v>0.69269999999999998</v>
      </c>
      <c r="AJ68" s="208">
        <f>_xlfn.XLOOKUP(Implements[[#This Row],[Defaulty ASABE Category]],ASABECoefficients[ASABE Category],ASABECoefficients[RV2])</f>
        <v>7.0300000000000001E-2</v>
      </c>
      <c r="AK68" s="208">
        <f>_xlfn.XLOOKUP(Implements[[#This Row],[Defaulty ASABE Category]],ASABECoefficients[ASABE Category],ASABECoefficients[RV3])</f>
        <v>0</v>
      </c>
      <c r="AL68" s="208">
        <f>_xlfn.XLOOKUP(Implements[[#This Row],[Defaulty ASABE Category]],ASABECoefficients[ASABE Category],ASABECoefficients[RV4])</f>
        <v>1.1999999999999999E-3</v>
      </c>
      <c r="AM68" s="208">
        <f>_xlfn.XLOOKUP(Implements[[#This Row],[Defaulty ASABE Category]],ASABECoefficients[ASABE Category],ASABECoefficients[RV5])</f>
        <v>0.12230000000000001</v>
      </c>
      <c r="AN68" s="208">
        <f>(Implements[[#This Row],[RV1]]-Implements[[#This Row],[RV2]]*Implements[[#This Row],[Expected Life (years)]]^0.5-Implements[[#This Row],[RV3]]*Implements[[#This Row],[Expected Use (hr/yr)]]^0.5+Implements[[#This Row],[RV4]]*'Data tables'!$AD$67)^2+0.25*Implements[[#This Row],[RV5]]</f>
        <v>0.32098498545129495</v>
      </c>
      <c r="AO68" s="208">
        <f>Implements[[#This Row],[Trade-in (%)]]*Implements[[#This Row],[List Price]]</f>
        <v>28175.348722947001</v>
      </c>
      <c r="AP68" s="208">
        <f>(Implements[[#This Row],[Purchase Price (2020)]]-Implements[[#This Row],[Trade-in ($)]])/Implements[[#This Row],[Expected Life (years)]]</f>
        <v>4235.3876064210826</v>
      </c>
      <c r="AQ68" s="208">
        <f>Implements[[#This Row],[List Price]]*(Implements[[#This Row],[RF1]]*(Implements[[#This Row],[Expected Life (years)]]*Implements[[#This Row],[Expected Use (hr/yr)]]/1000)^Implements[[#This Row],[RF2]])</f>
        <v>30591.592847162294</v>
      </c>
      <c r="AR68" s="208">
        <f>Implements[[#This Row],[Accumulated Repairs ($)]]/Implements[[#This Row],[Expected Life (years)]]</f>
        <v>2549.2994039301911</v>
      </c>
      <c r="AS68" s="212">
        <f>Implements[[#This Row],[Size1]]*Implements[[#This Row],[Field Speed (m/h)]]*Implements[[#This Row],[Field Efficiency]]/'Data tables'!$AD$68</f>
        <v>33.896969696969691</v>
      </c>
      <c r="AT68" s="212">
        <f>Implements[[#This Row],[Acres/hour]]*Implements[[#This Row],[Expected Use (hr/yr)]]</f>
        <v>3389.6969696969691</v>
      </c>
      <c r="AU68" s="212">
        <f>Implements[[#This Row],[Annual Depreciation]]/Implements[[#This Row],[Acres/year]]</f>
        <v>1.2494885661710688</v>
      </c>
      <c r="AV68" s="212">
        <f>(Implements[[#This Row],[Purchase Price (2020)]]+Implements[[#This Row],[Trade-in ($)]]+Implements[[#This Row],[Annual Depreciation]])/2*'Data tables'!$AD$58/Implements[[#This Row],[Acres/year]]</f>
        <v>0.65734923991938987</v>
      </c>
      <c r="AW68" s="212">
        <f>Implements[[#This Row],[Annual Repairs ($)]]/Implements[[#This Row],[Acres/year]]</f>
        <v>0.75207295127566887</v>
      </c>
      <c r="AX68" s="212">
        <f>(Implements[[#This Row],[Purchase Price (2020)]]+Implements[[#This Row],[Trade-in ($)]]+Implements[[#This Row],[Annual Depreciation]])/2*'Data tables'!$AD$70/Implements[[#This Row],[Acres/year]]</f>
        <v>8.2168654989923734E-2</v>
      </c>
      <c r="AY68" s="201">
        <f>(Implements[[#This Row],[Purchase Price (2020)]]+Implements[[#This Row],[Trade-in ($)]]+Implements[[#This Row],[Annual Depreciation]])/2*'Data tables'!$AD$59/Implements[[#This Row],[Acres/year]]</f>
        <v>0.13968671348287034</v>
      </c>
      <c r="AZ68" s="201">
        <f>(Implements[[#This Row],[Tractor (hr/impl)]]*Implements[[#This Row],[Labor (hr/trac)]])/Implements[[#This Row],[Acres/hour]]</f>
        <v>3.0091185410334353E-2</v>
      </c>
      <c r="BA68" s="201">
        <f>'Data tables'!$AD$62*Implements[[#This Row],[Shed (ft^2)]]/Implements[[#This Row],[Acres/year]]</f>
        <v>0.11437234323063646</v>
      </c>
      <c r="BP68" s="19"/>
      <c r="BW68"/>
    </row>
    <row r="69" spans="13:75" x14ac:dyDescent="0.25">
      <c r="M69" s="201" t="s">
        <v>5425</v>
      </c>
      <c r="N69" s="214" t="s">
        <v>5499</v>
      </c>
      <c r="O69" s="203">
        <v>60</v>
      </c>
      <c r="P69" s="204" t="s">
        <v>5355</v>
      </c>
      <c r="Q69" s="205"/>
      <c r="R69" s="205"/>
      <c r="S69" s="205" t="str">
        <f>CONCATENATE(N69&amp;"; "&amp;IF(Implements[[#This Row],[Size2]]&lt;&gt;"",Implements[[#This Row],[Size2]]&amp;" "&amp;Implements[[#This Row],[Unit2]]&amp;"; ","")&amp;IF(Implements[[#This Row],[Size1]]&gt;0,ROUND(Implements[[#This Row],[Size1]],1)&amp;" "&amp;Implements[[#This Row],[Unit1]]," "))</f>
        <v>Field Cultivator; 60 Ft</v>
      </c>
      <c r="T69" s="206" t="s">
        <v>5474</v>
      </c>
      <c r="U69" s="207">
        <v>94000</v>
      </c>
      <c r="V69" s="208">
        <v>0.1</v>
      </c>
      <c r="W69" s="208">
        <f>Implements[[#This Row],[Purchase Price (2020)]]/(1-Implements[[#This Row],[List Discount]])</f>
        <v>104444.44444444444</v>
      </c>
      <c r="X69" s="203">
        <v>12</v>
      </c>
      <c r="Y69" s="209">
        <v>100</v>
      </c>
      <c r="Z69" s="210" t="s">
        <v>5360</v>
      </c>
      <c r="AA69" s="203">
        <v>7</v>
      </c>
      <c r="AB69" s="208">
        <v>0.85</v>
      </c>
      <c r="AC69" s="208">
        <v>1</v>
      </c>
      <c r="AD69" s="208">
        <v>1.02</v>
      </c>
      <c r="AE69" s="203" t="s">
        <v>5495</v>
      </c>
      <c r="AF69" s="203">
        <v>400</v>
      </c>
      <c r="AG69" s="208">
        <f>_xlfn.XLOOKUP(Implements[[#This Row],[Defaulty ASABE Category]],ASABECoefficients[ASABE Category],ASABECoefficients[RF1])</f>
        <v>0.27</v>
      </c>
      <c r="AH69" s="208">
        <f>_xlfn.XLOOKUP(Implements[[#This Row],[Defaulty ASABE Category]],ASABECoefficients[ASABE Category],ASABECoefficients[RF2])</f>
        <v>1.4</v>
      </c>
      <c r="AI69" s="208">
        <f>_xlfn.XLOOKUP(Implements[[#This Row],[Defaulty ASABE Category]],ASABECoefficients[ASABE Category],ASABECoefficients[RV1])</f>
        <v>0.69269999999999998</v>
      </c>
      <c r="AJ69" s="208">
        <f>_xlfn.XLOOKUP(Implements[[#This Row],[Defaulty ASABE Category]],ASABECoefficients[ASABE Category],ASABECoefficients[RV2])</f>
        <v>7.0300000000000001E-2</v>
      </c>
      <c r="AK69" s="208">
        <f>_xlfn.XLOOKUP(Implements[[#This Row],[Defaulty ASABE Category]],ASABECoefficients[ASABE Category],ASABECoefficients[RV3])</f>
        <v>0</v>
      </c>
      <c r="AL69" s="208">
        <f>_xlfn.XLOOKUP(Implements[[#This Row],[Defaulty ASABE Category]],ASABECoefficients[ASABE Category],ASABECoefficients[RV4])</f>
        <v>1.1999999999999999E-3</v>
      </c>
      <c r="AM69" s="208">
        <f>_xlfn.XLOOKUP(Implements[[#This Row],[Defaulty ASABE Category]],ASABECoefficients[ASABE Category],ASABECoefficients[RV5])</f>
        <v>0.12230000000000001</v>
      </c>
      <c r="AN69" s="208">
        <f>(Implements[[#This Row],[RV1]]-Implements[[#This Row],[RV2]]*Implements[[#This Row],[Expected Life (years)]]^0.5-Implements[[#This Row],[RV3]]*Implements[[#This Row],[Expected Use (hr/yr)]]^0.5+Implements[[#This Row],[RV4]]*'Data tables'!$AD$67)^2+0.25*Implements[[#This Row],[RV5]]</f>
        <v>0.32098498545129495</v>
      </c>
      <c r="AO69" s="208">
        <f>Implements[[#This Row],[Trade-in (%)]]*Implements[[#This Row],[List Price]]</f>
        <v>33525.09848046858</v>
      </c>
      <c r="AP69" s="208">
        <f>(Implements[[#This Row],[Purchase Price (2020)]]-Implements[[#This Row],[Trade-in ($)]])/Implements[[#This Row],[Expected Life (years)]]</f>
        <v>5039.5751266276184</v>
      </c>
      <c r="AQ69" s="208">
        <f>Implements[[#This Row],[List Price]]*(Implements[[#This Row],[RF1]]*(Implements[[#This Row],[Expected Life (years)]]*Implements[[#This Row],[Expected Use (hr/yr)]]/1000)^Implements[[#This Row],[RF2]])</f>
        <v>36400.123134598172</v>
      </c>
      <c r="AR69" s="208">
        <f>Implements[[#This Row],[Accumulated Repairs ($)]]/Implements[[#This Row],[Expected Life (years)]]</f>
        <v>3033.3435945498477</v>
      </c>
      <c r="AS69" s="212">
        <f>Implements[[#This Row],[Size1]]*Implements[[#This Row],[Field Speed (m/h)]]*Implements[[#This Row],[Field Efficiency]]/'Data tables'!$AD$68</f>
        <v>43.272727272727273</v>
      </c>
      <c r="AT69" s="212">
        <f>Implements[[#This Row],[Acres/hour]]*Implements[[#This Row],[Expected Use (hr/yr)]]</f>
        <v>4327.272727272727</v>
      </c>
      <c r="AU69" s="212">
        <f>Implements[[#This Row],[Annual Depreciation]]/Implements[[#This Row],[Acres/year]]</f>
        <v>1.164607697329912</v>
      </c>
      <c r="AV69" s="212">
        <f>(Implements[[#This Row],[Purchase Price (2020)]]+Implements[[#This Row],[Trade-in ($)]]+Implements[[#This Row],[Annual Depreciation]])/2*'Data tables'!$AD$58/Implements[[#This Row],[Acres/year]]</f>
        <v>0.6126938696126295</v>
      </c>
      <c r="AW69" s="212">
        <f>Implements[[#This Row],[Annual Repairs ($)]]/Implements[[#This Row],[Acres/year]]</f>
        <v>0.70098276344639343</v>
      </c>
      <c r="AX69" s="212">
        <f>(Implements[[#This Row],[Purchase Price (2020)]]+Implements[[#This Row],[Trade-in ($)]]+Implements[[#This Row],[Annual Depreciation]])/2*'Data tables'!$AD$70/Implements[[#This Row],[Acres/year]]</f>
        <v>7.6586733701578688E-2</v>
      </c>
      <c r="AY69" s="201">
        <f>(Implements[[#This Row],[Purchase Price (2020)]]+Implements[[#This Row],[Trade-in ($)]]+Implements[[#This Row],[Annual Depreciation]])/2*'Data tables'!$AD$59/Implements[[#This Row],[Acres/year]]</f>
        <v>0.13019744729268379</v>
      </c>
      <c r="AZ69" s="201">
        <f>(Implements[[#This Row],[Tractor (hr/impl)]]*Implements[[#This Row],[Labor (hr/trac)]])/Implements[[#This Row],[Acres/hour]]</f>
        <v>2.3571428571428573E-2</v>
      </c>
      <c r="BA69" s="201">
        <f>'Data tables'!$AD$62*Implements[[#This Row],[Shed (ft^2)]]/Implements[[#This Row],[Acres/year]]</f>
        <v>8.9591668863998553E-2</v>
      </c>
      <c r="BP69" s="19"/>
      <c r="BW69"/>
    </row>
    <row r="70" spans="13:75" x14ac:dyDescent="0.25">
      <c r="M70" s="201" t="s">
        <v>5425</v>
      </c>
      <c r="N70" s="214" t="s">
        <v>5361</v>
      </c>
      <c r="O70" s="203">
        <v>21</v>
      </c>
      <c r="P70" s="204" t="s">
        <v>5357</v>
      </c>
      <c r="Q70" s="205"/>
      <c r="R70" s="205"/>
      <c r="S70" s="205" t="str">
        <f>CONCATENATE(N70&amp;"; "&amp;IF(Implements[[#This Row],[Size2]]&lt;&gt;"",Implements[[#This Row],[Size2]]&amp;" "&amp;Implements[[#This Row],[Unit2]]&amp;"; ","")&amp;IF(Implements[[#This Row],[Size1]]&gt;0,ROUND(Implements[[#This Row],[Size1]],1)&amp;" "&amp;Implements[[#This Row],[Unit1]]," "))</f>
        <v>Tandem Disk; 21 Ft Fold</v>
      </c>
      <c r="T70" s="206" t="s">
        <v>5476</v>
      </c>
      <c r="U70" s="207">
        <v>68000</v>
      </c>
      <c r="V70" s="208">
        <v>0.1</v>
      </c>
      <c r="W70" s="208">
        <f>Implements[[#This Row],[Purchase Price (2020)]]/(1-Implements[[#This Row],[List Discount]])</f>
        <v>75555.555555555547</v>
      </c>
      <c r="X70" s="203">
        <v>12</v>
      </c>
      <c r="Y70" s="209">
        <v>100</v>
      </c>
      <c r="Z70" s="210" t="s">
        <v>109</v>
      </c>
      <c r="AA70" s="203">
        <v>6</v>
      </c>
      <c r="AB70" s="208">
        <v>0.8</v>
      </c>
      <c r="AC70" s="208">
        <v>1</v>
      </c>
      <c r="AD70" s="208">
        <v>1.02</v>
      </c>
      <c r="AE70" s="203" t="s">
        <v>5495</v>
      </c>
      <c r="AF70" s="203">
        <v>260</v>
      </c>
      <c r="AG70" s="208">
        <f>_xlfn.XLOOKUP(Implements[[#This Row],[Defaulty ASABE Category]],ASABECoefficients[ASABE Category],ASABECoefficients[RF1])</f>
        <v>0.28000000000000003</v>
      </c>
      <c r="AH70" s="208">
        <f>_xlfn.XLOOKUP(Implements[[#This Row],[Defaulty ASABE Category]],ASABECoefficients[ASABE Category],ASABECoefficients[RF2])</f>
        <v>1.4</v>
      </c>
      <c r="AI70" s="208">
        <f>_xlfn.XLOOKUP(Implements[[#This Row],[Defaulty ASABE Category]],ASABECoefficients[ASABE Category],ASABECoefficients[RV1])</f>
        <v>0.69269999999999998</v>
      </c>
      <c r="AJ70" s="208">
        <f>_xlfn.XLOOKUP(Implements[[#This Row],[Defaulty ASABE Category]],ASABECoefficients[ASABE Category],ASABECoefficients[RV2])</f>
        <v>7.0300000000000001E-2</v>
      </c>
      <c r="AK70" s="208">
        <f>_xlfn.XLOOKUP(Implements[[#This Row],[Defaulty ASABE Category]],ASABECoefficients[ASABE Category],ASABECoefficients[RV3])</f>
        <v>0</v>
      </c>
      <c r="AL70" s="208">
        <f>_xlfn.XLOOKUP(Implements[[#This Row],[Defaulty ASABE Category]],ASABECoefficients[ASABE Category],ASABECoefficients[RV4])</f>
        <v>1.1999999999999999E-3</v>
      </c>
      <c r="AM70" s="208">
        <f>_xlfn.XLOOKUP(Implements[[#This Row],[Defaulty ASABE Category]],ASABECoefficients[ASABE Category],ASABECoefficients[RV5])</f>
        <v>0.12230000000000001</v>
      </c>
      <c r="AN70" s="208">
        <f>(Implements[[#This Row],[RV1]]-Implements[[#This Row],[RV2]]*Implements[[#This Row],[Expected Life (years)]]^0.5-Implements[[#This Row],[RV3]]*Implements[[#This Row],[Expected Use (hr/yr)]]^0.5+Implements[[#This Row],[RV4]]*'Data tables'!$AD$67)^2+0.25*Implements[[#This Row],[RV5]]</f>
        <v>0.32098498545129495</v>
      </c>
      <c r="AO70" s="208">
        <f>Implements[[#This Row],[Trade-in (%)]]*Implements[[#This Row],[List Price]]</f>
        <v>24252.198900764506</v>
      </c>
      <c r="AP70" s="208">
        <f>(Implements[[#This Row],[Purchase Price (2020)]]-Implements[[#This Row],[Trade-in ($)]])/Implements[[#This Row],[Expected Life (years)]]</f>
        <v>3645.6500916029581</v>
      </c>
      <c r="AQ70" s="208">
        <f>Implements[[#This Row],[List Price]]*(Implements[[#This Row],[RF1]]*(Implements[[#This Row],[Expected Life (years)]]*Implements[[#This Row],[Expected Use (hr/yr)]]/1000)^Implements[[#This Row],[RF2]])</f>
        <v>27307.263375994844</v>
      </c>
      <c r="AR70" s="208">
        <f>Implements[[#This Row],[Accumulated Repairs ($)]]/Implements[[#This Row],[Expected Life (years)]]</f>
        <v>2275.6052813329038</v>
      </c>
      <c r="AS70" s="212">
        <f>Implements[[#This Row],[Size1]]*Implements[[#This Row],[Field Speed (m/h)]]*Implements[[#This Row],[Field Efficiency]]/'Data tables'!$AD$68</f>
        <v>12.218181818181819</v>
      </c>
      <c r="AT70" s="212">
        <f>Implements[[#This Row],[Acres/hour]]*Implements[[#This Row],[Expected Use (hr/yr)]]</f>
        <v>1221.818181818182</v>
      </c>
      <c r="AU70" s="212">
        <f>Implements[[#This Row],[Annual Depreciation]]/Implements[[#This Row],[Acres/year]]</f>
        <v>2.9837909975917065</v>
      </c>
      <c r="AV70" s="212">
        <f>(Implements[[#This Row],[Purchase Price (2020)]]+Implements[[#This Row],[Trade-in ($)]]+Implements[[#This Row],[Annual Depreciation]])/2*'Data tables'!$AD$58/Implements[[#This Row],[Acres/year]]</f>
        <v>1.5697564567203006</v>
      </c>
      <c r="AW70" s="212">
        <f>Implements[[#This Row],[Annual Repairs ($)]]/Implements[[#This Row],[Acres/year]]</f>
        <v>1.8624745606147275</v>
      </c>
      <c r="AX70" s="212">
        <f>(Implements[[#This Row],[Purchase Price (2020)]]+Implements[[#This Row],[Trade-in ($)]]+Implements[[#This Row],[Annual Depreciation]])/2*'Data tables'!$AD$70/Implements[[#This Row],[Acres/year]]</f>
        <v>0.19621955709003758</v>
      </c>
      <c r="AY70" s="201">
        <f>(Implements[[#This Row],[Purchase Price (2020)]]+Implements[[#This Row],[Trade-in ($)]]+Implements[[#This Row],[Annual Depreciation]])/2*'Data tables'!$AD$59/Implements[[#This Row],[Acres/year]]</f>
        <v>0.3335732470530639</v>
      </c>
      <c r="AZ70" s="201">
        <f>(Implements[[#This Row],[Tractor (hr/impl)]]*Implements[[#This Row],[Labor (hr/trac)]])/Implements[[#This Row],[Acres/hour]]</f>
        <v>8.3482142857142852E-2</v>
      </c>
      <c r="BA70" s="201">
        <f>'Data tables'!$AD$62*Implements[[#This Row],[Shed (ft^2)]]/Implements[[#This Row],[Acres/year]]</f>
        <v>0.20624748769732995</v>
      </c>
      <c r="BP70" s="19"/>
      <c r="BW70"/>
    </row>
    <row r="71" spans="13:75" x14ac:dyDescent="0.25">
      <c r="M71" s="201" t="s">
        <v>5425</v>
      </c>
      <c r="N71" s="214" t="s">
        <v>5361</v>
      </c>
      <c r="O71" s="203">
        <v>30</v>
      </c>
      <c r="P71" s="204" t="s">
        <v>5357</v>
      </c>
      <c r="Q71" s="205"/>
      <c r="R71" s="205"/>
      <c r="S71" s="205" t="str">
        <f>CONCATENATE(N71&amp;"; "&amp;IF(Implements[[#This Row],[Size2]]&lt;&gt;"",Implements[[#This Row],[Size2]]&amp;" "&amp;Implements[[#This Row],[Unit2]]&amp;"; ","")&amp;IF(Implements[[#This Row],[Size1]]&gt;0,ROUND(Implements[[#This Row],[Size1]],1)&amp;" "&amp;Implements[[#This Row],[Unit1]]," "))</f>
        <v>Tandem Disk; 30 Ft Fold</v>
      </c>
      <c r="T71" s="206" t="s">
        <v>5479</v>
      </c>
      <c r="U71" s="207">
        <v>93500</v>
      </c>
      <c r="V71" s="208">
        <v>0.1</v>
      </c>
      <c r="W71" s="208">
        <f>Implements[[#This Row],[Purchase Price (2020)]]/(1-Implements[[#This Row],[List Discount]])</f>
        <v>103888.88888888889</v>
      </c>
      <c r="X71" s="203">
        <v>12</v>
      </c>
      <c r="Y71" s="209">
        <v>100</v>
      </c>
      <c r="Z71" s="210" t="s">
        <v>109</v>
      </c>
      <c r="AA71" s="203">
        <v>6</v>
      </c>
      <c r="AB71" s="208">
        <v>0.8</v>
      </c>
      <c r="AC71" s="208">
        <v>1</v>
      </c>
      <c r="AD71" s="208">
        <v>1.02</v>
      </c>
      <c r="AE71" s="203" t="s">
        <v>5495</v>
      </c>
      <c r="AF71" s="203">
        <v>280</v>
      </c>
      <c r="AG71" s="208">
        <f>_xlfn.XLOOKUP(Implements[[#This Row],[Defaulty ASABE Category]],ASABECoefficients[ASABE Category],ASABECoefficients[RF1])</f>
        <v>0.28000000000000003</v>
      </c>
      <c r="AH71" s="208">
        <f>_xlfn.XLOOKUP(Implements[[#This Row],[Defaulty ASABE Category]],ASABECoefficients[ASABE Category],ASABECoefficients[RF2])</f>
        <v>1.4</v>
      </c>
      <c r="AI71" s="208">
        <f>_xlfn.XLOOKUP(Implements[[#This Row],[Defaulty ASABE Category]],ASABECoefficients[ASABE Category],ASABECoefficients[RV1])</f>
        <v>0.69269999999999998</v>
      </c>
      <c r="AJ71" s="208">
        <f>_xlfn.XLOOKUP(Implements[[#This Row],[Defaulty ASABE Category]],ASABECoefficients[ASABE Category],ASABECoefficients[RV2])</f>
        <v>7.0300000000000001E-2</v>
      </c>
      <c r="AK71" s="208">
        <f>_xlfn.XLOOKUP(Implements[[#This Row],[Defaulty ASABE Category]],ASABECoefficients[ASABE Category],ASABECoefficients[RV3])</f>
        <v>0</v>
      </c>
      <c r="AL71" s="208">
        <f>_xlfn.XLOOKUP(Implements[[#This Row],[Defaulty ASABE Category]],ASABECoefficients[ASABE Category],ASABECoefficients[RV4])</f>
        <v>1.1999999999999999E-3</v>
      </c>
      <c r="AM71" s="208">
        <f>_xlfn.XLOOKUP(Implements[[#This Row],[Defaulty ASABE Category]],ASABECoefficients[ASABE Category],ASABECoefficients[RV5])</f>
        <v>0.12230000000000001</v>
      </c>
      <c r="AN71" s="208">
        <f>(Implements[[#This Row],[RV1]]-Implements[[#This Row],[RV2]]*Implements[[#This Row],[Expected Life (years)]]^0.5-Implements[[#This Row],[RV3]]*Implements[[#This Row],[Expected Use (hr/yr)]]^0.5+Implements[[#This Row],[RV4]]*'Data tables'!$AD$67)^2+0.25*Implements[[#This Row],[RV5]]</f>
        <v>0.32098498545129495</v>
      </c>
      <c r="AO71" s="208">
        <f>Implements[[#This Row],[Trade-in (%)]]*Implements[[#This Row],[List Price]]</f>
        <v>33346.773488551196</v>
      </c>
      <c r="AP71" s="208">
        <f>(Implements[[#This Row],[Purchase Price (2020)]]-Implements[[#This Row],[Trade-in ($)]])/Implements[[#This Row],[Expected Life (years)]]</f>
        <v>5012.768875954067</v>
      </c>
      <c r="AQ71" s="208">
        <f>Implements[[#This Row],[List Price]]*(Implements[[#This Row],[RF1]]*(Implements[[#This Row],[Expected Life (years)]]*Implements[[#This Row],[Expected Use (hr/yr)]]/1000)^Implements[[#This Row],[RF2]])</f>
        <v>37547.487141992919</v>
      </c>
      <c r="AR71" s="208">
        <f>Implements[[#This Row],[Accumulated Repairs ($)]]/Implements[[#This Row],[Expected Life (years)]]</f>
        <v>3128.9572618327434</v>
      </c>
      <c r="AS71" s="212">
        <f>Implements[[#This Row],[Size1]]*Implements[[#This Row],[Field Speed (m/h)]]*Implements[[#This Row],[Field Efficiency]]/'Data tables'!$AD$68</f>
        <v>17.454545454545453</v>
      </c>
      <c r="AT71" s="212">
        <f>Implements[[#This Row],[Acres/hour]]*Implements[[#This Row],[Expected Use (hr/yr)]]</f>
        <v>1745.4545454545453</v>
      </c>
      <c r="AU71" s="212">
        <f>Implements[[#This Row],[Annual Depreciation]]/Implements[[#This Row],[Acres/year]]</f>
        <v>2.8718988351820181</v>
      </c>
      <c r="AV71" s="212">
        <f>(Implements[[#This Row],[Purchase Price (2020)]]+Implements[[#This Row],[Trade-in ($)]]+Implements[[#This Row],[Annual Depreciation]])/2*'Data tables'!$AD$58/Implements[[#This Row],[Acres/year]]</f>
        <v>1.5108905895932898</v>
      </c>
      <c r="AW71" s="212">
        <f>Implements[[#This Row],[Annual Repairs ($)]]/Implements[[#This Row],[Acres/year]]</f>
        <v>1.7926317645916761</v>
      </c>
      <c r="AX71" s="212">
        <f>(Implements[[#This Row],[Purchase Price (2020)]]+Implements[[#This Row],[Trade-in ($)]]+Implements[[#This Row],[Annual Depreciation]])/2*'Data tables'!$AD$70/Implements[[#This Row],[Acres/year]]</f>
        <v>0.18886132369916123</v>
      </c>
      <c r="AY71" s="201">
        <f>(Implements[[#This Row],[Purchase Price (2020)]]+Implements[[#This Row],[Trade-in ($)]]+Implements[[#This Row],[Annual Depreciation]])/2*'Data tables'!$AD$59/Implements[[#This Row],[Acres/year]]</f>
        <v>0.32106425028857405</v>
      </c>
      <c r="AZ71" s="201">
        <f>(Implements[[#This Row],[Tractor (hr/impl)]]*Implements[[#This Row],[Labor (hr/trac)]])/Implements[[#This Row],[Acres/hour]]</f>
        <v>5.8437500000000003E-2</v>
      </c>
      <c r="BA71" s="201">
        <f>'Data tables'!$AD$62*Implements[[#This Row],[Shed (ft^2)]]/Implements[[#This Row],[Acres/year]]</f>
        <v>0.15547887534106417</v>
      </c>
      <c r="BP71" s="19"/>
      <c r="BW71"/>
    </row>
    <row r="72" spans="13:75" x14ac:dyDescent="0.25">
      <c r="M72" s="201" t="s">
        <v>5425</v>
      </c>
      <c r="N72" s="214" t="s">
        <v>5362</v>
      </c>
      <c r="O72" s="203">
        <v>12</v>
      </c>
      <c r="P72" s="204" t="s">
        <v>5355</v>
      </c>
      <c r="Q72" s="205"/>
      <c r="R72" s="205"/>
      <c r="S72" s="205" t="str">
        <f>CONCATENATE(N72&amp;"; "&amp;IF(Implements[[#This Row],[Size2]]&lt;&gt;"",Implements[[#This Row],[Size2]]&amp;" "&amp;Implements[[#This Row],[Unit2]]&amp;"; ","")&amp;IF(Implements[[#This Row],[Size1]]&gt;0,ROUND(Implements[[#This Row],[Size1]],1)&amp;" "&amp;Implements[[#This Row],[Unit1]]," "))</f>
        <v>Offset Disk; 12 Ft</v>
      </c>
      <c r="T72" s="206" t="s">
        <v>5477</v>
      </c>
      <c r="U72" s="207">
        <v>27500</v>
      </c>
      <c r="V72" s="208">
        <v>0.1</v>
      </c>
      <c r="W72" s="208">
        <f>Implements[[#This Row],[Purchase Price (2020)]]/(1-Implements[[#This Row],[List Discount]])</f>
        <v>30555.555555555555</v>
      </c>
      <c r="X72" s="203">
        <v>12</v>
      </c>
      <c r="Y72" s="209">
        <v>100</v>
      </c>
      <c r="Z72" s="210" t="s">
        <v>5363</v>
      </c>
      <c r="AA72" s="203">
        <v>4.5</v>
      </c>
      <c r="AB72" s="208">
        <v>0.85</v>
      </c>
      <c r="AC72" s="208">
        <v>1</v>
      </c>
      <c r="AD72" s="208">
        <v>1.02</v>
      </c>
      <c r="AE72" s="203" t="s">
        <v>5495</v>
      </c>
      <c r="AF72" s="203">
        <v>150</v>
      </c>
      <c r="AG72" s="208">
        <f>_xlfn.XLOOKUP(Implements[[#This Row],[Defaulty ASABE Category]],ASABECoefficients[ASABE Category],ASABECoefficients[RF1])</f>
        <v>0.18</v>
      </c>
      <c r="AH72" s="208">
        <f>_xlfn.XLOOKUP(Implements[[#This Row],[Defaulty ASABE Category]],ASABECoefficients[ASABE Category],ASABECoefficients[RF2])</f>
        <v>1.7</v>
      </c>
      <c r="AI72" s="208">
        <f>_xlfn.XLOOKUP(Implements[[#This Row],[Defaulty ASABE Category]],ASABECoefficients[ASABE Category],ASABECoefficients[RV1])</f>
        <v>0.71940000000000004</v>
      </c>
      <c r="AJ72" s="208">
        <f>_xlfn.XLOOKUP(Implements[[#This Row],[Defaulty ASABE Category]],ASABECoefficients[ASABE Category],ASABECoefficients[RV2])</f>
        <v>0.11020000000000001</v>
      </c>
      <c r="AK72" s="208">
        <f>_xlfn.XLOOKUP(Implements[[#This Row],[Defaulty ASABE Category]],ASABECoefficients[ASABE Category],ASABECoefficients[RV3])</f>
        <v>0</v>
      </c>
      <c r="AL72" s="208">
        <f>_xlfn.XLOOKUP(Implements[[#This Row],[Defaulty ASABE Category]],ASABECoefficients[ASABE Category],ASABECoefficients[RV4])</f>
        <v>3.0000000000000001E-3</v>
      </c>
      <c r="AM72" s="208">
        <f>_xlfn.XLOOKUP(Implements[[#This Row],[Defaulty ASABE Category]],ASABECoefficients[ASABE Category],ASABECoefficients[RV5])</f>
        <v>0.12130000000000001</v>
      </c>
      <c r="AN72" s="208">
        <f>(Implements[[#This Row],[RV1]]-Implements[[#This Row],[RV2]]*Implements[[#This Row],[Expected Life (years)]]^0.5-Implements[[#This Row],[RV3]]*Implements[[#This Row],[Expected Use (hr/yr)]]^0.5+Implements[[#This Row],[RV4]]*'Data tables'!$AD$67)^2+0.25*Implements[[#This Row],[RV5]]</f>
        <v>0.34612896594255843</v>
      </c>
      <c r="AO72" s="208">
        <f>Implements[[#This Row],[Trade-in (%)]]*Implements[[#This Row],[List Price]]</f>
        <v>10576.162848244841</v>
      </c>
      <c r="AP72" s="208">
        <f>(Implements[[#This Row],[Purchase Price (2020)]]-Implements[[#This Row],[Trade-in ($)]])/Implements[[#This Row],[Expected Life (years)]]</f>
        <v>1410.3197626462631</v>
      </c>
      <c r="AQ72" s="208">
        <f>Implements[[#This Row],[List Price]]*(Implements[[#This Row],[RF1]]*(Implements[[#This Row],[Expected Life (years)]]*Implements[[#This Row],[Expected Use (hr/yr)]]/1000)^Implements[[#This Row],[RF2]])</f>
        <v>7498.4380495126634</v>
      </c>
      <c r="AR72" s="208">
        <f>Implements[[#This Row],[Accumulated Repairs ($)]]/Implements[[#This Row],[Expected Life (years)]]</f>
        <v>624.86983745938858</v>
      </c>
      <c r="AS72" s="212">
        <f>Implements[[#This Row],[Size1]]*Implements[[#This Row],[Field Speed (m/h)]]*Implements[[#This Row],[Field Efficiency]]/'Data tables'!$AD$68</f>
        <v>5.5636363636363635</v>
      </c>
      <c r="AT72" s="212">
        <f>Implements[[#This Row],[Acres/hour]]*Implements[[#This Row],[Expected Use (hr/yr)]]</f>
        <v>556.36363636363637</v>
      </c>
      <c r="AU72" s="212">
        <f>Implements[[#This Row],[Annual Depreciation]]/Implements[[#This Row],[Acres/year]]</f>
        <v>2.5348884622726953</v>
      </c>
      <c r="AV72" s="212">
        <f>(Implements[[#This Row],[Purchase Price (2020)]]+Implements[[#This Row],[Trade-in ($)]]+Implements[[#This Row],[Annual Depreciation]])/2*'Data tables'!$AD$58/Implements[[#This Row],[Acres/year]]</f>
        <v>1.419448721306543</v>
      </c>
      <c r="AW72" s="212">
        <f>Implements[[#This Row],[Annual Repairs ($)]]/Implements[[#This Row],[Acres/year]]</f>
        <v>1.1231320607930186</v>
      </c>
      <c r="AX72" s="212">
        <f>(Implements[[#This Row],[Purchase Price (2020)]]+Implements[[#This Row],[Trade-in ($)]]+Implements[[#This Row],[Annual Depreciation]])/2*'Data tables'!$AD$70/Implements[[#This Row],[Acres/year]]</f>
        <v>0.17743109016331787</v>
      </c>
      <c r="AY72" s="201">
        <f>(Implements[[#This Row],[Purchase Price (2020)]]+Implements[[#This Row],[Trade-in ($)]]+Implements[[#This Row],[Annual Depreciation]])/2*'Data tables'!$AD$59/Implements[[#This Row],[Acres/year]]</f>
        <v>0.30163285327764044</v>
      </c>
      <c r="AZ72" s="201">
        <f>(Implements[[#This Row],[Tractor (hr/impl)]]*Implements[[#This Row],[Labor (hr/trac)]])/Implements[[#This Row],[Acres/hour]]</f>
        <v>0.18333333333333335</v>
      </c>
      <c r="BA72" s="201">
        <f>'Data tables'!$AD$62*Implements[[#This Row],[Shed (ft^2)]]/Implements[[#This Row],[Acres/year]]</f>
        <v>0.2613090341866624</v>
      </c>
      <c r="BP72" s="19"/>
      <c r="BW72"/>
    </row>
    <row r="73" spans="13:75" x14ac:dyDescent="0.25">
      <c r="M73" s="201" t="s">
        <v>5425</v>
      </c>
      <c r="N73" s="202" t="s">
        <v>5364</v>
      </c>
      <c r="O73" s="203">
        <v>10</v>
      </c>
      <c r="P73" s="204" t="s">
        <v>5355</v>
      </c>
      <c r="Q73" s="205">
        <v>25</v>
      </c>
      <c r="R73" s="205" t="s">
        <v>5365</v>
      </c>
      <c r="S73" s="205" t="str">
        <f>CONCATENATE(N73&amp;"; "&amp;IF(Implements[[#This Row],[Size2]]&lt;&gt;"",Implements[[#This Row],[Size2]]&amp;" "&amp;Implements[[#This Row],[Unit2]]&amp;"; ","")&amp;IF(Implements[[#This Row],[Size1]]&gt;0,ROUND(Implements[[#This Row],[Size1]],1)&amp;" "&amp;Implements[[#This Row],[Unit1]]," "))</f>
        <v>V-Ripper; 25 " O.C.; 10 Ft</v>
      </c>
      <c r="T73" s="206" t="s">
        <v>5476</v>
      </c>
      <c r="U73" s="207">
        <v>16500</v>
      </c>
      <c r="V73" s="208">
        <v>0.1</v>
      </c>
      <c r="W73" s="208">
        <f>Implements[[#This Row],[Purchase Price (2020)]]/(1-Implements[[#This Row],[List Discount]])</f>
        <v>18333.333333333332</v>
      </c>
      <c r="X73" s="203">
        <v>12</v>
      </c>
      <c r="Y73" s="209">
        <v>100</v>
      </c>
      <c r="Z73" s="210" t="s">
        <v>5360</v>
      </c>
      <c r="AA73" s="203">
        <v>6</v>
      </c>
      <c r="AB73" s="208">
        <v>0.85</v>
      </c>
      <c r="AC73" s="208">
        <v>1</v>
      </c>
      <c r="AD73" s="208">
        <v>1.02</v>
      </c>
      <c r="AE73" s="203" t="s">
        <v>5495</v>
      </c>
      <c r="AF73" s="203">
        <v>150</v>
      </c>
      <c r="AG73" s="208">
        <f>_xlfn.XLOOKUP(Implements[[#This Row],[Defaulty ASABE Category]],ASABECoefficients[ASABE Category],ASABECoefficients[RF1])</f>
        <v>0.27</v>
      </c>
      <c r="AH73" s="208">
        <f>_xlfn.XLOOKUP(Implements[[#This Row],[Defaulty ASABE Category]],ASABECoefficients[ASABE Category],ASABECoefficients[RF2])</f>
        <v>1.4</v>
      </c>
      <c r="AI73" s="208">
        <f>_xlfn.XLOOKUP(Implements[[#This Row],[Defaulty ASABE Category]],ASABECoefficients[ASABE Category],ASABECoefficients[RV1])</f>
        <v>0.69269999999999998</v>
      </c>
      <c r="AJ73" s="208">
        <f>_xlfn.XLOOKUP(Implements[[#This Row],[Defaulty ASABE Category]],ASABECoefficients[ASABE Category],ASABECoefficients[RV2])</f>
        <v>7.0300000000000001E-2</v>
      </c>
      <c r="AK73" s="208">
        <f>_xlfn.XLOOKUP(Implements[[#This Row],[Defaulty ASABE Category]],ASABECoefficients[ASABE Category],ASABECoefficients[RV3])</f>
        <v>0</v>
      </c>
      <c r="AL73" s="208">
        <f>_xlfn.XLOOKUP(Implements[[#This Row],[Defaulty ASABE Category]],ASABECoefficients[ASABE Category],ASABECoefficients[RV4])</f>
        <v>1.1999999999999999E-3</v>
      </c>
      <c r="AM73" s="208">
        <f>_xlfn.XLOOKUP(Implements[[#This Row],[Defaulty ASABE Category]],ASABECoefficients[ASABE Category],ASABECoefficients[RV5])</f>
        <v>0.12230000000000001</v>
      </c>
      <c r="AN73" s="208">
        <f>(Implements[[#This Row],[RV1]]-Implements[[#This Row],[RV2]]*Implements[[#This Row],[Expected Life (years)]]^0.5-Implements[[#This Row],[RV3]]*Implements[[#This Row],[Expected Use (hr/yr)]]^0.5+Implements[[#This Row],[RV4]]*'Data tables'!$AD$67)^2+0.25*Implements[[#This Row],[RV5]]</f>
        <v>0.32098498545129495</v>
      </c>
      <c r="AO73" s="208">
        <f>Implements[[#This Row],[Trade-in (%)]]*Implements[[#This Row],[List Price]]</f>
        <v>5884.7247332737406</v>
      </c>
      <c r="AP73" s="208">
        <f>(Implements[[#This Row],[Purchase Price (2020)]]-Implements[[#This Row],[Trade-in ($)]])/Implements[[#This Row],[Expected Life (years)]]</f>
        <v>884.60627222718824</v>
      </c>
      <c r="AQ73" s="208">
        <f>Implements[[#This Row],[List Price]]*(Implements[[#This Row],[RF1]]*(Implements[[#This Row],[Expected Life (years)]]*Implements[[#This Row],[Expected Use (hr/yr)]]/1000)^Implements[[#This Row],[RF2]])</f>
        <v>6389.3833161794655</v>
      </c>
      <c r="AR73" s="208">
        <f>Implements[[#This Row],[Accumulated Repairs ($)]]/Implements[[#This Row],[Expected Life (years)]]</f>
        <v>532.44860968162209</v>
      </c>
      <c r="AS73" s="212">
        <f>Implements[[#This Row],[Size1]]*Implements[[#This Row],[Field Speed (m/h)]]*Implements[[#This Row],[Field Efficiency]]/'Data tables'!$AD$68</f>
        <v>6.1818181818181817</v>
      </c>
      <c r="AT73" s="212">
        <f>Implements[[#This Row],[Acres/hour]]*Implements[[#This Row],[Expected Use (hr/yr)]]</f>
        <v>618.18181818181813</v>
      </c>
      <c r="AU73" s="212">
        <f>Implements[[#This Row],[Annual Depreciation]]/Implements[[#This Row],[Acres/year]]</f>
        <v>1.4309807344851575</v>
      </c>
      <c r="AV73" s="212">
        <f>(Implements[[#This Row],[Purchase Price (2020)]]+Implements[[#This Row],[Trade-in ($)]]+Implements[[#This Row],[Annual Depreciation]])/2*'Data tables'!$AD$58/Implements[[#This Row],[Acres/year]]</f>
        <v>0.75283129723679476</v>
      </c>
      <c r="AW73" s="212">
        <f>Implements[[#This Row],[Annual Repairs ($)]]/Implements[[#This Row],[Acres/year]]</f>
        <v>0.86131392742615343</v>
      </c>
      <c r="AX73" s="212">
        <f>(Implements[[#This Row],[Purchase Price (2020)]]+Implements[[#This Row],[Trade-in ($)]]+Implements[[#This Row],[Annual Depreciation]])/2*'Data tables'!$AD$70/Implements[[#This Row],[Acres/year]]</f>
        <v>9.4103912154599345E-2</v>
      </c>
      <c r="AY73" s="201">
        <f>(Implements[[#This Row],[Purchase Price (2020)]]+Implements[[#This Row],[Trade-in ($)]]+Implements[[#This Row],[Annual Depreciation]])/2*'Data tables'!$AD$59/Implements[[#This Row],[Acres/year]]</f>
        <v>0.15997665066281891</v>
      </c>
      <c r="AZ73" s="201">
        <f>(Implements[[#This Row],[Tractor (hr/impl)]]*Implements[[#This Row],[Labor (hr/trac)]])/Implements[[#This Row],[Acres/hour]]</f>
        <v>0.16500000000000001</v>
      </c>
      <c r="BA73" s="201">
        <f>'Data tables'!$AD$62*Implements[[#This Row],[Shed (ft^2)]]/Implements[[#This Row],[Acres/year]]</f>
        <v>0.23517813076799618</v>
      </c>
      <c r="BP73" s="19"/>
      <c r="BW73"/>
    </row>
    <row r="74" spans="13:75" x14ac:dyDescent="0.25">
      <c r="M74" s="201" t="s">
        <v>5425</v>
      </c>
      <c r="N74" s="202" t="s">
        <v>5364</v>
      </c>
      <c r="O74" s="203">
        <v>18</v>
      </c>
      <c r="P74" s="204" t="s">
        <v>5355</v>
      </c>
      <c r="Q74" s="205">
        <v>25</v>
      </c>
      <c r="R74" s="205" t="s">
        <v>5365</v>
      </c>
      <c r="S74" s="205" t="str">
        <f>CONCATENATE(N74&amp;"; "&amp;IF(Implements[[#This Row],[Size2]]&lt;&gt;"",Implements[[#This Row],[Size2]]&amp;" "&amp;Implements[[#This Row],[Unit2]]&amp;"; ","")&amp;IF(Implements[[#This Row],[Size1]]&gt;0,ROUND(Implements[[#This Row],[Size1]],1)&amp;" "&amp;Implements[[#This Row],[Unit1]]," "))</f>
        <v>V-Ripper; 25 " O.C.; 18 Ft</v>
      </c>
      <c r="T74" s="206" t="s">
        <v>5478</v>
      </c>
      <c r="U74" s="207">
        <v>27000</v>
      </c>
      <c r="V74" s="208">
        <v>0.1</v>
      </c>
      <c r="W74" s="208">
        <f>Implements[[#This Row],[Purchase Price (2020)]]/(1-Implements[[#This Row],[List Discount]])</f>
        <v>30000</v>
      </c>
      <c r="X74" s="203">
        <v>12</v>
      </c>
      <c r="Y74" s="209">
        <v>100</v>
      </c>
      <c r="Z74" s="210" t="s">
        <v>5360</v>
      </c>
      <c r="AA74" s="203">
        <v>6</v>
      </c>
      <c r="AB74" s="208">
        <v>0.85</v>
      </c>
      <c r="AC74" s="208">
        <v>1</v>
      </c>
      <c r="AD74" s="208">
        <v>1.02</v>
      </c>
      <c r="AE74" s="203" t="s">
        <v>5495</v>
      </c>
      <c r="AF74" s="203">
        <v>250</v>
      </c>
      <c r="AG74" s="208">
        <f>_xlfn.XLOOKUP(Implements[[#This Row],[Defaulty ASABE Category]],ASABECoefficients[ASABE Category],ASABECoefficients[RF1])</f>
        <v>0.27</v>
      </c>
      <c r="AH74" s="208">
        <f>_xlfn.XLOOKUP(Implements[[#This Row],[Defaulty ASABE Category]],ASABECoefficients[ASABE Category],ASABECoefficients[RF2])</f>
        <v>1.4</v>
      </c>
      <c r="AI74" s="208">
        <f>_xlfn.XLOOKUP(Implements[[#This Row],[Defaulty ASABE Category]],ASABECoefficients[ASABE Category],ASABECoefficients[RV1])</f>
        <v>0.69269999999999998</v>
      </c>
      <c r="AJ74" s="208">
        <f>_xlfn.XLOOKUP(Implements[[#This Row],[Defaulty ASABE Category]],ASABECoefficients[ASABE Category],ASABECoefficients[RV2])</f>
        <v>7.0300000000000001E-2</v>
      </c>
      <c r="AK74" s="208">
        <f>_xlfn.XLOOKUP(Implements[[#This Row],[Defaulty ASABE Category]],ASABECoefficients[ASABE Category],ASABECoefficients[RV3])</f>
        <v>0</v>
      </c>
      <c r="AL74" s="208">
        <f>_xlfn.XLOOKUP(Implements[[#This Row],[Defaulty ASABE Category]],ASABECoefficients[ASABE Category],ASABECoefficients[RV4])</f>
        <v>1.1999999999999999E-3</v>
      </c>
      <c r="AM74" s="208">
        <f>_xlfn.XLOOKUP(Implements[[#This Row],[Defaulty ASABE Category]],ASABECoefficients[ASABE Category],ASABECoefficients[RV5])</f>
        <v>0.12230000000000001</v>
      </c>
      <c r="AN74" s="208">
        <f>(Implements[[#This Row],[RV1]]-Implements[[#This Row],[RV2]]*Implements[[#This Row],[Expected Life (years)]]^0.5-Implements[[#This Row],[RV3]]*Implements[[#This Row],[Expected Use (hr/yr)]]^0.5+Implements[[#This Row],[RV4]]*'Data tables'!$AD$67)^2+0.25*Implements[[#This Row],[RV5]]</f>
        <v>0.32098498545129495</v>
      </c>
      <c r="AO74" s="208">
        <f>Implements[[#This Row],[Trade-in (%)]]*Implements[[#This Row],[List Price]]</f>
        <v>9629.5495635388488</v>
      </c>
      <c r="AP74" s="208">
        <f>(Implements[[#This Row],[Purchase Price (2020)]]-Implements[[#This Row],[Trade-in ($)]])/Implements[[#This Row],[Expected Life (years)]]</f>
        <v>1447.5375363717624</v>
      </c>
      <c r="AQ74" s="208">
        <f>Implements[[#This Row],[List Price]]*(Implements[[#This Row],[RF1]]*(Implements[[#This Row],[Expected Life (years)]]*Implements[[#This Row],[Expected Use (hr/yr)]]/1000)^Implements[[#This Row],[RF2]])</f>
        <v>10455.354517384581</v>
      </c>
      <c r="AR74" s="208">
        <f>Implements[[#This Row],[Accumulated Repairs ($)]]/Implements[[#This Row],[Expected Life (years)]]</f>
        <v>871.27954311538178</v>
      </c>
      <c r="AS74" s="212">
        <f>Implements[[#This Row],[Size1]]*Implements[[#This Row],[Field Speed (m/h)]]*Implements[[#This Row],[Field Efficiency]]/'Data tables'!$AD$68</f>
        <v>11.127272727272727</v>
      </c>
      <c r="AT74" s="212">
        <f>Implements[[#This Row],[Acres/hour]]*Implements[[#This Row],[Expected Use (hr/yr)]]</f>
        <v>1112.7272727272727</v>
      </c>
      <c r="AU74" s="212">
        <f>Implements[[#This Row],[Annual Depreciation]]/Implements[[#This Row],[Acres/year]]</f>
        <v>1.3008915768046885</v>
      </c>
      <c r="AV74" s="212">
        <f>(Implements[[#This Row],[Purchase Price (2020)]]+Implements[[#This Row],[Trade-in ($)]]+Implements[[#This Row],[Annual Depreciation]])/2*'Data tables'!$AD$58/Implements[[#This Row],[Acres/year]]</f>
        <v>0.68439208839708621</v>
      </c>
      <c r="AW74" s="212">
        <f>Implements[[#This Row],[Annual Repairs ($)]]/Implements[[#This Row],[Acres/year]]</f>
        <v>0.78301266129650327</v>
      </c>
      <c r="AX74" s="212">
        <f>(Implements[[#This Row],[Purchase Price (2020)]]+Implements[[#This Row],[Trade-in ($)]]+Implements[[#This Row],[Annual Depreciation]])/2*'Data tables'!$AD$70/Implements[[#This Row],[Acres/year]]</f>
        <v>8.5549011049635776E-2</v>
      </c>
      <c r="AY74" s="201">
        <f>(Implements[[#This Row],[Purchase Price (2020)]]+Implements[[#This Row],[Trade-in ($)]]+Implements[[#This Row],[Annual Depreciation]])/2*'Data tables'!$AD$59/Implements[[#This Row],[Acres/year]]</f>
        <v>0.14543331878438082</v>
      </c>
      <c r="AZ74" s="201">
        <f>(Implements[[#This Row],[Tractor (hr/impl)]]*Implements[[#This Row],[Labor (hr/trac)]])/Implements[[#This Row],[Acres/hour]]</f>
        <v>9.1666666666666674E-2</v>
      </c>
      <c r="BA74" s="201">
        <f>'Data tables'!$AD$62*Implements[[#This Row],[Shed (ft^2)]]/Implements[[#This Row],[Acres/year]]</f>
        <v>0.21775752848888535</v>
      </c>
      <c r="BP74" s="19"/>
      <c r="BW74"/>
    </row>
    <row r="75" spans="13:75" x14ac:dyDescent="0.25">
      <c r="M75" s="201" t="s">
        <v>5425</v>
      </c>
      <c r="N75" s="202" t="s">
        <v>5364</v>
      </c>
      <c r="O75" s="203">
        <v>17</v>
      </c>
      <c r="P75" s="204" t="s">
        <v>5355</v>
      </c>
      <c r="Q75" s="205">
        <v>30</v>
      </c>
      <c r="R75" s="205" t="s">
        <v>5365</v>
      </c>
      <c r="S75" s="205" t="str">
        <f>CONCATENATE(N75&amp;"; "&amp;IF(Implements[[#This Row],[Size2]]&lt;&gt;"",Implements[[#This Row],[Size2]]&amp;" "&amp;Implements[[#This Row],[Unit2]]&amp;"; ","")&amp;IF(Implements[[#This Row],[Size1]]&gt;0,ROUND(Implements[[#This Row],[Size1]],1)&amp;" "&amp;Implements[[#This Row],[Unit1]]," "))</f>
        <v>V-Ripper; 30 " O.C.; 17 Ft</v>
      </c>
      <c r="T75" s="206" t="s">
        <v>5478</v>
      </c>
      <c r="U75" s="207">
        <v>22000</v>
      </c>
      <c r="V75" s="208">
        <v>0.1</v>
      </c>
      <c r="W75" s="208">
        <f>Implements[[#This Row],[Purchase Price (2020)]]/(1-Implements[[#This Row],[List Discount]])</f>
        <v>24444.444444444445</v>
      </c>
      <c r="X75" s="203">
        <v>12</v>
      </c>
      <c r="Y75" s="209">
        <v>100</v>
      </c>
      <c r="Z75" s="210" t="s">
        <v>5360</v>
      </c>
      <c r="AA75" s="203">
        <v>6</v>
      </c>
      <c r="AB75" s="208">
        <v>0.85</v>
      </c>
      <c r="AC75" s="208">
        <v>1</v>
      </c>
      <c r="AD75" s="208">
        <v>1.02</v>
      </c>
      <c r="AE75" s="203" t="s">
        <v>5495</v>
      </c>
      <c r="AF75" s="203">
        <v>240</v>
      </c>
      <c r="AG75" s="208">
        <f>_xlfn.XLOOKUP(Implements[[#This Row],[Defaulty ASABE Category]],ASABECoefficients[ASABE Category],ASABECoefficients[RF1])</f>
        <v>0.27</v>
      </c>
      <c r="AH75" s="208">
        <f>_xlfn.XLOOKUP(Implements[[#This Row],[Defaulty ASABE Category]],ASABECoefficients[ASABE Category],ASABECoefficients[RF2])</f>
        <v>1.4</v>
      </c>
      <c r="AI75" s="208">
        <f>_xlfn.XLOOKUP(Implements[[#This Row],[Defaulty ASABE Category]],ASABECoefficients[ASABE Category],ASABECoefficients[RV1])</f>
        <v>0.69269999999999998</v>
      </c>
      <c r="AJ75" s="208">
        <f>_xlfn.XLOOKUP(Implements[[#This Row],[Defaulty ASABE Category]],ASABECoefficients[ASABE Category],ASABECoefficients[RV2])</f>
        <v>7.0300000000000001E-2</v>
      </c>
      <c r="AK75" s="208">
        <f>_xlfn.XLOOKUP(Implements[[#This Row],[Defaulty ASABE Category]],ASABECoefficients[ASABE Category],ASABECoefficients[RV3])</f>
        <v>0</v>
      </c>
      <c r="AL75" s="208">
        <f>_xlfn.XLOOKUP(Implements[[#This Row],[Defaulty ASABE Category]],ASABECoefficients[ASABE Category],ASABECoefficients[RV4])</f>
        <v>1.1999999999999999E-3</v>
      </c>
      <c r="AM75" s="208">
        <f>_xlfn.XLOOKUP(Implements[[#This Row],[Defaulty ASABE Category]],ASABECoefficients[ASABE Category],ASABECoefficients[RV5])</f>
        <v>0.12230000000000001</v>
      </c>
      <c r="AN75" s="208">
        <f>(Implements[[#This Row],[RV1]]-Implements[[#This Row],[RV2]]*Implements[[#This Row],[Expected Life (years)]]^0.5-Implements[[#This Row],[RV3]]*Implements[[#This Row],[Expected Use (hr/yr)]]^0.5+Implements[[#This Row],[RV4]]*'Data tables'!$AD$67)^2+0.25*Implements[[#This Row],[RV5]]</f>
        <v>0.32098498545129495</v>
      </c>
      <c r="AO75" s="208">
        <f>Implements[[#This Row],[Trade-in (%)]]*Implements[[#This Row],[List Price]]</f>
        <v>7846.2996443649881</v>
      </c>
      <c r="AP75" s="208">
        <f>(Implements[[#This Row],[Purchase Price (2020)]]-Implements[[#This Row],[Trade-in ($)]])/Implements[[#This Row],[Expected Life (years)]]</f>
        <v>1179.4750296362511</v>
      </c>
      <c r="AQ75" s="208">
        <f>Implements[[#This Row],[List Price]]*(Implements[[#This Row],[RF1]]*(Implements[[#This Row],[Expected Life (years)]]*Implements[[#This Row],[Expected Use (hr/yr)]]/1000)^Implements[[#This Row],[RF2]])</f>
        <v>8519.1777549059552</v>
      </c>
      <c r="AR75" s="208">
        <f>Implements[[#This Row],[Accumulated Repairs ($)]]/Implements[[#This Row],[Expected Life (years)]]</f>
        <v>709.93147957549627</v>
      </c>
      <c r="AS75" s="212">
        <f>Implements[[#This Row],[Size1]]*Implements[[#This Row],[Field Speed (m/h)]]*Implements[[#This Row],[Field Efficiency]]/'Data tables'!$AD$68</f>
        <v>10.50909090909091</v>
      </c>
      <c r="AT75" s="212">
        <f>Implements[[#This Row],[Acres/hour]]*Implements[[#This Row],[Expected Use (hr/yr)]]</f>
        <v>1050.909090909091</v>
      </c>
      <c r="AU75" s="212">
        <f>Implements[[#This Row],[Annual Depreciation]]/Implements[[#This Row],[Acres/year]]</f>
        <v>1.1223378309687508</v>
      </c>
      <c r="AV75" s="212">
        <f>(Implements[[#This Row],[Purchase Price (2020)]]+Implements[[#This Row],[Trade-in ($)]]+Implements[[#This Row],[Annual Depreciation]])/2*'Data tables'!$AD$58/Implements[[#This Row],[Acres/year]]</f>
        <v>0.59045591940140763</v>
      </c>
      <c r="AW75" s="212">
        <f>Implements[[#This Row],[Annual Repairs ($)]]/Implements[[#This Row],[Acres/year]]</f>
        <v>0.67554033523619883</v>
      </c>
      <c r="AX75" s="212">
        <f>(Implements[[#This Row],[Purchase Price (2020)]]+Implements[[#This Row],[Trade-in ($)]]+Implements[[#This Row],[Annual Depreciation]])/2*'Data tables'!$AD$70/Implements[[#This Row],[Acres/year]]</f>
        <v>7.3806989925175953E-2</v>
      </c>
      <c r="AY75" s="201">
        <f>(Implements[[#This Row],[Purchase Price (2020)]]+Implements[[#This Row],[Trade-in ($)]]+Implements[[#This Row],[Annual Depreciation]])/2*'Data tables'!$AD$59/Implements[[#This Row],[Acres/year]]</f>
        <v>0.12547188287279912</v>
      </c>
      <c r="AZ75" s="201">
        <f>(Implements[[#This Row],[Tractor (hr/impl)]]*Implements[[#This Row],[Labor (hr/trac)]])/Implements[[#This Row],[Acres/hour]]</f>
        <v>9.7058823529411767E-2</v>
      </c>
      <c r="BA75" s="201">
        <f>'Data tables'!$AD$62*Implements[[#This Row],[Shed (ft^2)]]/Implements[[#This Row],[Acres/year]]</f>
        <v>0.2213441230757611</v>
      </c>
      <c r="BP75" s="19"/>
      <c r="BW75"/>
    </row>
    <row r="76" spans="13:75" x14ac:dyDescent="0.25">
      <c r="M76" s="201" t="s">
        <v>5425</v>
      </c>
      <c r="N76" s="202" t="s">
        <v>5364</v>
      </c>
      <c r="O76" s="203">
        <v>22.5</v>
      </c>
      <c r="P76" s="204" t="s">
        <v>5355</v>
      </c>
      <c r="Q76" s="205">
        <v>30</v>
      </c>
      <c r="R76" s="205" t="s">
        <v>5365</v>
      </c>
      <c r="S76" s="205" t="str">
        <f>CONCATENATE(N76&amp;"; "&amp;IF(Implements[[#This Row],[Size2]]&lt;&gt;"",Implements[[#This Row],[Size2]]&amp;" "&amp;Implements[[#This Row],[Unit2]]&amp;"; ","")&amp;IF(Implements[[#This Row],[Size1]]&gt;0,ROUND(Implements[[#This Row],[Size1]],1)&amp;" "&amp;Implements[[#This Row],[Unit1]]," "))</f>
        <v>V-Ripper; 30 " O.C.; 22.5 Ft</v>
      </c>
      <c r="T76" s="206" t="s">
        <v>5479</v>
      </c>
      <c r="U76" s="207">
        <v>28000</v>
      </c>
      <c r="V76" s="208">
        <v>0.1</v>
      </c>
      <c r="W76" s="208">
        <f>Implements[[#This Row],[Purchase Price (2020)]]/(1-Implements[[#This Row],[List Discount]])</f>
        <v>31111.111111111109</v>
      </c>
      <c r="X76" s="203">
        <v>12</v>
      </c>
      <c r="Y76" s="209">
        <v>100</v>
      </c>
      <c r="Z76" s="210" t="s">
        <v>5360</v>
      </c>
      <c r="AA76" s="203">
        <v>6</v>
      </c>
      <c r="AB76" s="208">
        <v>0.85</v>
      </c>
      <c r="AC76" s="208">
        <v>1</v>
      </c>
      <c r="AD76" s="208">
        <v>1.02</v>
      </c>
      <c r="AE76" s="203" t="s">
        <v>5495</v>
      </c>
      <c r="AF76" s="203">
        <v>240</v>
      </c>
      <c r="AG76" s="208">
        <f>_xlfn.XLOOKUP(Implements[[#This Row],[Defaulty ASABE Category]],ASABECoefficients[ASABE Category],ASABECoefficients[RF1])</f>
        <v>0.27</v>
      </c>
      <c r="AH76" s="208">
        <f>_xlfn.XLOOKUP(Implements[[#This Row],[Defaulty ASABE Category]],ASABECoefficients[ASABE Category],ASABECoefficients[RF2])</f>
        <v>1.4</v>
      </c>
      <c r="AI76" s="208">
        <f>_xlfn.XLOOKUP(Implements[[#This Row],[Defaulty ASABE Category]],ASABECoefficients[ASABE Category],ASABECoefficients[RV1])</f>
        <v>0.69269999999999998</v>
      </c>
      <c r="AJ76" s="208">
        <f>_xlfn.XLOOKUP(Implements[[#This Row],[Defaulty ASABE Category]],ASABECoefficients[ASABE Category],ASABECoefficients[RV2])</f>
        <v>7.0300000000000001E-2</v>
      </c>
      <c r="AK76" s="208">
        <f>_xlfn.XLOOKUP(Implements[[#This Row],[Defaulty ASABE Category]],ASABECoefficients[ASABE Category],ASABECoefficients[RV3])</f>
        <v>0</v>
      </c>
      <c r="AL76" s="208">
        <f>_xlfn.XLOOKUP(Implements[[#This Row],[Defaulty ASABE Category]],ASABECoefficients[ASABE Category],ASABECoefficients[RV4])</f>
        <v>1.1999999999999999E-3</v>
      </c>
      <c r="AM76" s="208">
        <f>_xlfn.XLOOKUP(Implements[[#This Row],[Defaulty ASABE Category]],ASABECoefficients[ASABE Category],ASABECoefficients[RV5])</f>
        <v>0.12230000000000001</v>
      </c>
      <c r="AN76" s="208">
        <f>(Implements[[#This Row],[RV1]]-Implements[[#This Row],[RV2]]*Implements[[#This Row],[Expected Life (years)]]^0.5-Implements[[#This Row],[RV3]]*Implements[[#This Row],[Expected Use (hr/yr)]]^0.5+Implements[[#This Row],[RV4]]*'Data tables'!$AD$67)^2+0.25*Implements[[#This Row],[RV5]]</f>
        <v>0.32098498545129495</v>
      </c>
      <c r="AO76" s="208">
        <f>Implements[[#This Row],[Trade-in (%)]]*Implements[[#This Row],[List Price]]</f>
        <v>9986.1995473736206</v>
      </c>
      <c r="AP76" s="208">
        <f>(Implements[[#This Row],[Purchase Price (2020)]]-Implements[[#This Row],[Trade-in ($)]])/Implements[[#This Row],[Expected Life (years)]]</f>
        <v>1501.150037718865</v>
      </c>
      <c r="AQ76" s="208">
        <f>Implements[[#This Row],[List Price]]*(Implements[[#This Row],[RF1]]*(Implements[[#This Row],[Expected Life (years)]]*Implements[[#This Row],[Expected Use (hr/yr)]]/1000)^Implements[[#This Row],[RF2]])</f>
        <v>10842.589869880307</v>
      </c>
      <c r="AR76" s="208">
        <f>Implements[[#This Row],[Accumulated Repairs ($)]]/Implements[[#This Row],[Expected Life (years)]]</f>
        <v>903.54915582335889</v>
      </c>
      <c r="AS76" s="212">
        <f>Implements[[#This Row],[Size1]]*Implements[[#This Row],[Field Speed (m/h)]]*Implements[[#This Row],[Field Efficiency]]/'Data tables'!$AD$68</f>
        <v>13.909090909090908</v>
      </c>
      <c r="AT76" s="212">
        <f>Implements[[#This Row],[Acres/hour]]*Implements[[#This Row],[Expected Use (hr/yr)]]</f>
        <v>1390.9090909090908</v>
      </c>
      <c r="AU76" s="212">
        <f>Implements[[#This Row],[Annual Depreciation]]/Implements[[#This Row],[Acres/year]]</f>
        <v>1.0792581970527788</v>
      </c>
      <c r="AV76" s="212">
        <f>(Implements[[#This Row],[Purchase Price (2020)]]+Implements[[#This Row],[Trade-in ($)]]+Implements[[#This Row],[Annual Depreciation]])/2*'Data tables'!$AD$58/Implements[[#This Row],[Acres/year]]</f>
        <v>0.56779195481832334</v>
      </c>
      <c r="AW76" s="212">
        <f>Implements[[#This Row],[Annual Repairs ($)]]/Implements[[#This Row],[Acres/year]]</f>
        <v>0.64961050418672872</v>
      </c>
      <c r="AX76" s="212">
        <f>(Implements[[#This Row],[Purchase Price (2020)]]+Implements[[#This Row],[Trade-in ($)]]+Implements[[#This Row],[Annual Depreciation]])/2*'Data tables'!$AD$70/Implements[[#This Row],[Acres/year]]</f>
        <v>7.0973994352290418E-2</v>
      </c>
      <c r="AY76" s="201">
        <f>(Implements[[#This Row],[Purchase Price (2020)]]+Implements[[#This Row],[Trade-in ($)]]+Implements[[#This Row],[Annual Depreciation]])/2*'Data tables'!$AD$59/Implements[[#This Row],[Acres/year]]</f>
        <v>0.12065579039889371</v>
      </c>
      <c r="AZ76" s="201">
        <f>(Implements[[#This Row],[Tractor (hr/impl)]]*Implements[[#This Row],[Labor (hr/trac)]])/Implements[[#This Row],[Acres/hour]]</f>
        <v>7.3333333333333334E-2</v>
      </c>
      <c r="BA76" s="201">
        <f>'Data tables'!$AD$62*Implements[[#This Row],[Shed (ft^2)]]/Implements[[#This Row],[Acres/year]]</f>
        <v>0.16723778187946398</v>
      </c>
      <c r="BP76" s="19"/>
      <c r="BW76"/>
    </row>
    <row r="77" spans="13:75" x14ac:dyDescent="0.25">
      <c r="M77" s="201" t="s">
        <v>5255</v>
      </c>
      <c r="N77" s="202" t="s">
        <v>5366</v>
      </c>
      <c r="O77" s="203">
        <v>15</v>
      </c>
      <c r="P77" s="204" t="s">
        <v>5355</v>
      </c>
      <c r="Q77" s="205">
        <v>6</v>
      </c>
      <c r="R77" s="205" t="s">
        <v>5367</v>
      </c>
      <c r="S77" s="205" t="str">
        <f>CONCATENATE(N77&amp;"; "&amp;IF(Implements[[#This Row],[Size2]]&lt;&gt;"",Implements[[#This Row],[Size2]]&amp;" "&amp;Implements[[#This Row],[Unit2]]&amp;"; ","")&amp;IF(Implements[[#This Row],[Size1]]&gt;0,ROUND(Implements[[#This Row],[Size1]],1)&amp;" "&amp;Implements[[#This Row],[Unit1]]," "))</f>
        <v>Row Crop Planter; 6 Row; 15 Ft</v>
      </c>
      <c r="T77" s="206" t="s">
        <v>5480</v>
      </c>
      <c r="U77" s="207">
        <v>37000</v>
      </c>
      <c r="V77" s="208">
        <v>0.1</v>
      </c>
      <c r="W77" s="208">
        <f>Implements[[#This Row],[Purchase Price (2020)]]/(1-Implements[[#This Row],[List Discount]])</f>
        <v>41111.111111111109</v>
      </c>
      <c r="X77" s="203">
        <v>12</v>
      </c>
      <c r="Y77" s="209">
        <v>70</v>
      </c>
      <c r="Z77" s="210" t="s">
        <v>5368</v>
      </c>
      <c r="AA77" s="203">
        <v>5.5</v>
      </c>
      <c r="AB77" s="208">
        <v>0.7</v>
      </c>
      <c r="AC77" s="208">
        <v>1</v>
      </c>
      <c r="AD77" s="208">
        <v>1.1599999999999999</v>
      </c>
      <c r="AE77" s="203" t="s">
        <v>5494</v>
      </c>
      <c r="AF77" s="203">
        <v>200</v>
      </c>
      <c r="AG77" s="208">
        <f>_xlfn.XLOOKUP(Implements[[#This Row],[Defaulty ASABE Category]],ASABECoefficients[ASABE Category],ASABECoefficients[RF1])</f>
        <v>0.32</v>
      </c>
      <c r="AH77" s="208">
        <f>_xlfn.XLOOKUP(Implements[[#This Row],[Defaulty ASABE Category]],ASABECoefficients[ASABE Category],ASABECoefficients[RF2])</f>
        <v>2.1</v>
      </c>
      <c r="AI77" s="208">
        <f>_xlfn.XLOOKUP(Implements[[#This Row],[Defaulty ASABE Category]],ASABECoefficients[ASABE Category],ASABECoefficients[RV1])</f>
        <v>0.85540000000000005</v>
      </c>
      <c r="AJ77" s="208">
        <f>_xlfn.XLOOKUP(Implements[[#This Row],[Defaulty ASABE Category]],ASABECoefficients[ASABE Category],ASABECoefficients[RV2])</f>
        <v>0.1177</v>
      </c>
      <c r="AK77" s="208">
        <f>_xlfn.XLOOKUP(Implements[[#This Row],[Defaulty ASABE Category]],ASABECoefficients[ASABE Category],ASABECoefficients[RV3])</f>
        <v>0</v>
      </c>
      <c r="AL77" s="208">
        <f>_xlfn.XLOOKUP(Implements[[#This Row],[Defaulty ASABE Category]],ASABECoefficients[ASABE Category],ASABECoefficients[RV4])</f>
        <v>2.8999999999999998E-3</v>
      </c>
      <c r="AM77" s="208">
        <f>_xlfn.XLOOKUP(Implements[[#This Row],[Defaulty ASABE Category]],ASABECoefficients[ASABE Category],ASABECoefficients[RV5])</f>
        <v>0.12740000000000001</v>
      </c>
      <c r="AN77" s="208">
        <f>(Implements[[#This Row],[RV1]]-Implements[[#This Row],[RV2]]*Implements[[#This Row],[Expected Life (years)]]^0.5-Implements[[#This Row],[RV3]]*Implements[[#This Row],[Expected Use (hr/yr)]]^0.5+Implements[[#This Row],[RV4]]*'Data tables'!$AD$67)^2+0.25*Implements[[#This Row],[RV5]]</f>
        <v>0.47341911884680293</v>
      </c>
      <c r="AO77" s="208">
        <f>Implements[[#This Row],[Trade-in (%)]]*Implements[[#This Row],[List Price]]</f>
        <v>19462.785997035229</v>
      </c>
      <c r="AP77" s="208">
        <f>(Implements[[#This Row],[Purchase Price (2020)]]-Implements[[#This Row],[Trade-in ($)]])/Implements[[#This Row],[Expected Life (years)]]</f>
        <v>1461.4345002470643</v>
      </c>
      <c r="AQ77" s="208">
        <f>Implements[[#This Row],[List Price]]*(Implements[[#This Row],[RF1]]*(Implements[[#This Row],[Expected Life (years)]]*Implements[[#This Row],[Expected Use (hr/yr)]]/1000)^Implements[[#This Row],[RF2]])</f>
        <v>9122.1181655126984</v>
      </c>
      <c r="AR77" s="208">
        <f>Implements[[#This Row],[Accumulated Repairs ($)]]/Implements[[#This Row],[Expected Life (years)]]</f>
        <v>760.1765137927249</v>
      </c>
      <c r="AS77" s="212">
        <f>Implements[[#This Row],[Size1]]*Implements[[#This Row],[Field Speed (m/h)]]*Implements[[#This Row],[Field Efficiency]]/'Data tables'!$AD$68</f>
        <v>6.9999999999999991</v>
      </c>
      <c r="AT77" s="212">
        <f>Implements[[#This Row],[Acres/hour]]*Implements[[#This Row],[Expected Use (hr/yr)]]</f>
        <v>489.99999999999994</v>
      </c>
      <c r="AU77" s="212">
        <f>Implements[[#This Row],[Annual Depreciation]]/Implements[[#This Row],[Acres/year]]</f>
        <v>2.9825193882593153</v>
      </c>
      <c r="AV77" s="212">
        <f>(Implements[[#This Row],[Purchase Price (2020)]]+Implements[[#This Row],[Trade-in ($)]]+Implements[[#This Row],[Annual Depreciation]])/2*'Data tables'!$AD$58/Implements[[#This Row],[Acres/year]]</f>
        <v>2.3642538978482572</v>
      </c>
      <c r="AW77" s="212">
        <f>Implements[[#This Row],[Annual Repairs ($)]]/Implements[[#This Row],[Acres/year]]</f>
        <v>1.5513806403933164</v>
      </c>
      <c r="AX77" s="212">
        <f>(Implements[[#This Row],[Purchase Price (2020)]]+Implements[[#This Row],[Trade-in ($)]]+Implements[[#This Row],[Annual Depreciation]])/2*'Data tables'!$AD$70/Implements[[#This Row],[Acres/year]]</f>
        <v>0.29553173723103215</v>
      </c>
      <c r="AY77" s="201">
        <f>(Implements[[#This Row],[Purchase Price (2020)]]+Implements[[#This Row],[Trade-in ($)]]+Implements[[#This Row],[Annual Depreciation]])/2*'Data tables'!$AD$59/Implements[[#This Row],[Acres/year]]</f>
        <v>0.50240395329275467</v>
      </c>
      <c r="AZ77" s="201">
        <f>(Implements[[#This Row],[Tractor (hr/impl)]]*Implements[[#This Row],[Labor (hr/trac)]])/Implements[[#This Row],[Acres/hour]]</f>
        <v>0.16571428571428573</v>
      </c>
      <c r="BA77" s="201">
        <f>'Data tables'!$AD$62*Implements[[#This Row],[Shed (ft^2)]]/Implements[[#This Row],[Acres/year]]</f>
        <v>0.39559957680207153</v>
      </c>
      <c r="BP77" s="19"/>
      <c r="BW77"/>
    </row>
    <row r="78" spans="13:75" x14ac:dyDescent="0.25">
      <c r="M78" s="201" t="s">
        <v>5255</v>
      </c>
      <c r="N78" s="202" t="s">
        <v>5366</v>
      </c>
      <c r="O78" s="203">
        <v>20</v>
      </c>
      <c r="P78" s="204" t="s">
        <v>5355</v>
      </c>
      <c r="Q78" s="205">
        <v>8</v>
      </c>
      <c r="R78" s="205" t="s">
        <v>5367</v>
      </c>
      <c r="S78" s="205" t="str">
        <f>CONCATENATE(N78&amp;"; "&amp;IF(Implements[[#This Row],[Size2]]&lt;&gt;"",Implements[[#This Row],[Size2]]&amp;" "&amp;Implements[[#This Row],[Unit2]]&amp;"; ","")&amp;IF(Implements[[#This Row],[Size1]]&gt;0,ROUND(Implements[[#This Row],[Size1]],1)&amp;" "&amp;Implements[[#This Row],[Unit1]]," "))</f>
        <v>Row Crop Planter; 8 Row; 20 Ft</v>
      </c>
      <c r="T78" s="206" t="s">
        <v>5481</v>
      </c>
      <c r="U78" s="207">
        <v>46000</v>
      </c>
      <c r="V78" s="208">
        <v>0.1</v>
      </c>
      <c r="W78" s="208">
        <f>Implements[[#This Row],[Purchase Price (2020)]]/(1-Implements[[#This Row],[List Discount]])</f>
        <v>51111.111111111109</v>
      </c>
      <c r="X78" s="203">
        <v>12</v>
      </c>
      <c r="Y78" s="209">
        <v>70</v>
      </c>
      <c r="Z78" s="210" t="s">
        <v>5368</v>
      </c>
      <c r="AA78" s="203">
        <v>5.5</v>
      </c>
      <c r="AB78" s="208">
        <v>0.7</v>
      </c>
      <c r="AC78" s="208">
        <v>1</v>
      </c>
      <c r="AD78" s="208">
        <v>1.1599999999999999</v>
      </c>
      <c r="AE78" s="203" t="s">
        <v>5494</v>
      </c>
      <c r="AF78" s="203">
        <v>200</v>
      </c>
      <c r="AG78" s="208">
        <f>_xlfn.XLOOKUP(Implements[[#This Row],[Defaulty ASABE Category]],ASABECoefficients[ASABE Category],ASABECoefficients[RF1])</f>
        <v>0.32</v>
      </c>
      <c r="AH78" s="208">
        <f>_xlfn.XLOOKUP(Implements[[#This Row],[Defaulty ASABE Category]],ASABECoefficients[ASABE Category],ASABECoefficients[RF2])</f>
        <v>2.1</v>
      </c>
      <c r="AI78" s="208">
        <f>_xlfn.XLOOKUP(Implements[[#This Row],[Defaulty ASABE Category]],ASABECoefficients[ASABE Category],ASABECoefficients[RV1])</f>
        <v>0.85540000000000005</v>
      </c>
      <c r="AJ78" s="208">
        <f>_xlfn.XLOOKUP(Implements[[#This Row],[Defaulty ASABE Category]],ASABECoefficients[ASABE Category],ASABECoefficients[RV2])</f>
        <v>0.1177</v>
      </c>
      <c r="AK78" s="208">
        <f>_xlfn.XLOOKUP(Implements[[#This Row],[Defaulty ASABE Category]],ASABECoefficients[ASABE Category],ASABECoefficients[RV3])</f>
        <v>0</v>
      </c>
      <c r="AL78" s="208">
        <f>_xlfn.XLOOKUP(Implements[[#This Row],[Defaulty ASABE Category]],ASABECoefficients[ASABE Category],ASABECoefficients[RV4])</f>
        <v>2.8999999999999998E-3</v>
      </c>
      <c r="AM78" s="208">
        <f>_xlfn.XLOOKUP(Implements[[#This Row],[Defaulty ASABE Category]],ASABECoefficients[ASABE Category],ASABECoefficients[RV5])</f>
        <v>0.12740000000000001</v>
      </c>
      <c r="AN78" s="208">
        <f>(Implements[[#This Row],[RV1]]-Implements[[#This Row],[RV2]]*Implements[[#This Row],[Expected Life (years)]]^0.5-Implements[[#This Row],[RV3]]*Implements[[#This Row],[Expected Use (hr/yr)]]^0.5+Implements[[#This Row],[RV4]]*'Data tables'!$AD$67)^2+0.25*Implements[[#This Row],[RV5]]</f>
        <v>0.47341911884680293</v>
      </c>
      <c r="AO78" s="208">
        <f>Implements[[#This Row],[Trade-in (%)]]*Implements[[#This Row],[List Price]]</f>
        <v>24196.97718550326</v>
      </c>
      <c r="AP78" s="208">
        <f>(Implements[[#This Row],[Purchase Price (2020)]]-Implements[[#This Row],[Trade-in ($)]])/Implements[[#This Row],[Expected Life (years)]]</f>
        <v>1816.9185678747283</v>
      </c>
      <c r="AQ78" s="208">
        <f>Implements[[#This Row],[List Price]]*(Implements[[#This Row],[RF1]]*(Implements[[#This Row],[Expected Life (years)]]*Implements[[#This Row],[Expected Use (hr/yr)]]/1000)^Implements[[#This Row],[RF2]])</f>
        <v>11341.011773340111</v>
      </c>
      <c r="AR78" s="208">
        <f>Implements[[#This Row],[Accumulated Repairs ($)]]/Implements[[#This Row],[Expected Life (years)]]</f>
        <v>945.08431444500923</v>
      </c>
      <c r="AS78" s="212">
        <f>Implements[[#This Row],[Size1]]*Implements[[#This Row],[Field Speed (m/h)]]*Implements[[#This Row],[Field Efficiency]]/'Data tables'!$AD$68</f>
        <v>9.3333333333333339</v>
      </c>
      <c r="AT78" s="212">
        <f>Implements[[#This Row],[Acres/hour]]*Implements[[#This Row],[Expected Use (hr/yr)]]</f>
        <v>653.33333333333337</v>
      </c>
      <c r="AU78" s="212">
        <f>Implements[[#This Row],[Annual Depreciation]]/Implements[[#This Row],[Acres/year]]</f>
        <v>2.7809978079715227</v>
      </c>
      <c r="AV78" s="212">
        <f>(Implements[[#This Row],[Purchase Price (2020)]]+Implements[[#This Row],[Trade-in ($)]]+Implements[[#This Row],[Annual Depreciation]])/2*'Data tables'!$AD$58/Implements[[#This Row],[Acres/year]]</f>
        <v>2.2045070128585098</v>
      </c>
      <c r="AW78" s="212">
        <f>Implements[[#This Row],[Annual Repairs ($)]]/Implements[[#This Row],[Acres/year]]</f>
        <v>1.4465576241505242</v>
      </c>
      <c r="AX78" s="212">
        <f>(Implements[[#This Row],[Purchase Price (2020)]]+Implements[[#This Row],[Trade-in ($)]]+Implements[[#This Row],[Annual Depreciation]])/2*'Data tables'!$AD$70/Implements[[#This Row],[Acres/year]]</f>
        <v>0.27556337660731373</v>
      </c>
      <c r="AY78" s="201">
        <f>(Implements[[#This Row],[Purchase Price (2020)]]+Implements[[#This Row],[Trade-in ($)]]+Implements[[#This Row],[Annual Depreciation]])/2*'Data tables'!$AD$59/Implements[[#This Row],[Acres/year]]</f>
        <v>0.46845774023243331</v>
      </c>
      <c r="AZ78" s="201">
        <f>(Implements[[#This Row],[Tractor (hr/impl)]]*Implements[[#This Row],[Labor (hr/trac)]])/Implements[[#This Row],[Acres/hour]]</f>
        <v>0.12428571428571426</v>
      </c>
      <c r="BA78" s="201">
        <f>'Data tables'!$AD$62*Implements[[#This Row],[Shed (ft^2)]]/Implements[[#This Row],[Acres/year]]</f>
        <v>0.2966996826015536</v>
      </c>
      <c r="BP78" s="19"/>
      <c r="BW78"/>
    </row>
    <row r="79" spans="13:75" x14ac:dyDescent="0.25">
      <c r="M79" s="201" t="s">
        <v>5255</v>
      </c>
      <c r="N79" s="202" t="s">
        <v>5366</v>
      </c>
      <c r="O79" s="203">
        <v>30</v>
      </c>
      <c r="P79" s="204" t="s">
        <v>5355</v>
      </c>
      <c r="Q79" s="205">
        <v>12</v>
      </c>
      <c r="R79" s="205" t="s">
        <v>5367</v>
      </c>
      <c r="S79" s="205" t="str">
        <f>CONCATENATE(N79&amp;"; "&amp;IF(Implements[[#This Row],[Size2]]&lt;&gt;"",Implements[[#This Row],[Size2]]&amp;" "&amp;Implements[[#This Row],[Unit2]]&amp;"; ","")&amp;IF(Implements[[#This Row],[Size1]]&gt;0,ROUND(Implements[[#This Row],[Size1]],1)&amp;" "&amp;Implements[[#This Row],[Unit1]]," "))</f>
        <v>Row Crop Planter; 12 Row; 30 Ft</v>
      </c>
      <c r="T79" s="206" t="s">
        <v>5477</v>
      </c>
      <c r="U79" s="207">
        <v>109500</v>
      </c>
      <c r="V79" s="208">
        <v>0.1</v>
      </c>
      <c r="W79" s="208">
        <f>Implements[[#This Row],[Purchase Price (2020)]]/(1-Implements[[#This Row],[List Discount]])</f>
        <v>121666.66666666666</v>
      </c>
      <c r="X79" s="203">
        <v>12</v>
      </c>
      <c r="Y79" s="209">
        <v>70.000000000000014</v>
      </c>
      <c r="Z79" s="210" t="s">
        <v>5368</v>
      </c>
      <c r="AA79" s="203">
        <v>5.5</v>
      </c>
      <c r="AB79" s="208">
        <v>0.7</v>
      </c>
      <c r="AC79" s="208">
        <v>1</v>
      </c>
      <c r="AD79" s="208">
        <v>1.1599999999999999</v>
      </c>
      <c r="AE79" s="203" t="s">
        <v>5494</v>
      </c>
      <c r="AF79" s="203">
        <v>300</v>
      </c>
      <c r="AG79" s="208">
        <f>_xlfn.XLOOKUP(Implements[[#This Row],[Defaulty ASABE Category]],ASABECoefficients[ASABE Category],ASABECoefficients[RF1])</f>
        <v>0.32</v>
      </c>
      <c r="AH79" s="208">
        <f>_xlfn.XLOOKUP(Implements[[#This Row],[Defaulty ASABE Category]],ASABECoefficients[ASABE Category],ASABECoefficients[RF2])</f>
        <v>2.1</v>
      </c>
      <c r="AI79" s="208">
        <f>_xlfn.XLOOKUP(Implements[[#This Row],[Defaulty ASABE Category]],ASABECoefficients[ASABE Category],ASABECoefficients[RV1])</f>
        <v>0.85540000000000005</v>
      </c>
      <c r="AJ79" s="208">
        <f>_xlfn.XLOOKUP(Implements[[#This Row],[Defaulty ASABE Category]],ASABECoefficients[ASABE Category],ASABECoefficients[RV2])</f>
        <v>0.1177</v>
      </c>
      <c r="AK79" s="208">
        <f>_xlfn.XLOOKUP(Implements[[#This Row],[Defaulty ASABE Category]],ASABECoefficients[ASABE Category],ASABECoefficients[RV3])</f>
        <v>0</v>
      </c>
      <c r="AL79" s="208">
        <f>_xlfn.XLOOKUP(Implements[[#This Row],[Defaulty ASABE Category]],ASABECoefficients[ASABE Category],ASABECoefficients[RV4])</f>
        <v>2.8999999999999998E-3</v>
      </c>
      <c r="AM79" s="208">
        <f>_xlfn.XLOOKUP(Implements[[#This Row],[Defaulty ASABE Category]],ASABECoefficients[ASABE Category],ASABECoefficients[RV5])</f>
        <v>0.12740000000000001</v>
      </c>
      <c r="AN79" s="208">
        <f>(Implements[[#This Row],[RV1]]-Implements[[#This Row],[RV2]]*Implements[[#This Row],[Expected Life (years)]]^0.5-Implements[[#This Row],[RV3]]*Implements[[#This Row],[Expected Use (hr/yr)]]^0.5+Implements[[#This Row],[RV4]]*'Data tables'!$AD$67)^2+0.25*Implements[[#This Row],[RV5]]</f>
        <v>0.47341911884680293</v>
      </c>
      <c r="AO79" s="208">
        <f>Implements[[#This Row],[Trade-in (%)]]*Implements[[#This Row],[List Price]]</f>
        <v>57599.326126361018</v>
      </c>
      <c r="AP79" s="208">
        <f>(Implements[[#This Row],[Purchase Price (2020)]]-Implements[[#This Row],[Trade-in ($)]])/Implements[[#This Row],[Expected Life (years)]]</f>
        <v>4325.0561561365821</v>
      </c>
      <c r="AQ79" s="208">
        <f>Implements[[#This Row],[List Price]]*(Implements[[#This Row],[RF1]]*(Implements[[#This Row],[Expected Life (years)]]*Implements[[#This Row],[Expected Use (hr/yr)]]/1000)^Implements[[#This Row],[RF2]])</f>
        <v>26996.538895233538</v>
      </c>
      <c r="AR79" s="208">
        <f>Implements[[#This Row],[Accumulated Repairs ($)]]/Implements[[#This Row],[Expected Life (years)]]</f>
        <v>2249.7115746027948</v>
      </c>
      <c r="AS79" s="212">
        <f>Implements[[#This Row],[Size1]]*Implements[[#This Row],[Field Speed (m/h)]]*Implements[[#This Row],[Field Efficiency]]/'Data tables'!$AD$68</f>
        <v>13.999999999999998</v>
      </c>
      <c r="AT79" s="212">
        <f>Implements[[#This Row],[Acres/hour]]*Implements[[#This Row],[Expected Use (hr/yr)]]</f>
        <v>980.00000000000011</v>
      </c>
      <c r="AU79" s="212">
        <f>Implements[[#This Row],[Annual Depreciation]]/Implements[[#This Row],[Acres/year]]</f>
        <v>4.413322608302634</v>
      </c>
      <c r="AV79" s="212">
        <f>(Implements[[#This Row],[Purchase Price (2020)]]+Implements[[#This Row],[Trade-in ($)]]+Implements[[#This Row],[Annual Depreciation]])/2*'Data tables'!$AD$58/Implements[[#This Row],[Acres/year]]</f>
        <v>3.4984567812754612</v>
      </c>
      <c r="AW79" s="212">
        <f>Implements[[#This Row],[Annual Repairs ($)]]/Implements[[#This Row],[Acres/year]]</f>
        <v>2.2956240557171372</v>
      </c>
      <c r="AX79" s="212">
        <f>(Implements[[#This Row],[Purchase Price (2020)]]+Implements[[#This Row],[Trade-in ($)]]+Implements[[#This Row],[Annual Depreciation]])/2*'Data tables'!$AD$70/Implements[[#This Row],[Acres/year]]</f>
        <v>0.43730709765943265</v>
      </c>
      <c r="AY79" s="201">
        <f>(Implements[[#This Row],[Purchase Price (2020)]]+Implements[[#This Row],[Trade-in ($)]]+Implements[[#This Row],[Annual Depreciation]])/2*'Data tables'!$AD$59/Implements[[#This Row],[Acres/year]]</f>
        <v>0.74342206602103555</v>
      </c>
      <c r="AZ79" s="201">
        <f>(Implements[[#This Row],[Tractor (hr/impl)]]*Implements[[#This Row],[Labor (hr/trac)]])/Implements[[#This Row],[Acres/hour]]</f>
        <v>8.2857142857142865E-2</v>
      </c>
      <c r="BA79" s="201">
        <f>'Data tables'!$AD$62*Implements[[#This Row],[Shed (ft^2)]]/Implements[[#This Row],[Acres/year]]</f>
        <v>0.2966996826015536</v>
      </c>
      <c r="BP79" s="19"/>
      <c r="BW79"/>
    </row>
    <row r="80" spans="13:75" x14ac:dyDescent="0.25">
      <c r="M80" s="201" t="s">
        <v>5255</v>
      </c>
      <c r="N80" s="202" t="s">
        <v>5366</v>
      </c>
      <c r="O80" s="203">
        <v>40</v>
      </c>
      <c r="P80" s="204" t="s">
        <v>5355</v>
      </c>
      <c r="Q80" s="205">
        <v>16</v>
      </c>
      <c r="R80" s="205" t="s">
        <v>5367</v>
      </c>
      <c r="S80" s="205" t="str">
        <f>CONCATENATE(N80&amp;"; "&amp;IF(Implements[[#This Row],[Size2]]&lt;&gt;"",Implements[[#This Row],[Size2]]&amp;" "&amp;Implements[[#This Row],[Unit2]]&amp;"; ","")&amp;IF(Implements[[#This Row],[Size1]]&gt;0,ROUND(Implements[[#This Row],[Size1]],1)&amp;" "&amp;Implements[[#This Row],[Unit1]]," "))</f>
        <v>Row Crop Planter; 16 Row; 40 Ft</v>
      </c>
      <c r="T80" s="206" t="s">
        <v>5473</v>
      </c>
      <c r="U80" s="207">
        <v>166500</v>
      </c>
      <c r="V80" s="208">
        <v>0.1</v>
      </c>
      <c r="W80" s="208">
        <f>Implements[[#This Row],[Purchase Price (2020)]]/(1-Implements[[#This Row],[List Discount]])</f>
        <v>185000</v>
      </c>
      <c r="X80" s="203">
        <v>12</v>
      </c>
      <c r="Y80" s="209">
        <v>70</v>
      </c>
      <c r="Z80" s="210" t="s">
        <v>5368</v>
      </c>
      <c r="AA80" s="203">
        <v>5.5</v>
      </c>
      <c r="AB80" s="208">
        <v>0.7</v>
      </c>
      <c r="AC80" s="208">
        <v>1</v>
      </c>
      <c r="AD80" s="208">
        <v>1.1599999999999999</v>
      </c>
      <c r="AE80" s="203" t="s">
        <v>5494</v>
      </c>
      <c r="AF80" s="203">
        <v>300</v>
      </c>
      <c r="AG80" s="208">
        <f>_xlfn.XLOOKUP(Implements[[#This Row],[Defaulty ASABE Category]],ASABECoefficients[ASABE Category],ASABECoefficients[RF1])</f>
        <v>0.32</v>
      </c>
      <c r="AH80" s="208">
        <f>_xlfn.XLOOKUP(Implements[[#This Row],[Defaulty ASABE Category]],ASABECoefficients[ASABE Category],ASABECoefficients[RF2])</f>
        <v>2.1</v>
      </c>
      <c r="AI80" s="208">
        <f>_xlfn.XLOOKUP(Implements[[#This Row],[Defaulty ASABE Category]],ASABECoefficients[ASABE Category],ASABECoefficients[RV1])</f>
        <v>0.85540000000000005</v>
      </c>
      <c r="AJ80" s="208">
        <f>_xlfn.XLOOKUP(Implements[[#This Row],[Defaulty ASABE Category]],ASABECoefficients[ASABE Category],ASABECoefficients[RV2])</f>
        <v>0.1177</v>
      </c>
      <c r="AK80" s="208">
        <f>_xlfn.XLOOKUP(Implements[[#This Row],[Defaulty ASABE Category]],ASABECoefficients[ASABE Category],ASABECoefficients[RV3])</f>
        <v>0</v>
      </c>
      <c r="AL80" s="208">
        <f>_xlfn.XLOOKUP(Implements[[#This Row],[Defaulty ASABE Category]],ASABECoefficients[ASABE Category],ASABECoefficients[RV4])</f>
        <v>2.8999999999999998E-3</v>
      </c>
      <c r="AM80" s="208">
        <f>_xlfn.XLOOKUP(Implements[[#This Row],[Defaulty ASABE Category]],ASABECoefficients[ASABE Category],ASABECoefficients[RV5])</f>
        <v>0.12740000000000001</v>
      </c>
      <c r="AN80" s="208">
        <f>(Implements[[#This Row],[RV1]]-Implements[[#This Row],[RV2]]*Implements[[#This Row],[Expected Life (years)]]^0.5-Implements[[#This Row],[RV3]]*Implements[[#This Row],[Expected Use (hr/yr)]]^0.5+Implements[[#This Row],[RV4]]*'Data tables'!$AD$67)^2+0.25*Implements[[#This Row],[RV5]]</f>
        <v>0.47341911884680293</v>
      </c>
      <c r="AO80" s="208">
        <f>Implements[[#This Row],[Trade-in (%)]]*Implements[[#This Row],[List Price]]</f>
        <v>87582.536986658539</v>
      </c>
      <c r="AP80" s="208">
        <f>(Implements[[#This Row],[Purchase Price (2020)]]-Implements[[#This Row],[Trade-in ($)]])/Implements[[#This Row],[Expected Life (years)]]</f>
        <v>6576.4552511117881</v>
      </c>
      <c r="AQ80" s="208">
        <f>Implements[[#This Row],[List Price]]*(Implements[[#This Row],[RF1]]*(Implements[[#This Row],[Expected Life (years)]]*Implements[[#This Row],[Expected Use (hr/yr)]]/1000)^Implements[[#This Row],[RF2]])</f>
        <v>41049.531744807144</v>
      </c>
      <c r="AR80" s="208">
        <f>Implements[[#This Row],[Accumulated Repairs ($)]]/Implements[[#This Row],[Expected Life (years)]]</f>
        <v>3420.7943120672621</v>
      </c>
      <c r="AS80" s="212">
        <f>Implements[[#This Row],[Size1]]*Implements[[#This Row],[Field Speed (m/h)]]*Implements[[#This Row],[Field Efficiency]]/'Data tables'!$AD$68</f>
        <v>18.666666666666668</v>
      </c>
      <c r="AT80" s="212">
        <f>Implements[[#This Row],[Acres/hour]]*Implements[[#This Row],[Expected Use (hr/yr)]]</f>
        <v>1306.6666666666667</v>
      </c>
      <c r="AU80" s="212">
        <f>Implements[[#This Row],[Annual Depreciation]]/Implements[[#This Row],[Acres/year]]</f>
        <v>5.0330014676875923</v>
      </c>
      <c r="AV80" s="212">
        <f>(Implements[[#This Row],[Purchase Price (2020)]]+Implements[[#This Row],[Trade-in ($)]]+Implements[[#This Row],[Annual Depreciation]])/2*'Data tables'!$AD$58/Implements[[#This Row],[Acres/year]]</f>
        <v>3.9896784526189335</v>
      </c>
      <c r="AW80" s="212">
        <f>Implements[[#This Row],[Annual Repairs ($)]]/Implements[[#This Row],[Acres/year]]</f>
        <v>2.617954830663721</v>
      </c>
      <c r="AX80" s="212">
        <f>(Implements[[#This Row],[Purchase Price (2020)]]+Implements[[#This Row],[Trade-in ($)]]+Implements[[#This Row],[Annual Depreciation]])/2*'Data tables'!$AD$70/Implements[[#This Row],[Acres/year]]</f>
        <v>0.49870980657736669</v>
      </c>
      <c r="AY80" s="201">
        <f>(Implements[[#This Row],[Purchase Price (2020)]]+Implements[[#This Row],[Trade-in ($)]]+Implements[[#This Row],[Annual Depreciation]])/2*'Data tables'!$AD$59/Implements[[#This Row],[Acres/year]]</f>
        <v>0.84780667118152331</v>
      </c>
      <c r="AZ80" s="201">
        <f>(Implements[[#This Row],[Tractor (hr/impl)]]*Implements[[#This Row],[Labor (hr/trac)]])/Implements[[#This Row],[Acres/hour]]</f>
        <v>6.2142857142857132E-2</v>
      </c>
      <c r="BA80" s="201">
        <f>'Data tables'!$AD$62*Implements[[#This Row],[Shed (ft^2)]]/Implements[[#This Row],[Acres/year]]</f>
        <v>0.22252476195116519</v>
      </c>
      <c r="BP80" s="19"/>
      <c r="BW80"/>
    </row>
    <row r="81" spans="13:75" x14ac:dyDescent="0.25">
      <c r="M81" s="201" t="s">
        <v>5255</v>
      </c>
      <c r="N81" s="202" t="s">
        <v>5366</v>
      </c>
      <c r="O81" s="203">
        <v>60</v>
      </c>
      <c r="P81" s="204" t="s">
        <v>5355</v>
      </c>
      <c r="Q81" s="205">
        <v>24</v>
      </c>
      <c r="R81" s="205" t="s">
        <v>5367</v>
      </c>
      <c r="S81" s="205" t="str">
        <f>CONCATENATE(N81&amp;"; "&amp;IF(Implements[[#This Row],[Size2]]&lt;&gt;"",Implements[[#This Row],[Size2]]&amp;" "&amp;Implements[[#This Row],[Unit2]]&amp;"; ","")&amp;IF(Implements[[#This Row],[Size1]]&gt;0,ROUND(Implements[[#This Row],[Size1]],1)&amp;" "&amp;Implements[[#This Row],[Unit1]]," "))</f>
        <v>Row Crop Planter; 24 Row; 60 Ft</v>
      </c>
      <c r="T81" s="206" t="s">
        <v>5474</v>
      </c>
      <c r="U81" s="207">
        <v>254500</v>
      </c>
      <c r="V81" s="208">
        <v>0.1</v>
      </c>
      <c r="W81" s="208">
        <f>Implements[[#This Row],[Purchase Price (2020)]]/(1-Implements[[#This Row],[List Discount]])</f>
        <v>282777.77777777775</v>
      </c>
      <c r="X81" s="203">
        <v>12</v>
      </c>
      <c r="Y81" s="209">
        <v>70</v>
      </c>
      <c r="Z81" s="210" t="s">
        <v>5368</v>
      </c>
      <c r="AA81" s="203">
        <v>5.5</v>
      </c>
      <c r="AB81" s="208">
        <v>0.7</v>
      </c>
      <c r="AC81" s="208">
        <v>1</v>
      </c>
      <c r="AD81" s="208">
        <v>1.1599999999999999</v>
      </c>
      <c r="AE81" s="203" t="s">
        <v>5494</v>
      </c>
      <c r="AF81" s="203">
        <v>300</v>
      </c>
      <c r="AG81" s="208">
        <f>_xlfn.XLOOKUP(Implements[[#This Row],[Defaulty ASABE Category]],ASABECoefficients[ASABE Category],ASABECoefficients[RF1])</f>
        <v>0.32</v>
      </c>
      <c r="AH81" s="208">
        <f>_xlfn.XLOOKUP(Implements[[#This Row],[Defaulty ASABE Category]],ASABECoefficients[ASABE Category],ASABECoefficients[RF2])</f>
        <v>2.1</v>
      </c>
      <c r="AI81" s="208">
        <f>_xlfn.XLOOKUP(Implements[[#This Row],[Defaulty ASABE Category]],ASABECoefficients[ASABE Category],ASABECoefficients[RV1])</f>
        <v>0.85540000000000005</v>
      </c>
      <c r="AJ81" s="208">
        <f>_xlfn.XLOOKUP(Implements[[#This Row],[Defaulty ASABE Category]],ASABECoefficients[ASABE Category],ASABECoefficients[RV2])</f>
        <v>0.1177</v>
      </c>
      <c r="AK81" s="208">
        <f>_xlfn.XLOOKUP(Implements[[#This Row],[Defaulty ASABE Category]],ASABECoefficients[ASABE Category],ASABECoefficients[RV3])</f>
        <v>0</v>
      </c>
      <c r="AL81" s="208">
        <f>_xlfn.XLOOKUP(Implements[[#This Row],[Defaulty ASABE Category]],ASABECoefficients[ASABE Category],ASABECoefficients[RV4])</f>
        <v>2.8999999999999998E-3</v>
      </c>
      <c r="AM81" s="208">
        <f>_xlfn.XLOOKUP(Implements[[#This Row],[Defaulty ASABE Category]],ASABECoefficients[ASABE Category],ASABECoefficients[RV5])</f>
        <v>0.12740000000000001</v>
      </c>
      <c r="AN81" s="208">
        <f>(Implements[[#This Row],[RV1]]-Implements[[#This Row],[RV2]]*Implements[[#This Row],[Expected Life (years)]]^0.5-Implements[[#This Row],[RV3]]*Implements[[#This Row],[Expected Use (hr/yr)]]^0.5+Implements[[#This Row],[RV4]]*'Data tables'!$AD$67)^2+0.25*Implements[[#This Row],[RV5]]</f>
        <v>0.47341911884680293</v>
      </c>
      <c r="AO81" s="208">
        <f>Implements[[#This Row],[Trade-in (%)]]*Implements[[#This Row],[List Price]]</f>
        <v>133872.40638501258</v>
      </c>
      <c r="AP81" s="208">
        <f>(Implements[[#This Row],[Purchase Price (2020)]]-Implements[[#This Row],[Trade-in ($)]])/Implements[[#This Row],[Expected Life (years)]]</f>
        <v>10052.299467915618</v>
      </c>
      <c r="AQ81" s="208">
        <f>Implements[[#This Row],[List Price]]*(Implements[[#This Row],[RF1]]*(Implements[[#This Row],[Expected Life (years)]]*Implements[[#This Row],[Expected Use (hr/yr)]]/1000)^Implements[[#This Row],[RF2]])</f>
        <v>62745.380354675181</v>
      </c>
      <c r="AR81" s="208">
        <f>Implements[[#This Row],[Accumulated Repairs ($)]]/Implements[[#This Row],[Expected Life (years)]]</f>
        <v>5228.7816962229317</v>
      </c>
      <c r="AS81" s="212">
        <f>Implements[[#This Row],[Size1]]*Implements[[#This Row],[Field Speed (m/h)]]*Implements[[#This Row],[Field Efficiency]]/'Data tables'!$AD$68</f>
        <v>27.999999999999996</v>
      </c>
      <c r="AT81" s="212">
        <f>Implements[[#This Row],[Acres/hour]]*Implements[[#This Row],[Expected Use (hr/yr)]]</f>
        <v>1959.9999999999998</v>
      </c>
      <c r="AU81" s="212">
        <f>Implements[[#This Row],[Annual Depreciation]]/Implements[[#This Row],[Acres/year]]</f>
        <v>5.1287242183242956</v>
      </c>
      <c r="AV81" s="212">
        <f>(Implements[[#This Row],[Purchase Price (2020)]]+Implements[[#This Row],[Trade-in ($)]]+Implements[[#This Row],[Annual Depreciation]])/2*'Data tables'!$AD$58/Implements[[#This Row],[Acres/year]]</f>
        <v>4.0655582229890639</v>
      </c>
      <c r="AW81" s="212">
        <f>Implements[[#This Row],[Annual Repairs ($)]]/Implements[[#This Row],[Acres/year]]</f>
        <v>2.6677457633790471</v>
      </c>
      <c r="AX81" s="212">
        <f>(Implements[[#This Row],[Purchase Price (2020)]]+Implements[[#This Row],[Trade-in ($)]]+Implements[[#This Row],[Annual Depreciation]])/2*'Data tables'!$AD$70/Implements[[#This Row],[Acres/year]]</f>
        <v>0.50819477787363299</v>
      </c>
      <c r="AY81" s="201">
        <f>(Implements[[#This Row],[Purchase Price (2020)]]+Implements[[#This Row],[Trade-in ($)]]+Implements[[#This Row],[Annual Depreciation]])/2*'Data tables'!$AD$59/Implements[[#This Row],[Acres/year]]</f>
        <v>0.863931122385176</v>
      </c>
      <c r="AZ81" s="201">
        <f>(Implements[[#This Row],[Tractor (hr/impl)]]*Implements[[#This Row],[Labor (hr/trac)]])/Implements[[#This Row],[Acres/hour]]</f>
        <v>4.1428571428571433E-2</v>
      </c>
      <c r="BA81" s="201">
        <f>'Data tables'!$AD$62*Implements[[#This Row],[Shed (ft^2)]]/Implements[[#This Row],[Acres/year]]</f>
        <v>0.14834984130077683</v>
      </c>
      <c r="BP81" s="19"/>
      <c r="BW81"/>
    </row>
    <row r="82" spans="13:75" x14ac:dyDescent="0.25">
      <c r="M82" s="201" t="s">
        <v>5255</v>
      </c>
      <c r="N82" s="214" t="s">
        <v>5501</v>
      </c>
      <c r="O82" s="203">
        <v>16</v>
      </c>
      <c r="P82" s="204" t="s">
        <v>5355</v>
      </c>
      <c r="Q82" s="205"/>
      <c r="R82" s="205"/>
      <c r="S82" s="205" t="str">
        <f>CONCATENATE(N82&amp;"; "&amp;IF(Implements[[#This Row],[Size2]]&lt;&gt;"",Implements[[#This Row],[Size2]]&amp;" "&amp;Implements[[#This Row],[Unit2]]&amp;"; ","")&amp;IF(Implements[[#This Row],[Size1]]&gt;0,ROUND(Implements[[#This Row],[Size1]],1)&amp;" "&amp;Implements[[#This Row],[Unit1]]," "))</f>
        <v>Presswheel Drill; 16 Ft</v>
      </c>
      <c r="T82" s="206" t="s">
        <v>5477</v>
      </c>
      <c r="U82" s="207">
        <v>24500</v>
      </c>
      <c r="V82" s="208">
        <v>0.1</v>
      </c>
      <c r="W82" s="208">
        <f>Implements[[#This Row],[Purchase Price (2020)]]/(1-Implements[[#This Row],[List Discount]])</f>
        <v>27222.222222222223</v>
      </c>
      <c r="X82" s="203">
        <v>12</v>
      </c>
      <c r="Y82" s="209">
        <v>75</v>
      </c>
      <c r="Z82" s="210" t="s">
        <v>5369</v>
      </c>
      <c r="AA82" s="203">
        <v>5</v>
      </c>
      <c r="AB82" s="208">
        <v>0.7</v>
      </c>
      <c r="AC82" s="208">
        <v>1</v>
      </c>
      <c r="AD82" s="208">
        <v>1.1100000000000001</v>
      </c>
      <c r="AE82" s="203" t="s">
        <v>5494</v>
      </c>
      <c r="AF82" s="203">
        <v>150</v>
      </c>
      <c r="AG82" s="208">
        <f>_xlfn.XLOOKUP(Implements[[#This Row],[Defaulty ASABE Category]],ASABECoefficients[ASABE Category],ASABECoefficients[RF1])</f>
        <v>0.32</v>
      </c>
      <c r="AH82" s="208">
        <f>_xlfn.XLOOKUP(Implements[[#This Row],[Defaulty ASABE Category]],ASABECoefficients[ASABE Category],ASABECoefficients[RF2])</f>
        <v>2.1</v>
      </c>
      <c r="AI82" s="208">
        <f>_xlfn.XLOOKUP(Implements[[#This Row],[Defaulty ASABE Category]],ASABECoefficients[ASABE Category],ASABECoefficients[RV1])</f>
        <v>1.2211000000000001</v>
      </c>
      <c r="AJ82" s="208">
        <f>_xlfn.XLOOKUP(Implements[[#This Row],[Defaulty ASABE Category]],ASABECoefficients[ASABE Category],ASABECoefficients[RV2])</f>
        <v>0.17369999999999999</v>
      </c>
      <c r="AK82" s="208">
        <f>_xlfn.XLOOKUP(Implements[[#This Row],[Defaulty ASABE Category]],ASABECoefficients[ASABE Category],ASABECoefficients[RV3])</f>
        <v>0</v>
      </c>
      <c r="AL82" s="208">
        <f>_xlfn.XLOOKUP(Implements[[#This Row],[Defaulty ASABE Category]],ASABECoefficients[ASABE Category],ASABECoefficients[RV4])</f>
        <v>-1.6999999999999999E-3</v>
      </c>
      <c r="AM82" s="208">
        <f>_xlfn.XLOOKUP(Implements[[#This Row],[Defaulty ASABE Category]],ASABECoefficients[ASABE Category],ASABECoefficients[RV5])</f>
        <v>0.12640000000000001</v>
      </c>
      <c r="AN82" s="208">
        <f>(Implements[[#This Row],[RV1]]-Implements[[#This Row],[RV2]]*Implements[[#This Row],[Expected Life (years)]]^0.5-Implements[[#This Row],[RV3]]*Implements[[#This Row],[Expected Use (hr/yr)]]^0.5+Implements[[#This Row],[RV4]]*'Data tables'!$AD$67)^2+0.25*Implements[[#This Row],[RV5]]</f>
        <v>0.2739371053106841</v>
      </c>
      <c r="AO82" s="208">
        <f>Implements[[#This Row],[Trade-in (%)]]*Implements[[#This Row],[List Price]]</f>
        <v>7457.176755679734</v>
      </c>
      <c r="AP82" s="208">
        <f>(Implements[[#This Row],[Purchase Price (2020)]]-Implements[[#This Row],[Trade-in ($)]])/Implements[[#This Row],[Expected Life (years)]]</f>
        <v>1420.235270360022</v>
      </c>
      <c r="AQ82" s="208">
        <f>Implements[[#This Row],[List Price]]*(Implements[[#This Row],[RF1]]*(Implements[[#This Row],[Expected Life (years)]]*Implements[[#This Row],[Expected Use (hr/yr)]]/1000)^Implements[[#This Row],[RF2]])</f>
        <v>6982.04788590305</v>
      </c>
      <c r="AR82" s="208">
        <f>Implements[[#This Row],[Accumulated Repairs ($)]]/Implements[[#This Row],[Expected Life (years)]]</f>
        <v>581.8373238252542</v>
      </c>
      <c r="AS82" s="212">
        <f>Implements[[#This Row],[Size1]]*Implements[[#This Row],[Field Speed (m/h)]]*Implements[[#This Row],[Field Efficiency]]/'Data tables'!$AD$68</f>
        <v>6.7878787878787881</v>
      </c>
      <c r="AT82" s="212">
        <f>Implements[[#This Row],[Acres/hour]]*Implements[[#This Row],[Expected Use (hr/yr)]]</f>
        <v>509.09090909090912</v>
      </c>
      <c r="AU82" s="212">
        <f>Implements[[#This Row],[Annual Depreciation]]/Implements[[#This Row],[Acres/year]]</f>
        <v>2.7897478524929</v>
      </c>
      <c r="AV82" s="212">
        <f>(Implements[[#This Row],[Purchase Price (2020)]]+Implements[[#This Row],[Trade-in ($)]]+Implements[[#This Row],[Annual Depreciation]])/2*'Data tables'!$AD$58/Implements[[#This Row],[Acres/year]]</f>
        <v>1.3112554724515617</v>
      </c>
      <c r="AW82" s="212">
        <f>Implements[[#This Row],[Annual Repairs ($)]]/Implements[[#This Row],[Acres/year]]</f>
        <v>1.1428947432281777</v>
      </c>
      <c r="AX82" s="212">
        <f>(Implements[[#This Row],[Purchase Price (2020)]]+Implements[[#This Row],[Trade-in ($)]]+Implements[[#This Row],[Annual Depreciation]])/2*'Data tables'!$AD$70/Implements[[#This Row],[Acres/year]]</f>
        <v>0.16390693405644521</v>
      </c>
      <c r="AY82" s="201">
        <f>(Implements[[#This Row],[Purchase Price (2020)]]+Implements[[#This Row],[Trade-in ($)]]+Implements[[#This Row],[Annual Depreciation]])/2*'Data tables'!$AD$59/Implements[[#This Row],[Acres/year]]</f>
        <v>0.27864178789595689</v>
      </c>
      <c r="AZ82" s="201">
        <f>(Implements[[#This Row],[Tractor (hr/impl)]]*Implements[[#This Row],[Labor (hr/trac)]])/Implements[[#This Row],[Acres/hour]]</f>
        <v>0.16352678571428572</v>
      </c>
      <c r="BA82" s="201">
        <f>'Data tables'!$AD$62*Implements[[#This Row],[Shed (ft^2)]]/Implements[[#This Row],[Acres/year]]</f>
        <v>0.28557344450399536</v>
      </c>
      <c r="BP82" s="19"/>
      <c r="BW82"/>
    </row>
    <row r="83" spans="13:75" x14ac:dyDescent="0.25">
      <c r="M83" s="201" t="s">
        <v>5255</v>
      </c>
      <c r="N83" s="214" t="s">
        <v>5501</v>
      </c>
      <c r="O83" s="203">
        <v>20</v>
      </c>
      <c r="P83" s="204" t="s">
        <v>5355</v>
      </c>
      <c r="Q83" s="205"/>
      <c r="R83" s="205"/>
      <c r="S83" s="205" t="str">
        <f>CONCATENATE(N83&amp;"; "&amp;IF(Implements[[#This Row],[Size2]]&lt;&gt;"",Implements[[#This Row],[Size2]]&amp;" "&amp;Implements[[#This Row],[Unit2]]&amp;"; ","")&amp;IF(Implements[[#This Row],[Size1]]&gt;0,ROUND(Implements[[#This Row],[Size1]],1)&amp;" "&amp;Implements[[#This Row],[Unit1]]," "))</f>
        <v>Presswheel Drill; 20 Ft</v>
      </c>
      <c r="T83" s="206" t="s">
        <v>5472</v>
      </c>
      <c r="U83" s="207">
        <v>29000</v>
      </c>
      <c r="V83" s="208">
        <v>0.1</v>
      </c>
      <c r="W83" s="208">
        <f>Implements[[#This Row],[Purchase Price (2020)]]/(1-Implements[[#This Row],[List Discount]])</f>
        <v>32222.222222222223</v>
      </c>
      <c r="X83" s="203">
        <v>12</v>
      </c>
      <c r="Y83" s="209">
        <v>75</v>
      </c>
      <c r="Z83" s="210" t="s">
        <v>5369</v>
      </c>
      <c r="AA83" s="203">
        <v>5</v>
      </c>
      <c r="AB83" s="208">
        <v>0.7</v>
      </c>
      <c r="AC83" s="208">
        <v>1</v>
      </c>
      <c r="AD83" s="208">
        <v>1.1100000000000001</v>
      </c>
      <c r="AE83" s="203" t="s">
        <v>5494</v>
      </c>
      <c r="AF83" s="203">
        <v>185</v>
      </c>
      <c r="AG83" s="208">
        <f>_xlfn.XLOOKUP(Implements[[#This Row],[Defaulty ASABE Category]],ASABECoefficients[ASABE Category],ASABECoefficients[RF1])</f>
        <v>0.32</v>
      </c>
      <c r="AH83" s="208">
        <f>_xlfn.XLOOKUP(Implements[[#This Row],[Defaulty ASABE Category]],ASABECoefficients[ASABE Category],ASABECoefficients[RF2])</f>
        <v>2.1</v>
      </c>
      <c r="AI83" s="208">
        <f>_xlfn.XLOOKUP(Implements[[#This Row],[Defaulty ASABE Category]],ASABECoefficients[ASABE Category],ASABECoefficients[RV1])</f>
        <v>1.2211000000000001</v>
      </c>
      <c r="AJ83" s="208">
        <f>_xlfn.XLOOKUP(Implements[[#This Row],[Defaulty ASABE Category]],ASABECoefficients[ASABE Category],ASABECoefficients[RV2])</f>
        <v>0.17369999999999999</v>
      </c>
      <c r="AK83" s="208">
        <f>_xlfn.XLOOKUP(Implements[[#This Row],[Defaulty ASABE Category]],ASABECoefficients[ASABE Category],ASABECoefficients[RV3])</f>
        <v>0</v>
      </c>
      <c r="AL83" s="208">
        <f>_xlfn.XLOOKUP(Implements[[#This Row],[Defaulty ASABE Category]],ASABECoefficients[ASABE Category],ASABECoefficients[RV4])</f>
        <v>-1.6999999999999999E-3</v>
      </c>
      <c r="AM83" s="208">
        <f>_xlfn.XLOOKUP(Implements[[#This Row],[Defaulty ASABE Category]],ASABECoefficients[ASABE Category],ASABECoefficients[RV5])</f>
        <v>0.12640000000000001</v>
      </c>
      <c r="AN83" s="208">
        <f>(Implements[[#This Row],[RV1]]-Implements[[#This Row],[RV2]]*Implements[[#This Row],[Expected Life (years)]]^0.5-Implements[[#This Row],[RV3]]*Implements[[#This Row],[Expected Use (hr/yr)]]^0.5+Implements[[#This Row],[RV4]]*'Data tables'!$AD$67)^2+0.25*Implements[[#This Row],[RV5]]</f>
        <v>0.2739371053106841</v>
      </c>
      <c r="AO83" s="208">
        <f>Implements[[#This Row],[Trade-in (%)]]*Implements[[#This Row],[List Price]]</f>
        <v>8826.8622822331545</v>
      </c>
      <c r="AP83" s="208">
        <f>(Implements[[#This Row],[Purchase Price (2020)]]-Implements[[#This Row],[Trade-in ($)]])/Implements[[#This Row],[Expected Life (years)]]</f>
        <v>1681.094809813904</v>
      </c>
      <c r="AQ83" s="208">
        <f>Implements[[#This Row],[List Price]]*(Implements[[#This Row],[RF1]]*(Implements[[#This Row],[Expected Life (years)]]*Implements[[#This Row],[Expected Use (hr/yr)]]/1000)^Implements[[#This Row],[RF2]])</f>
        <v>8264.4648445383045</v>
      </c>
      <c r="AR83" s="208">
        <f>Implements[[#This Row],[Accumulated Repairs ($)]]/Implements[[#This Row],[Expected Life (years)]]</f>
        <v>688.70540371152538</v>
      </c>
      <c r="AS83" s="212">
        <f>Implements[[#This Row],[Size1]]*Implements[[#This Row],[Field Speed (m/h)]]*Implements[[#This Row],[Field Efficiency]]/'Data tables'!$AD$68</f>
        <v>8.4848484848484844</v>
      </c>
      <c r="AT83" s="212">
        <f>Implements[[#This Row],[Acres/hour]]*Implements[[#This Row],[Expected Use (hr/yr)]]</f>
        <v>636.36363636363637</v>
      </c>
      <c r="AU83" s="212">
        <f>Implements[[#This Row],[Annual Depreciation]]/Implements[[#This Row],[Acres/year]]</f>
        <v>2.6417204154218492</v>
      </c>
      <c r="AV83" s="212">
        <f>(Implements[[#This Row],[Purchase Price (2020)]]+Implements[[#This Row],[Trade-in ($)]]+Implements[[#This Row],[Annual Depreciation]])/2*'Data tables'!$AD$58/Implements[[#This Row],[Acres/year]]</f>
        <v>1.2416786514643361</v>
      </c>
      <c r="AW83" s="212">
        <f>Implements[[#This Row],[Annual Repairs ($)]]/Implements[[#This Row],[Acres/year]]</f>
        <v>1.0822513486895398</v>
      </c>
      <c r="AX83" s="212">
        <f>(Implements[[#This Row],[Purchase Price (2020)]]+Implements[[#This Row],[Trade-in ($)]]+Implements[[#This Row],[Annual Depreciation]])/2*'Data tables'!$AD$70/Implements[[#This Row],[Acres/year]]</f>
        <v>0.15520983143304201</v>
      </c>
      <c r="AY83" s="201">
        <f>(Implements[[#This Row],[Purchase Price (2020)]]+Implements[[#This Row],[Trade-in ($)]]+Implements[[#This Row],[Annual Depreciation]])/2*'Data tables'!$AD$59/Implements[[#This Row],[Acres/year]]</f>
        <v>0.26385671343617145</v>
      </c>
      <c r="AZ83" s="201">
        <f>(Implements[[#This Row],[Tractor (hr/impl)]]*Implements[[#This Row],[Labor (hr/trac)]])/Implements[[#This Row],[Acres/hour]]</f>
        <v>0.13082142857142859</v>
      </c>
      <c r="BA83" s="201">
        <f>'Data tables'!$AD$62*Implements[[#This Row],[Shed (ft^2)]]/Implements[[#This Row],[Acres/year]]</f>
        <v>0.28176579857727541</v>
      </c>
      <c r="BP83" s="19"/>
      <c r="BW83"/>
    </row>
    <row r="84" spans="13:75" x14ac:dyDescent="0.25">
      <c r="M84" s="201" t="s">
        <v>5255</v>
      </c>
      <c r="N84" s="214" t="s">
        <v>5501</v>
      </c>
      <c r="O84" s="203">
        <v>25</v>
      </c>
      <c r="P84" s="204" t="s">
        <v>5355</v>
      </c>
      <c r="Q84" s="205"/>
      <c r="R84" s="205"/>
      <c r="S84" s="205" t="str">
        <f>CONCATENATE(N84&amp;"; "&amp;IF(Implements[[#This Row],[Size2]]&lt;&gt;"",Implements[[#This Row],[Size2]]&amp;" "&amp;Implements[[#This Row],[Unit2]]&amp;"; ","")&amp;IF(Implements[[#This Row],[Size1]]&gt;0,ROUND(Implements[[#This Row],[Size1]],1)&amp;" "&amp;Implements[[#This Row],[Unit1]]," "))</f>
        <v>Presswheel Drill; 25 Ft</v>
      </c>
      <c r="T84" s="206" t="s">
        <v>5472</v>
      </c>
      <c r="U84" s="207">
        <v>51000</v>
      </c>
      <c r="V84" s="208">
        <v>0.1</v>
      </c>
      <c r="W84" s="208">
        <f>Implements[[#This Row],[Purchase Price (2020)]]/(1-Implements[[#This Row],[List Discount]])</f>
        <v>56666.666666666664</v>
      </c>
      <c r="X84" s="203">
        <v>12</v>
      </c>
      <c r="Y84" s="209">
        <v>75</v>
      </c>
      <c r="Z84" s="210" t="s">
        <v>5369</v>
      </c>
      <c r="AA84" s="203">
        <v>5</v>
      </c>
      <c r="AB84" s="208">
        <v>0.7</v>
      </c>
      <c r="AC84" s="208">
        <v>1</v>
      </c>
      <c r="AD84" s="208">
        <v>1.1100000000000001</v>
      </c>
      <c r="AE84" s="203" t="s">
        <v>5494</v>
      </c>
      <c r="AF84" s="203">
        <v>230</v>
      </c>
      <c r="AG84" s="208">
        <f>_xlfn.XLOOKUP(Implements[[#This Row],[Defaulty ASABE Category]],ASABECoefficients[ASABE Category],ASABECoefficients[RF1])</f>
        <v>0.32</v>
      </c>
      <c r="AH84" s="208">
        <f>_xlfn.XLOOKUP(Implements[[#This Row],[Defaulty ASABE Category]],ASABECoefficients[ASABE Category],ASABECoefficients[RF2])</f>
        <v>2.1</v>
      </c>
      <c r="AI84" s="208">
        <f>_xlfn.XLOOKUP(Implements[[#This Row],[Defaulty ASABE Category]],ASABECoefficients[ASABE Category],ASABECoefficients[RV1])</f>
        <v>1.2211000000000001</v>
      </c>
      <c r="AJ84" s="208">
        <f>_xlfn.XLOOKUP(Implements[[#This Row],[Defaulty ASABE Category]],ASABECoefficients[ASABE Category],ASABECoefficients[RV2])</f>
        <v>0.17369999999999999</v>
      </c>
      <c r="AK84" s="208">
        <f>_xlfn.XLOOKUP(Implements[[#This Row],[Defaulty ASABE Category]],ASABECoefficients[ASABE Category],ASABECoefficients[RV3])</f>
        <v>0</v>
      </c>
      <c r="AL84" s="208">
        <f>_xlfn.XLOOKUP(Implements[[#This Row],[Defaulty ASABE Category]],ASABECoefficients[ASABE Category],ASABECoefficients[RV4])</f>
        <v>-1.6999999999999999E-3</v>
      </c>
      <c r="AM84" s="208">
        <f>_xlfn.XLOOKUP(Implements[[#This Row],[Defaulty ASABE Category]],ASABECoefficients[ASABE Category],ASABECoefficients[RV5])</f>
        <v>0.12640000000000001</v>
      </c>
      <c r="AN84" s="208">
        <f>(Implements[[#This Row],[RV1]]-Implements[[#This Row],[RV2]]*Implements[[#This Row],[Expected Life (years)]]^0.5-Implements[[#This Row],[RV3]]*Implements[[#This Row],[Expected Use (hr/yr)]]^0.5+Implements[[#This Row],[RV4]]*'Data tables'!$AD$67)^2+0.25*Implements[[#This Row],[RV5]]</f>
        <v>0.2739371053106841</v>
      </c>
      <c r="AO84" s="208">
        <f>Implements[[#This Row],[Trade-in (%)]]*Implements[[#This Row],[List Price]]</f>
        <v>15523.102634272098</v>
      </c>
      <c r="AP84" s="208">
        <f>(Implements[[#This Row],[Purchase Price (2020)]]-Implements[[#This Row],[Trade-in ($)]])/Implements[[#This Row],[Expected Life (years)]]</f>
        <v>2956.4081138106581</v>
      </c>
      <c r="AQ84" s="208">
        <f>Implements[[#This Row],[List Price]]*(Implements[[#This Row],[RF1]]*(Implements[[#This Row],[Expected Life (years)]]*Implements[[#This Row],[Expected Use (hr/yr)]]/1000)^Implements[[#This Row],[RF2]])</f>
        <v>14534.058864532879</v>
      </c>
      <c r="AR84" s="208">
        <f>Implements[[#This Row],[Accumulated Repairs ($)]]/Implements[[#This Row],[Expected Life (years)]]</f>
        <v>1211.1715720444065</v>
      </c>
      <c r="AS84" s="212">
        <f>Implements[[#This Row],[Size1]]*Implements[[#This Row],[Field Speed (m/h)]]*Implements[[#This Row],[Field Efficiency]]/'Data tables'!$AD$68</f>
        <v>10.606060606060606</v>
      </c>
      <c r="AT84" s="212">
        <f>Implements[[#This Row],[Acres/hour]]*Implements[[#This Row],[Expected Use (hr/yr)]]</f>
        <v>795.45454545454538</v>
      </c>
      <c r="AU84" s="212">
        <f>Implements[[#This Row],[Annual Depreciation]]/Implements[[#This Row],[Acres/year]]</f>
        <v>3.7166273430762562</v>
      </c>
      <c r="AV84" s="212">
        <f>(Implements[[#This Row],[Purchase Price (2020)]]+Implements[[#This Row],[Trade-in ($)]]+Implements[[#This Row],[Annual Depreciation]])/2*'Data tables'!$AD$58/Implements[[#This Row],[Acres/year]]</f>
        <v>1.7469134130946524</v>
      </c>
      <c r="AW84" s="212">
        <f>Implements[[#This Row],[Annual Repairs ($)]]/Implements[[#This Row],[Acres/year]]</f>
        <v>1.5226156905701111</v>
      </c>
      <c r="AX84" s="212">
        <f>(Implements[[#This Row],[Purchase Price (2020)]]+Implements[[#This Row],[Trade-in ($)]]+Implements[[#This Row],[Annual Depreciation]])/2*'Data tables'!$AD$70/Implements[[#This Row],[Acres/year]]</f>
        <v>0.21836417663683155</v>
      </c>
      <c r="AY84" s="201">
        <f>(Implements[[#This Row],[Purchase Price (2020)]]+Implements[[#This Row],[Trade-in ($)]]+Implements[[#This Row],[Annual Depreciation]])/2*'Data tables'!$AD$59/Implements[[#This Row],[Acres/year]]</f>
        <v>0.37121910028261362</v>
      </c>
      <c r="AZ84" s="201">
        <f>(Implements[[#This Row],[Tractor (hr/impl)]]*Implements[[#This Row],[Labor (hr/trac)]])/Implements[[#This Row],[Acres/hour]]</f>
        <v>0.10465714285714287</v>
      </c>
      <c r="BA84" s="201">
        <f>'Data tables'!$AD$62*Implements[[#This Row],[Shed (ft^2)]]/Implements[[#This Row],[Acres/year]]</f>
        <v>0.28024274020658746</v>
      </c>
      <c r="BP84" s="19"/>
      <c r="BW84"/>
    </row>
    <row r="85" spans="13:75" x14ac:dyDescent="0.25">
      <c r="M85" s="201" t="s">
        <v>5255</v>
      </c>
      <c r="N85" s="214" t="s">
        <v>5501</v>
      </c>
      <c r="O85" s="203">
        <v>30</v>
      </c>
      <c r="P85" s="204" t="s">
        <v>5355</v>
      </c>
      <c r="Q85" s="205"/>
      <c r="R85" s="205"/>
      <c r="S85" s="205" t="str">
        <f>CONCATENATE(N85&amp;"; "&amp;IF(Implements[[#This Row],[Size2]]&lt;&gt;"",Implements[[#This Row],[Size2]]&amp;" "&amp;Implements[[#This Row],[Unit2]]&amp;"; ","")&amp;IF(Implements[[#This Row],[Size1]]&gt;0,ROUND(Implements[[#This Row],[Size1]],1)&amp;" "&amp;Implements[[#This Row],[Unit1]]," "))</f>
        <v>Presswheel Drill; 30 Ft</v>
      </c>
      <c r="T85" s="206" t="s">
        <v>5476</v>
      </c>
      <c r="U85" s="207">
        <v>63500</v>
      </c>
      <c r="V85" s="208">
        <v>0.1</v>
      </c>
      <c r="W85" s="208">
        <f>Implements[[#This Row],[Purchase Price (2020)]]/(1-Implements[[#This Row],[List Discount]])</f>
        <v>70555.555555555547</v>
      </c>
      <c r="X85" s="203">
        <v>12</v>
      </c>
      <c r="Y85" s="209">
        <v>80</v>
      </c>
      <c r="Z85" s="210" t="s">
        <v>5369</v>
      </c>
      <c r="AA85" s="203">
        <v>5</v>
      </c>
      <c r="AB85" s="208">
        <v>0.7</v>
      </c>
      <c r="AC85" s="208">
        <v>1</v>
      </c>
      <c r="AD85" s="208">
        <v>1.1100000000000001</v>
      </c>
      <c r="AE85" s="203" t="s">
        <v>5494</v>
      </c>
      <c r="AF85" s="203">
        <v>240</v>
      </c>
      <c r="AG85" s="208">
        <f>_xlfn.XLOOKUP(Implements[[#This Row],[Defaulty ASABE Category]],ASABECoefficients[ASABE Category],ASABECoefficients[RF1])</f>
        <v>0.32</v>
      </c>
      <c r="AH85" s="208">
        <f>_xlfn.XLOOKUP(Implements[[#This Row],[Defaulty ASABE Category]],ASABECoefficients[ASABE Category],ASABECoefficients[RF2])</f>
        <v>2.1</v>
      </c>
      <c r="AI85" s="208">
        <f>_xlfn.XLOOKUP(Implements[[#This Row],[Defaulty ASABE Category]],ASABECoefficients[ASABE Category],ASABECoefficients[RV1])</f>
        <v>1.2211000000000001</v>
      </c>
      <c r="AJ85" s="208">
        <f>_xlfn.XLOOKUP(Implements[[#This Row],[Defaulty ASABE Category]],ASABECoefficients[ASABE Category],ASABECoefficients[RV2])</f>
        <v>0.17369999999999999</v>
      </c>
      <c r="AK85" s="208">
        <f>_xlfn.XLOOKUP(Implements[[#This Row],[Defaulty ASABE Category]],ASABECoefficients[ASABE Category],ASABECoefficients[RV3])</f>
        <v>0</v>
      </c>
      <c r="AL85" s="208">
        <f>_xlfn.XLOOKUP(Implements[[#This Row],[Defaulty ASABE Category]],ASABECoefficients[ASABE Category],ASABECoefficients[RV4])</f>
        <v>-1.6999999999999999E-3</v>
      </c>
      <c r="AM85" s="208">
        <f>_xlfn.XLOOKUP(Implements[[#This Row],[Defaulty ASABE Category]],ASABECoefficients[ASABE Category],ASABECoefficients[RV5])</f>
        <v>0.12640000000000001</v>
      </c>
      <c r="AN85" s="208">
        <f>(Implements[[#This Row],[RV1]]-Implements[[#This Row],[RV2]]*Implements[[#This Row],[Expected Life (years)]]^0.5-Implements[[#This Row],[RV3]]*Implements[[#This Row],[Expected Use (hr/yr)]]^0.5+Implements[[#This Row],[RV4]]*'Data tables'!$AD$67)^2+0.25*Implements[[#This Row],[RV5]]</f>
        <v>0.2739371053106841</v>
      </c>
      <c r="AO85" s="208">
        <f>Implements[[#This Row],[Trade-in (%)]]*Implements[[#This Row],[List Price]]</f>
        <v>19327.784652476043</v>
      </c>
      <c r="AP85" s="208">
        <f>(Implements[[#This Row],[Purchase Price (2020)]]-Implements[[#This Row],[Trade-in ($)]])/Implements[[#This Row],[Expected Life (years)]]</f>
        <v>3681.0179456269966</v>
      </c>
      <c r="AQ85" s="208">
        <f>Implements[[#This Row],[List Price]]*(Implements[[#This Row],[RF1]]*(Implements[[#This Row],[Expected Life (years)]]*Implements[[#This Row],[Expected Use (hr/yr)]]/1000)^Implements[[#This Row],[RF2]])</f>
        <v>20722.912037687624</v>
      </c>
      <c r="AR85" s="208">
        <f>Implements[[#This Row],[Accumulated Repairs ($)]]/Implements[[#This Row],[Expected Life (years)]]</f>
        <v>1726.9093364739686</v>
      </c>
      <c r="AS85" s="212">
        <f>Implements[[#This Row],[Size1]]*Implements[[#This Row],[Field Speed (m/h)]]*Implements[[#This Row],[Field Efficiency]]/'Data tables'!$AD$68</f>
        <v>12.727272727272727</v>
      </c>
      <c r="AT85" s="212">
        <f>Implements[[#This Row],[Acres/hour]]*Implements[[#This Row],[Expected Use (hr/yr)]]</f>
        <v>1018.1818181818181</v>
      </c>
      <c r="AU85" s="212">
        <f>Implements[[#This Row],[Annual Depreciation]]/Implements[[#This Row],[Acres/year]]</f>
        <v>3.6152854823122289</v>
      </c>
      <c r="AV85" s="212">
        <f>(Implements[[#This Row],[Purchase Price (2020)]]+Implements[[#This Row],[Trade-in ($)]]+Implements[[#This Row],[Annual Depreciation]])/2*'Data tables'!$AD$58/Implements[[#This Row],[Acres/year]]</f>
        <v>1.6992800510341668</v>
      </c>
      <c r="AW85" s="212">
        <f>Implements[[#This Row],[Annual Repairs ($)]]/Implements[[#This Row],[Acres/year]]</f>
        <v>1.6960716697512193</v>
      </c>
      <c r="AX85" s="212">
        <f>(Implements[[#This Row],[Purchase Price (2020)]]+Implements[[#This Row],[Trade-in ($)]]+Implements[[#This Row],[Annual Depreciation]])/2*'Data tables'!$AD$70/Implements[[#This Row],[Acres/year]]</f>
        <v>0.21241000637927085</v>
      </c>
      <c r="AY85" s="201">
        <f>(Implements[[#This Row],[Purchase Price (2020)]]+Implements[[#This Row],[Trade-in ($)]]+Implements[[#This Row],[Annual Depreciation]])/2*'Data tables'!$AD$59/Implements[[#This Row],[Acres/year]]</f>
        <v>0.36109701084476054</v>
      </c>
      <c r="AZ85" s="201">
        <f>(Implements[[#This Row],[Tractor (hr/impl)]]*Implements[[#This Row],[Labor (hr/trac)]])/Implements[[#This Row],[Acres/hour]]</f>
        <v>8.721428571428573E-2</v>
      </c>
      <c r="BA85" s="201">
        <f>'Data tables'!$AD$62*Implements[[#This Row],[Shed (ft^2)]]/Implements[[#This Row],[Acres/year]]</f>
        <v>0.22845875560319631</v>
      </c>
      <c r="BP85" s="19"/>
      <c r="BW85"/>
    </row>
    <row r="86" spans="13:75" x14ac:dyDescent="0.25">
      <c r="M86" s="201" t="s">
        <v>5255</v>
      </c>
      <c r="N86" s="214" t="s">
        <v>5370</v>
      </c>
      <c r="O86" s="203">
        <v>52</v>
      </c>
      <c r="P86" s="204" t="s">
        <v>5355</v>
      </c>
      <c r="Q86" s="205"/>
      <c r="R86" s="205"/>
      <c r="S86" s="205" t="str">
        <f>CONCATENATE(N86&amp;"; "&amp;IF(Implements[[#This Row],[Size2]]&lt;&gt;"",Implements[[#This Row],[Size2]]&amp;" "&amp;Implements[[#This Row],[Unit2]]&amp;"; ","")&amp;IF(Implements[[#This Row],[Size1]]&gt;0,ROUND(Implements[[#This Row],[Size1]],1)&amp;" "&amp;Implements[[#This Row],[Unit1]]," "))</f>
        <v>Air Seeder Drill w/Cart; 52 Ft</v>
      </c>
      <c r="T86" s="206" t="s">
        <v>5478</v>
      </c>
      <c r="U86" s="207">
        <v>263500</v>
      </c>
      <c r="V86" s="208">
        <v>0.1</v>
      </c>
      <c r="W86" s="208">
        <f>Implements[[#This Row],[Purchase Price (2020)]]/(1-Implements[[#This Row],[List Discount]])</f>
        <v>292777.77777777775</v>
      </c>
      <c r="X86" s="203">
        <v>12</v>
      </c>
      <c r="Y86" s="209">
        <v>80</v>
      </c>
      <c r="Z86" s="210" t="s">
        <v>5369</v>
      </c>
      <c r="AA86" s="203">
        <v>5</v>
      </c>
      <c r="AB86" s="208">
        <v>0.7</v>
      </c>
      <c r="AC86" s="208">
        <v>1</v>
      </c>
      <c r="AD86" s="208">
        <v>1.1100000000000001</v>
      </c>
      <c r="AE86" s="203" t="s">
        <v>5494</v>
      </c>
      <c r="AF86" s="203">
        <v>270</v>
      </c>
      <c r="AG86" s="208">
        <f>_xlfn.XLOOKUP(Implements[[#This Row],[Defaulty ASABE Category]],ASABECoefficients[ASABE Category],ASABECoefficients[RF1])</f>
        <v>0.32</v>
      </c>
      <c r="AH86" s="208">
        <f>_xlfn.XLOOKUP(Implements[[#This Row],[Defaulty ASABE Category]],ASABECoefficients[ASABE Category],ASABECoefficients[RF2])</f>
        <v>2.1</v>
      </c>
      <c r="AI86" s="208">
        <f>_xlfn.XLOOKUP(Implements[[#This Row],[Defaulty ASABE Category]],ASABECoefficients[ASABE Category],ASABECoefficients[RV1])</f>
        <v>1.2211000000000001</v>
      </c>
      <c r="AJ86" s="208">
        <f>_xlfn.XLOOKUP(Implements[[#This Row],[Defaulty ASABE Category]],ASABECoefficients[ASABE Category],ASABECoefficients[RV2])</f>
        <v>0.17369999999999999</v>
      </c>
      <c r="AK86" s="208">
        <f>_xlfn.XLOOKUP(Implements[[#This Row],[Defaulty ASABE Category]],ASABECoefficients[ASABE Category],ASABECoefficients[RV3])</f>
        <v>0</v>
      </c>
      <c r="AL86" s="208">
        <f>_xlfn.XLOOKUP(Implements[[#This Row],[Defaulty ASABE Category]],ASABECoefficients[ASABE Category],ASABECoefficients[RV4])</f>
        <v>-1.6999999999999999E-3</v>
      </c>
      <c r="AM86" s="208">
        <f>_xlfn.XLOOKUP(Implements[[#This Row],[Defaulty ASABE Category]],ASABECoefficients[ASABE Category],ASABECoefficients[RV5])</f>
        <v>0.12640000000000001</v>
      </c>
      <c r="AN86" s="208">
        <f>(Implements[[#This Row],[RV1]]-Implements[[#This Row],[RV2]]*Implements[[#This Row],[Expected Life (years)]]^0.5-Implements[[#This Row],[RV3]]*Implements[[#This Row],[Expected Use (hr/yr)]]^0.5+Implements[[#This Row],[RV4]]*'Data tables'!$AD$67)^2+0.25*Implements[[#This Row],[RV5]]</f>
        <v>0.2739371053106841</v>
      </c>
      <c r="AO86" s="208">
        <f>Implements[[#This Row],[Trade-in (%)]]*Implements[[#This Row],[List Price]]</f>
        <v>80202.696943739167</v>
      </c>
      <c r="AP86" s="208">
        <f>(Implements[[#This Row],[Purchase Price (2020)]]-Implements[[#This Row],[Trade-in ($)]])/Implements[[#This Row],[Expected Life (years)]]</f>
        <v>15274.775254688402</v>
      </c>
      <c r="AQ86" s="208">
        <f>Implements[[#This Row],[List Price]]*(Implements[[#This Row],[RF1]]*(Implements[[#This Row],[Expected Life (years)]]*Implements[[#This Row],[Expected Use (hr/yr)]]/1000)^Implements[[#This Row],[RF2]])</f>
        <v>85991.926329617141</v>
      </c>
      <c r="AR86" s="208">
        <f>Implements[[#This Row],[Accumulated Repairs ($)]]/Implements[[#This Row],[Expected Life (years)]]</f>
        <v>7165.9938608014281</v>
      </c>
      <c r="AS86" s="212">
        <f>Implements[[#This Row],[Size1]]*Implements[[#This Row],[Field Speed (m/h)]]*Implements[[#This Row],[Field Efficiency]]/'Data tables'!$AD$68</f>
        <v>22.060606060606062</v>
      </c>
      <c r="AT86" s="212">
        <f>Implements[[#This Row],[Acres/hour]]*Implements[[#This Row],[Expected Use (hr/yr)]]</f>
        <v>1764.848484848485</v>
      </c>
      <c r="AU86" s="212">
        <f>Implements[[#This Row],[Annual Depreciation]]/Implements[[#This Row],[Acres/year]]</f>
        <v>8.6550065831853917</v>
      </c>
      <c r="AV86" s="212">
        <f>(Implements[[#This Row],[Purchase Price (2020)]]+Implements[[#This Row],[Trade-in ($)]]+Implements[[#This Row],[Annual Depreciation]])/2*'Data tables'!$AD$58/Implements[[#This Row],[Acres/year]]</f>
        <v>4.0680826176332792</v>
      </c>
      <c r="AW86" s="212">
        <f>Implements[[#This Row],[Annual Repairs ($)]]/Implements[[#This Row],[Acres/year]]</f>
        <v>4.0604017411821278</v>
      </c>
      <c r="AX86" s="212">
        <f>(Implements[[#This Row],[Purchase Price (2020)]]+Implements[[#This Row],[Trade-in ($)]]+Implements[[#This Row],[Annual Depreciation]])/2*'Data tables'!$AD$70/Implements[[#This Row],[Acres/year]]</f>
        <v>0.5085103272041599</v>
      </c>
      <c r="AY86" s="201">
        <f>(Implements[[#This Row],[Purchase Price (2020)]]+Implements[[#This Row],[Trade-in ($)]]+Implements[[#This Row],[Annual Depreciation]])/2*'Data tables'!$AD$59/Implements[[#This Row],[Acres/year]]</f>
        <v>0.86446755624707194</v>
      </c>
      <c r="AZ86" s="201">
        <f>(Implements[[#This Row],[Tractor (hr/impl)]]*Implements[[#This Row],[Labor (hr/trac)]])/Implements[[#This Row],[Acres/hour]]</f>
        <v>5.0315934065934063E-2</v>
      </c>
      <c r="BA86" s="201">
        <f>'Data tables'!$AD$62*Implements[[#This Row],[Shed (ft^2)]]/Implements[[#This Row],[Acres/year]]</f>
        <v>0.14827851926168989</v>
      </c>
      <c r="BP86" s="19"/>
      <c r="BW86"/>
    </row>
    <row r="87" spans="13:75" x14ac:dyDescent="0.25">
      <c r="M87" s="201" t="s">
        <v>5255</v>
      </c>
      <c r="N87" s="214" t="s">
        <v>5371</v>
      </c>
      <c r="O87" s="203">
        <v>15</v>
      </c>
      <c r="P87" s="204" t="s">
        <v>5355</v>
      </c>
      <c r="Q87" s="205"/>
      <c r="R87" s="205"/>
      <c r="S87" s="205" t="str">
        <f>CONCATENATE(N87&amp;"; "&amp;IF(Implements[[#This Row],[Size2]]&lt;&gt;"",Implements[[#This Row],[Size2]]&amp;" "&amp;Implements[[#This Row],[Unit2]]&amp;"; ","")&amp;IF(Implements[[#This Row],[Size1]]&gt;0,ROUND(Implements[[#This Row],[Size1]],1)&amp;" "&amp;Implements[[#This Row],[Unit1]]," "))</f>
        <v>No-Till Drill ; 15 Ft</v>
      </c>
      <c r="T87" s="206" t="s">
        <v>5472</v>
      </c>
      <c r="U87" s="207">
        <v>62500</v>
      </c>
      <c r="V87" s="208">
        <v>0.1</v>
      </c>
      <c r="W87" s="208">
        <f>Implements[[#This Row],[Purchase Price (2020)]]/(1-Implements[[#This Row],[List Discount]])</f>
        <v>69444.444444444438</v>
      </c>
      <c r="X87" s="203">
        <v>12</v>
      </c>
      <c r="Y87" s="209">
        <v>80</v>
      </c>
      <c r="Z87" s="210" t="s">
        <v>5369</v>
      </c>
      <c r="AA87" s="203">
        <v>5</v>
      </c>
      <c r="AB87" s="208">
        <v>0.7</v>
      </c>
      <c r="AC87" s="208">
        <v>1</v>
      </c>
      <c r="AD87" s="208">
        <v>1.1100000000000001</v>
      </c>
      <c r="AE87" s="203" t="s">
        <v>5494</v>
      </c>
      <c r="AF87" s="203">
        <v>160</v>
      </c>
      <c r="AG87" s="208">
        <f>_xlfn.XLOOKUP(Implements[[#This Row],[Defaulty ASABE Category]],ASABECoefficients[ASABE Category],ASABECoefficients[RF1])</f>
        <v>0.32</v>
      </c>
      <c r="AH87" s="208">
        <f>_xlfn.XLOOKUP(Implements[[#This Row],[Defaulty ASABE Category]],ASABECoefficients[ASABE Category],ASABECoefficients[RF2])</f>
        <v>2.1</v>
      </c>
      <c r="AI87" s="208">
        <f>_xlfn.XLOOKUP(Implements[[#This Row],[Defaulty ASABE Category]],ASABECoefficients[ASABE Category],ASABECoefficients[RV1])</f>
        <v>1.2211000000000001</v>
      </c>
      <c r="AJ87" s="208">
        <f>_xlfn.XLOOKUP(Implements[[#This Row],[Defaulty ASABE Category]],ASABECoefficients[ASABE Category],ASABECoefficients[RV2])</f>
        <v>0.17369999999999999</v>
      </c>
      <c r="AK87" s="208">
        <f>_xlfn.XLOOKUP(Implements[[#This Row],[Defaulty ASABE Category]],ASABECoefficients[ASABE Category],ASABECoefficients[RV3])</f>
        <v>0</v>
      </c>
      <c r="AL87" s="208">
        <f>_xlfn.XLOOKUP(Implements[[#This Row],[Defaulty ASABE Category]],ASABECoefficients[ASABE Category],ASABECoefficients[RV4])</f>
        <v>-1.6999999999999999E-3</v>
      </c>
      <c r="AM87" s="208">
        <f>_xlfn.XLOOKUP(Implements[[#This Row],[Defaulty ASABE Category]],ASABECoefficients[ASABE Category],ASABECoefficients[RV5])</f>
        <v>0.12640000000000001</v>
      </c>
      <c r="AN87" s="208">
        <f>(Implements[[#This Row],[RV1]]-Implements[[#This Row],[RV2]]*Implements[[#This Row],[Expected Life (years)]]^0.5-Implements[[#This Row],[RV3]]*Implements[[#This Row],[Expected Use (hr/yr)]]^0.5+Implements[[#This Row],[RV4]]*'Data tables'!$AD$67)^2+0.25*Implements[[#This Row],[RV5]]</f>
        <v>0.2739371053106841</v>
      </c>
      <c r="AO87" s="208">
        <f>Implements[[#This Row],[Trade-in (%)]]*Implements[[#This Row],[List Price]]</f>
        <v>19023.410091019727</v>
      </c>
      <c r="AP87" s="208">
        <f>(Implements[[#This Row],[Purchase Price (2020)]]-Implements[[#This Row],[Trade-in ($)]])/Implements[[#This Row],[Expected Life (years)]]</f>
        <v>3623.0491590816891</v>
      </c>
      <c r="AQ87" s="208">
        <f>Implements[[#This Row],[List Price]]*(Implements[[#This Row],[RF1]]*(Implements[[#This Row],[Expected Life (years)]]*Implements[[#This Row],[Expected Use (hr/yr)]]/1000)^Implements[[#This Row],[RF2]])</f>
        <v>20396.566966227976</v>
      </c>
      <c r="AR87" s="208">
        <f>Implements[[#This Row],[Accumulated Repairs ($)]]/Implements[[#This Row],[Expected Life (years)]]</f>
        <v>1699.7139138523314</v>
      </c>
      <c r="AS87" s="212">
        <f>Implements[[#This Row],[Size1]]*Implements[[#This Row],[Field Speed (m/h)]]*Implements[[#This Row],[Field Efficiency]]/'Data tables'!$AD$68</f>
        <v>6.3636363636363633</v>
      </c>
      <c r="AT87" s="212">
        <f>Implements[[#This Row],[Acres/hour]]*Implements[[#This Row],[Expected Use (hr/yr)]]</f>
        <v>509.09090909090907</v>
      </c>
      <c r="AU87" s="212">
        <f>Implements[[#This Row],[Annual Depreciation]]/Implements[[#This Row],[Acres/year]]</f>
        <v>7.1167037053390327</v>
      </c>
      <c r="AV87" s="212">
        <f>(Implements[[#This Row],[Purchase Price (2020)]]+Implements[[#This Row],[Trade-in ($)]]+Implements[[#This Row],[Annual Depreciation]])/2*'Data tables'!$AD$58/Implements[[#This Row],[Acres/year]]</f>
        <v>3.3450394705396986</v>
      </c>
      <c r="AW87" s="212">
        <f>Implements[[#This Row],[Annual Repairs ($)]]/Implements[[#This Row],[Acres/year]]</f>
        <v>3.3387237593527939</v>
      </c>
      <c r="AX87" s="212">
        <f>(Implements[[#This Row],[Purchase Price (2020)]]+Implements[[#This Row],[Trade-in ($)]]+Implements[[#This Row],[Annual Depreciation]])/2*'Data tables'!$AD$70/Implements[[#This Row],[Acres/year]]</f>
        <v>0.41812993381746233</v>
      </c>
      <c r="AY87" s="201">
        <f>(Implements[[#This Row],[Purchase Price (2020)]]+Implements[[#This Row],[Trade-in ($)]]+Implements[[#This Row],[Annual Depreciation]])/2*'Data tables'!$AD$59/Implements[[#This Row],[Acres/year]]</f>
        <v>0.71082088748968597</v>
      </c>
      <c r="AZ87" s="201">
        <f>(Implements[[#This Row],[Tractor (hr/impl)]]*Implements[[#This Row],[Labor (hr/trac)]])/Implements[[#This Row],[Acres/hour]]</f>
        <v>0.17442857142857146</v>
      </c>
      <c r="BA87" s="201">
        <f>'Data tables'!$AD$62*Implements[[#This Row],[Shed (ft^2)]]/Implements[[#This Row],[Acres/year]]</f>
        <v>0.3046116741375951</v>
      </c>
      <c r="BP87" s="19"/>
      <c r="BW87"/>
    </row>
    <row r="88" spans="13:75" x14ac:dyDescent="0.25">
      <c r="M88" s="201" t="s">
        <v>5426</v>
      </c>
      <c r="N88" s="202" t="s">
        <v>5372</v>
      </c>
      <c r="O88" s="203">
        <v>30</v>
      </c>
      <c r="P88" s="204" t="s">
        <v>5355</v>
      </c>
      <c r="Q88" s="205">
        <v>12</v>
      </c>
      <c r="R88" s="205" t="s">
        <v>5367</v>
      </c>
      <c r="S88" s="205" t="str">
        <f>CONCATENATE(N88&amp;"; "&amp;IF(Implements[[#This Row],[Size2]]&lt;&gt;"",Implements[[#This Row],[Size2]]&amp;" "&amp;Implements[[#This Row],[Unit2]]&amp;"; ","")&amp;IF(Implements[[#This Row],[Size1]]&gt;0,ROUND(Implements[[#This Row],[Size1]],1)&amp;" "&amp;Implements[[#This Row],[Unit1]]," "))</f>
        <v>Row Cultivator; 12 Row; 30 Ft</v>
      </c>
      <c r="T88" s="206" t="s">
        <v>5476</v>
      </c>
      <c r="U88" s="207">
        <v>44500</v>
      </c>
      <c r="V88" s="208">
        <v>0.1</v>
      </c>
      <c r="W88" s="208">
        <f>Implements[[#This Row],[Purchase Price (2020)]]/(1-Implements[[#This Row],[List Discount]])</f>
        <v>49444.444444444445</v>
      </c>
      <c r="X88" s="203">
        <v>12</v>
      </c>
      <c r="Y88" s="209">
        <v>100</v>
      </c>
      <c r="Z88" s="210" t="s">
        <v>5373</v>
      </c>
      <c r="AA88" s="203">
        <v>5</v>
      </c>
      <c r="AB88" s="208">
        <v>0.85</v>
      </c>
      <c r="AC88" s="208">
        <v>1</v>
      </c>
      <c r="AD88" s="208">
        <v>1.04</v>
      </c>
      <c r="AE88" s="203" t="s">
        <v>5495</v>
      </c>
      <c r="AF88" s="203">
        <v>140</v>
      </c>
      <c r="AG88" s="208">
        <f>_xlfn.XLOOKUP(Implements[[#This Row],[Defaulty ASABE Category]],ASABECoefficients[ASABE Category],ASABECoefficients[RF1])</f>
        <v>0.17</v>
      </c>
      <c r="AH88" s="208">
        <f>_xlfn.XLOOKUP(Implements[[#This Row],[Defaulty ASABE Category]],ASABECoefficients[ASABE Category],ASABECoefficients[RF2])</f>
        <v>2.2000000000000002</v>
      </c>
      <c r="AI88" s="208">
        <f>_xlfn.XLOOKUP(Implements[[#This Row],[Defaulty ASABE Category]],ASABECoefficients[ASABE Category],ASABECoefficients[RV1])</f>
        <v>0.69269999999999998</v>
      </c>
      <c r="AJ88" s="208">
        <f>_xlfn.XLOOKUP(Implements[[#This Row],[Defaulty ASABE Category]],ASABECoefficients[ASABE Category],ASABECoefficients[RV2])</f>
        <v>7.0300000000000001E-2</v>
      </c>
      <c r="AK88" s="208">
        <f>_xlfn.XLOOKUP(Implements[[#This Row],[Defaulty ASABE Category]],ASABECoefficients[ASABE Category],ASABECoefficients[RV3])</f>
        <v>0</v>
      </c>
      <c r="AL88" s="208">
        <f>_xlfn.XLOOKUP(Implements[[#This Row],[Defaulty ASABE Category]],ASABECoefficients[ASABE Category],ASABECoefficients[RV4])</f>
        <v>1.1999999999999999E-3</v>
      </c>
      <c r="AM88" s="208">
        <f>_xlfn.XLOOKUP(Implements[[#This Row],[Defaulty ASABE Category]],ASABECoefficients[ASABE Category],ASABECoefficients[RV5])</f>
        <v>0.12230000000000001</v>
      </c>
      <c r="AN88" s="208">
        <f>(Implements[[#This Row],[RV1]]-Implements[[#This Row],[RV2]]*Implements[[#This Row],[Expected Life (years)]]^0.5-Implements[[#This Row],[RV3]]*Implements[[#This Row],[Expected Use (hr/yr)]]^0.5+Implements[[#This Row],[RV4]]*'Data tables'!$AD$67)^2+0.25*Implements[[#This Row],[RV5]]</f>
        <v>0.32098498545129495</v>
      </c>
      <c r="AO88" s="208">
        <f>Implements[[#This Row],[Trade-in (%)]]*Implements[[#This Row],[List Price]]</f>
        <v>15870.924280647361</v>
      </c>
      <c r="AP88" s="208">
        <f>(Implements[[#This Row],[Purchase Price (2020)]]-Implements[[#This Row],[Trade-in ($)]])/Implements[[#This Row],[Expected Life (years)]]</f>
        <v>2385.7563099460531</v>
      </c>
      <c r="AQ88" s="208">
        <f>Implements[[#This Row],[List Price]]*(Implements[[#This Row],[RF1]]*(Implements[[#This Row],[Expected Life (years)]]*Implements[[#This Row],[Expected Use (hr/yr)]]/1000)^Implements[[#This Row],[RF2]])</f>
        <v>12553.509750130788</v>
      </c>
      <c r="AR88" s="208">
        <f>Implements[[#This Row],[Accumulated Repairs ($)]]/Implements[[#This Row],[Expected Life (years)]]</f>
        <v>1046.1258125108991</v>
      </c>
      <c r="AS88" s="212">
        <f>Implements[[#This Row],[Size1]]*Implements[[#This Row],[Field Speed (m/h)]]*Implements[[#This Row],[Field Efficiency]]/'Data tables'!$AD$68</f>
        <v>15.454545454545455</v>
      </c>
      <c r="AT88" s="212">
        <f>Implements[[#This Row],[Acres/hour]]*Implements[[#This Row],[Expected Use (hr/yr)]]</f>
        <v>1545.4545454545455</v>
      </c>
      <c r="AU88" s="212">
        <f>Implements[[#This Row],[Annual Depreciation]]/Implements[[#This Row],[Acres/year]]</f>
        <v>1.5437246711415638</v>
      </c>
      <c r="AV88" s="212">
        <f>(Implements[[#This Row],[Purchase Price (2020)]]+Implements[[#This Row],[Trade-in ($)]]+Implements[[#This Row],[Annual Depreciation]])/2*'Data tables'!$AD$58/Implements[[#This Row],[Acres/year]]</f>
        <v>0.81214527823120897</v>
      </c>
      <c r="AW88" s="212">
        <f>Implements[[#This Row],[Annual Repairs ($)]]/Implements[[#This Row],[Acres/year]]</f>
        <v>0.67690493750705238</v>
      </c>
      <c r="AX88" s="212">
        <f>(Implements[[#This Row],[Purchase Price (2020)]]+Implements[[#This Row],[Trade-in ($)]]+Implements[[#This Row],[Annual Depreciation]])/2*'Data tables'!$AD$70/Implements[[#This Row],[Acres/year]]</f>
        <v>0.10151815977890112</v>
      </c>
      <c r="AY88" s="201">
        <f>(Implements[[#This Row],[Purchase Price (2020)]]+Implements[[#This Row],[Trade-in ($)]]+Implements[[#This Row],[Annual Depreciation]])/2*'Data tables'!$AD$59/Implements[[#This Row],[Acres/year]]</f>
        <v>0.17258087162413191</v>
      </c>
      <c r="AZ88" s="201">
        <f>(Implements[[#This Row],[Tractor (hr/impl)]]*Implements[[#This Row],[Labor (hr/trac)]])/Implements[[#This Row],[Acres/hour]]</f>
        <v>6.7294117647058824E-2</v>
      </c>
      <c r="BA88" s="201">
        <f>'Data tables'!$AD$62*Implements[[#This Row],[Shed (ft^2)]]/Implements[[#This Row],[Acres/year]]</f>
        <v>8.7799835486718575E-2</v>
      </c>
      <c r="BP88" s="19"/>
      <c r="BW88"/>
    </row>
    <row r="89" spans="13:75" x14ac:dyDescent="0.25">
      <c r="M89" s="201" t="s">
        <v>5426</v>
      </c>
      <c r="N89" s="202" t="s">
        <v>5374</v>
      </c>
      <c r="O89" s="203">
        <v>90</v>
      </c>
      <c r="P89" s="204" t="s">
        <v>5355</v>
      </c>
      <c r="Q89" s="205"/>
      <c r="R89" s="205"/>
      <c r="S89" s="205" t="str">
        <f>CONCATENATE(N89&amp;"; "&amp;IF(Implements[[#This Row],[Size2]]&lt;&gt;"",Implements[[#This Row],[Size2]]&amp;" "&amp;Implements[[#This Row],[Unit2]]&amp;"; ","")&amp;IF(Implements[[#This Row],[Size1]]&gt;0,ROUND(Implements[[#This Row],[Size1]],1)&amp;" "&amp;Implements[[#This Row],[Unit1]]," "))</f>
        <v>Boom Sprayer, Self-Propelled; 90 Ft</v>
      </c>
      <c r="T89" s="206" t="s">
        <v>5491</v>
      </c>
      <c r="U89" s="207">
        <v>300500</v>
      </c>
      <c r="V89" s="208">
        <v>0.1</v>
      </c>
      <c r="W89" s="208">
        <f>Implements[[#This Row],[Purchase Price (2020)]]/(1-Implements[[#This Row],[List Discount]])</f>
        <v>333888.88888888888</v>
      </c>
      <c r="X89" s="203">
        <v>12</v>
      </c>
      <c r="Y89" s="209">
        <v>100</v>
      </c>
      <c r="Z89" s="210" t="s">
        <v>5438</v>
      </c>
      <c r="AA89" s="203">
        <v>7</v>
      </c>
      <c r="AB89" s="208">
        <v>0.65</v>
      </c>
      <c r="AC89" s="208">
        <v>1</v>
      </c>
      <c r="AD89" s="208">
        <v>1.25</v>
      </c>
      <c r="AE89" s="203" t="s">
        <v>5494</v>
      </c>
      <c r="AF89" s="203">
        <v>200</v>
      </c>
      <c r="AG89" s="208">
        <f>_xlfn.XLOOKUP(Implements[[#This Row],[Defaulty ASABE Category]],ASABECoefficients[ASABE Category],ASABECoefficients[RF1])</f>
        <v>0.1</v>
      </c>
      <c r="AH89" s="208">
        <f>_xlfn.XLOOKUP(Implements[[#This Row],[Defaulty ASABE Category]],ASABECoefficients[ASABE Category],ASABECoefficients[RF2])</f>
        <v>1.3</v>
      </c>
      <c r="AI89" s="208">
        <f>_xlfn.XLOOKUP(Implements[[#This Row],[Defaulty ASABE Category]],ASABECoefficients[ASABE Category],ASABECoefficients[RV1])</f>
        <v>0.85540000000000005</v>
      </c>
      <c r="AJ89" s="208">
        <f>_xlfn.XLOOKUP(Implements[[#This Row],[Defaulty ASABE Category]],ASABECoefficients[ASABE Category],ASABECoefficients[RV2])</f>
        <v>0.1177</v>
      </c>
      <c r="AK89" s="208">
        <f>_xlfn.XLOOKUP(Implements[[#This Row],[Defaulty ASABE Category]],ASABECoefficients[ASABE Category],ASABECoefficients[RV3])</f>
        <v>0</v>
      </c>
      <c r="AL89" s="208">
        <f>_xlfn.XLOOKUP(Implements[[#This Row],[Defaulty ASABE Category]],ASABECoefficients[ASABE Category],ASABECoefficients[RV4])</f>
        <v>2.8999999999999998E-3</v>
      </c>
      <c r="AM89" s="208">
        <f>_xlfn.XLOOKUP(Implements[[#This Row],[Defaulty ASABE Category]],ASABECoefficients[ASABE Category],ASABECoefficients[RV5])</f>
        <v>0.12740000000000001</v>
      </c>
      <c r="AN89" s="208">
        <f>(Implements[[#This Row],[RV1]]-Implements[[#This Row],[RV2]]*Implements[[#This Row],[Expected Life (years)]]^0.5-Implements[[#This Row],[RV3]]*Implements[[#This Row],[Expected Use (hr/yr)]]^0.5+Implements[[#This Row],[RV4]]*'Data tables'!$AD$67)^2+0.25*Implements[[#This Row],[RV5]]</f>
        <v>0.47341911884680293</v>
      </c>
      <c r="AO89" s="208">
        <f>Implements[[#This Row],[Trade-in (%)]]*Implements[[#This Row],[List Price]]</f>
        <v>158069.38357051587</v>
      </c>
      <c r="AP89" s="208">
        <f>(Implements[[#This Row],[Purchase Price (2020)]]-Implements[[#This Row],[Trade-in ($)]])/Implements[[#This Row],[Expected Life (years)]]</f>
        <v>11869.218035790343</v>
      </c>
      <c r="AQ89" s="208">
        <f>Implements[[#This Row],[List Price]]*(Implements[[#This Row],[RF1]]*(Implements[[#This Row],[Expected Life (years)]]*Implements[[#This Row],[Expected Use (hr/yr)]]/1000)^Implements[[#This Row],[RF2]])</f>
        <v>42319.21340213294</v>
      </c>
      <c r="AR89" s="208">
        <f>Implements[[#This Row],[Accumulated Repairs ($)]]/Implements[[#This Row],[Expected Life (years)]]</f>
        <v>3526.6011168444115</v>
      </c>
      <c r="AS89" s="212">
        <f>Implements[[#This Row],[Size1]]*Implements[[#This Row],[Field Speed (m/h)]]*Implements[[#This Row],[Field Efficiency]]/'Data tables'!$AD$68</f>
        <v>49.636363636363633</v>
      </c>
      <c r="AT89" s="212">
        <f>Implements[[#This Row],[Acres/hour]]*Implements[[#This Row],[Expected Use (hr/yr)]]</f>
        <v>4963.6363636363631</v>
      </c>
      <c r="AU89" s="212">
        <f>Implements[[#This Row],[Annual Depreciation]]/Implements[[#This Row],[Acres/year]]</f>
        <v>2.3912344028149048</v>
      </c>
      <c r="AV89" s="212">
        <f>(Implements[[#This Row],[Purchase Price (2020)]]+Implements[[#This Row],[Trade-in ($)]]+Implements[[#This Row],[Annual Depreciation]])/2*'Data tables'!$AD$58/Implements[[#This Row],[Acres/year]]</f>
        <v>1.8955401529924432</v>
      </c>
      <c r="AW89" s="212">
        <f>Implements[[#This Row],[Annual Repairs ($)]]/Implements[[#This Row],[Acres/year]]</f>
        <v>0.71048740449246395</v>
      </c>
      <c r="AX89" s="212">
        <f>(Implements[[#This Row],[Purchase Price (2020)]]+Implements[[#This Row],[Trade-in ($)]]+Implements[[#This Row],[Annual Depreciation]])/2*'Data tables'!$AD$70/Implements[[#This Row],[Acres/year]]</f>
        <v>0.2369425191240554</v>
      </c>
      <c r="AY89" s="201">
        <f>(Implements[[#This Row],[Purchase Price (2020)]]+Implements[[#This Row],[Trade-in ($)]]+Implements[[#This Row],[Annual Depreciation]])/2*'Data tables'!$AD$59/Implements[[#This Row],[Acres/year]]</f>
        <v>0.40280228251089417</v>
      </c>
      <c r="AZ89" s="201">
        <f>(Implements[[#This Row],[Tractor (hr/impl)]]*Implements[[#This Row],[Labor (hr/trac)]])/Implements[[#This Row],[Acres/hour]]</f>
        <v>2.5183150183150184E-2</v>
      </c>
      <c r="BA89" s="201">
        <f>'Data tables'!$AD$62*Implements[[#This Row],[Shed (ft^2)]]/Implements[[#This Row],[Acres/year]]</f>
        <v>3.9052778735589114E-2</v>
      </c>
      <c r="BP89" s="19"/>
      <c r="BW89"/>
    </row>
    <row r="90" spans="13:75" x14ac:dyDescent="0.25">
      <c r="M90" s="201" t="s">
        <v>5426</v>
      </c>
      <c r="N90" s="214" t="s">
        <v>5375</v>
      </c>
      <c r="O90" s="203">
        <v>90</v>
      </c>
      <c r="P90" s="204" t="s">
        <v>5355</v>
      </c>
      <c r="Q90" s="205"/>
      <c r="R90" s="205"/>
      <c r="S90" s="205" t="str">
        <f>CONCATENATE(N90&amp;"; "&amp;IF(Implements[[#This Row],[Size2]]&lt;&gt;"",Implements[[#This Row],[Size2]]&amp;" "&amp;Implements[[#This Row],[Unit2]]&amp;"; ","")&amp;IF(Implements[[#This Row],[Size1]]&gt;0,ROUND(Implements[[#This Row],[Size1]],1)&amp;" "&amp;Implements[[#This Row],[Unit1]]," "))</f>
        <v>Boom Sprayer, Pull-Type; 90 Ft</v>
      </c>
      <c r="T90" s="206" t="s">
        <v>5472</v>
      </c>
      <c r="U90" s="207">
        <v>55000</v>
      </c>
      <c r="V90" s="208">
        <v>0.1</v>
      </c>
      <c r="W90" s="208">
        <f>Implements[[#This Row],[Purchase Price (2020)]]/(1-Implements[[#This Row],[List Discount]])</f>
        <v>61111.111111111109</v>
      </c>
      <c r="X90" s="203">
        <v>12</v>
      </c>
      <c r="Y90" s="209">
        <v>25</v>
      </c>
      <c r="Z90" s="210" t="s">
        <v>5376</v>
      </c>
      <c r="AA90" s="203">
        <v>6.5</v>
      </c>
      <c r="AB90" s="208">
        <v>0.65</v>
      </c>
      <c r="AC90" s="208">
        <v>1</v>
      </c>
      <c r="AD90" s="208">
        <v>1.25</v>
      </c>
      <c r="AE90" s="203" t="s">
        <v>5494</v>
      </c>
      <c r="AF90" s="203">
        <v>400</v>
      </c>
      <c r="AG90" s="208">
        <f>_xlfn.XLOOKUP(Implements[[#This Row],[Defaulty ASABE Category]],ASABECoefficients[ASABE Category],ASABECoefficients[RF1])</f>
        <v>0.41</v>
      </c>
      <c r="AH90" s="208">
        <f>_xlfn.XLOOKUP(Implements[[#This Row],[Defaulty ASABE Category]],ASABECoefficients[ASABE Category],ASABECoefficients[RF2])</f>
        <v>1.3</v>
      </c>
      <c r="AI90" s="208">
        <f>_xlfn.XLOOKUP(Implements[[#This Row],[Defaulty ASABE Category]],ASABECoefficients[ASABE Category],ASABECoefficients[RV1])</f>
        <v>0.85540000000000005</v>
      </c>
      <c r="AJ90" s="208">
        <f>_xlfn.XLOOKUP(Implements[[#This Row],[Defaulty ASABE Category]],ASABECoefficients[ASABE Category],ASABECoefficients[RV2])</f>
        <v>0.1177</v>
      </c>
      <c r="AK90" s="208">
        <f>_xlfn.XLOOKUP(Implements[[#This Row],[Defaulty ASABE Category]],ASABECoefficients[ASABE Category],ASABECoefficients[RV3])</f>
        <v>0</v>
      </c>
      <c r="AL90" s="208">
        <f>_xlfn.XLOOKUP(Implements[[#This Row],[Defaulty ASABE Category]],ASABECoefficients[ASABE Category],ASABECoefficients[RV4])</f>
        <v>2.8999999999999998E-3</v>
      </c>
      <c r="AM90" s="208">
        <f>_xlfn.XLOOKUP(Implements[[#This Row],[Defaulty ASABE Category]],ASABECoefficients[ASABE Category],ASABECoefficients[RV5])</f>
        <v>0.12740000000000001</v>
      </c>
      <c r="AN90" s="208">
        <f>(Implements[[#This Row],[RV1]]-Implements[[#This Row],[RV2]]*Implements[[#This Row],[Expected Life (years)]]^0.5-Implements[[#This Row],[RV3]]*Implements[[#This Row],[Expected Use (hr/yr)]]^0.5+Implements[[#This Row],[RV4]]*'Data tables'!$AD$67)^2+0.25*Implements[[#This Row],[RV5]]</f>
        <v>0.47341911884680293</v>
      </c>
      <c r="AO90" s="208">
        <f>Implements[[#This Row],[Trade-in (%)]]*Implements[[#This Row],[List Price]]</f>
        <v>28931.16837397129</v>
      </c>
      <c r="AP90" s="208">
        <f>(Implements[[#This Row],[Purchase Price (2020)]]-Implements[[#This Row],[Trade-in ($)]])/Implements[[#This Row],[Expected Life (years)]]</f>
        <v>2172.4026355023925</v>
      </c>
      <c r="AQ90" s="208">
        <f>Implements[[#This Row],[List Price]]*(Implements[[#This Row],[RF1]]*(Implements[[#This Row],[Expected Life (years)]]*Implements[[#This Row],[Expected Use (hr/yr)]]/1000)^Implements[[#This Row],[RF2]])</f>
        <v>5237.9538528852154</v>
      </c>
      <c r="AR90" s="208">
        <f>Implements[[#This Row],[Accumulated Repairs ($)]]/Implements[[#This Row],[Expected Life (years)]]</f>
        <v>436.4961544071013</v>
      </c>
      <c r="AS90" s="212">
        <f>Implements[[#This Row],[Size1]]*Implements[[#This Row],[Field Speed (m/h)]]*Implements[[#This Row],[Field Efficiency]]/'Data tables'!$AD$68</f>
        <v>46.090909090909093</v>
      </c>
      <c r="AT90" s="212">
        <f>Implements[[#This Row],[Acres/hour]]*Implements[[#This Row],[Expected Use (hr/yr)]]</f>
        <v>1152.2727272727273</v>
      </c>
      <c r="AU90" s="212">
        <f>Implements[[#This Row],[Annual Depreciation]]/Implements[[#This Row],[Acres/year]]</f>
        <v>1.8853198414616426</v>
      </c>
      <c r="AV90" s="212">
        <f>(Implements[[#This Row],[Purchase Price (2020)]]+Implements[[#This Row],[Trade-in ($)]]+Implements[[#This Row],[Annual Depreciation]])/2*'Data tables'!$AD$58/Implements[[#This Row],[Acres/year]]</f>
        <v>1.4944998518409633</v>
      </c>
      <c r="AW90" s="212">
        <f>Implements[[#This Row],[Annual Repairs ($)]]/Implements[[#This Row],[Acres/year]]</f>
        <v>0.37881323064916089</v>
      </c>
      <c r="AX90" s="212">
        <f>(Implements[[#This Row],[Purchase Price (2020)]]+Implements[[#This Row],[Trade-in ($)]]+Implements[[#This Row],[Annual Depreciation]])/2*'Data tables'!$AD$70/Implements[[#This Row],[Acres/year]]</f>
        <v>0.18681248148012042</v>
      </c>
      <c r="AY90" s="201">
        <f>(Implements[[#This Row],[Purchase Price (2020)]]+Implements[[#This Row],[Trade-in ($)]]+Implements[[#This Row],[Annual Depreciation]])/2*'Data tables'!$AD$59/Implements[[#This Row],[Acres/year]]</f>
        <v>0.31758121851620474</v>
      </c>
      <c r="AZ90" s="201">
        <f>(Implements[[#This Row],[Tractor (hr/impl)]]*Implements[[#This Row],[Labor (hr/trac)]])/Implements[[#This Row],[Acres/hour]]</f>
        <v>2.7120315581854043E-2</v>
      </c>
      <c r="BA90" s="201">
        <f>'Data tables'!$AD$62*Implements[[#This Row],[Shed (ft^2)]]/Implements[[#This Row],[Acres/year]]</f>
        <v>0.33645470910661385</v>
      </c>
      <c r="BP90" s="19"/>
      <c r="BW90"/>
    </row>
    <row r="91" spans="13:75" x14ac:dyDescent="0.25">
      <c r="M91" s="201" t="s">
        <v>5426</v>
      </c>
      <c r="N91" s="214" t="s">
        <v>5377</v>
      </c>
      <c r="O91" s="203">
        <v>20</v>
      </c>
      <c r="P91" s="204" t="s">
        <v>5355</v>
      </c>
      <c r="Q91" s="205"/>
      <c r="R91" s="205"/>
      <c r="S91" s="205" t="str">
        <f>CONCATENATE(N91&amp;"; "&amp;IF(Implements[[#This Row],[Size2]]&lt;&gt;"",Implements[[#This Row],[Size2]]&amp;" "&amp;Implements[[#This Row],[Unit2]]&amp;"; ","")&amp;IF(Implements[[#This Row],[Size1]]&gt;0,ROUND(Implements[[#This Row],[Size1]],1)&amp;" "&amp;Implements[[#This Row],[Unit1]]," "))</f>
        <v>Stalk Shredder; 20 Ft</v>
      </c>
      <c r="T91" s="206" t="s">
        <v>5472</v>
      </c>
      <c r="U91" s="207">
        <v>31000</v>
      </c>
      <c r="V91" s="208">
        <v>0.1</v>
      </c>
      <c r="W91" s="208">
        <f>Implements[[#This Row],[Purchase Price (2020)]]/(1-Implements[[#This Row],[List Discount]])</f>
        <v>34444.444444444445</v>
      </c>
      <c r="X91" s="203">
        <v>12</v>
      </c>
      <c r="Y91" s="209">
        <v>100</v>
      </c>
      <c r="Z91" s="210" t="s">
        <v>5378</v>
      </c>
      <c r="AA91" s="203">
        <v>4</v>
      </c>
      <c r="AB91" s="208">
        <v>0.8</v>
      </c>
      <c r="AC91" s="208">
        <v>1</v>
      </c>
      <c r="AD91" s="208">
        <v>1.1000000000000001</v>
      </c>
      <c r="AE91" s="203" t="s">
        <v>5495</v>
      </c>
      <c r="AF91" s="203">
        <v>231</v>
      </c>
      <c r="AG91" s="208">
        <f>_xlfn.XLOOKUP(Implements[[#This Row],[Defaulty ASABE Category]],ASABECoefficients[ASABE Category],ASABECoefficients[RF1])</f>
        <v>0.28000000000000003</v>
      </c>
      <c r="AH91" s="208">
        <f>_xlfn.XLOOKUP(Implements[[#This Row],[Defaulty ASABE Category]],ASABECoefficients[ASABE Category],ASABECoefficients[RF2])</f>
        <v>1.4</v>
      </c>
      <c r="AI91" s="208">
        <f>_xlfn.XLOOKUP(Implements[[#This Row],[Defaulty ASABE Category]],ASABECoefficients[ASABE Category],ASABECoefficients[RV1])</f>
        <v>0.71940000000000004</v>
      </c>
      <c r="AJ91" s="208">
        <f>_xlfn.XLOOKUP(Implements[[#This Row],[Defaulty ASABE Category]],ASABECoefficients[ASABE Category],ASABECoefficients[RV2])</f>
        <v>0.11020000000000001</v>
      </c>
      <c r="AK91" s="208">
        <f>_xlfn.XLOOKUP(Implements[[#This Row],[Defaulty ASABE Category]],ASABECoefficients[ASABE Category],ASABECoefficients[RV3])</f>
        <v>0</v>
      </c>
      <c r="AL91" s="208">
        <f>_xlfn.XLOOKUP(Implements[[#This Row],[Defaulty ASABE Category]],ASABECoefficients[ASABE Category],ASABECoefficients[RV4])</f>
        <v>3.0000000000000001E-3</v>
      </c>
      <c r="AM91" s="208">
        <f>_xlfn.XLOOKUP(Implements[[#This Row],[Defaulty ASABE Category]],ASABECoefficients[ASABE Category],ASABECoefficients[RV5])</f>
        <v>0.12130000000000001</v>
      </c>
      <c r="AN91" s="208">
        <f>(Implements[[#This Row],[RV1]]-Implements[[#This Row],[RV2]]*Implements[[#This Row],[Expected Life (years)]]^0.5-Implements[[#This Row],[RV3]]*Implements[[#This Row],[Expected Use (hr/yr)]]^0.5+Implements[[#This Row],[RV4]]*'Data tables'!$AD$67)^2+0.25*Implements[[#This Row],[RV5]]</f>
        <v>0.34612896594255843</v>
      </c>
      <c r="AO91" s="208">
        <f>Implements[[#This Row],[Trade-in (%)]]*Implements[[#This Row],[List Price]]</f>
        <v>11922.219938021457</v>
      </c>
      <c r="AP91" s="208">
        <f>(Implements[[#This Row],[Purchase Price (2020)]]-Implements[[#This Row],[Trade-in ($)]])/Implements[[#This Row],[Expected Life (years)]]</f>
        <v>1589.8150051648784</v>
      </c>
      <c r="AQ91" s="208">
        <f>Implements[[#This Row],[List Price]]*(Implements[[#This Row],[RF1]]*(Implements[[#This Row],[Expected Life (years)]]*Implements[[#This Row],[Expected Use (hr/yr)]]/1000)^Implements[[#This Row],[RF2]])</f>
        <v>12448.899480232945</v>
      </c>
      <c r="AR91" s="208">
        <f>Implements[[#This Row],[Accumulated Repairs ($)]]/Implements[[#This Row],[Expected Life (years)]]</f>
        <v>1037.4082900194121</v>
      </c>
      <c r="AS91" s="212">
        <f>Implements[[#This Row],[Size1]]*Implements[[#This Row],[Field Speed (m/h)]]*Implements[[#This Row],[Field Efficiency]]/'Data tables'!$AD$68</f>
        <v>7.7575757575757578</v>
      </c>
      <c r="AT91" s="212">
        <f>Implements[[#This Row],[Acres/hour]]*Implements[[#This Row],[Expected Use (hr/yr)]]</f>
        <v>775.75757575757575</v>
      </c>
      <c r="AU91" s="212">
        <f>Implements[[#This Row],[Annual Depreciation]]/Implements[[#This Row],[Acres/year]]</f>
        <v>2.0493709050953512</v>
      </c>
      <c r="AV91" s="212">
        <f>(Implements[[#This Row],[Purchase Price (2020)]]+Implements[[#This Row],[Trade-in ($)]]+Implements[[#This Row],[Annual Depreciation]])/2*'Data tables'!$AD$58/Implements[[#This Row],[Acres/year]]</f>
        <v>1.1475759008790227</v>
      </c>
      <c r="AW91" s="212">
        <f>Implements[[#This Row],[Annual Repairs ($)]]/Implements[[#This Row],[Acres/year]]</f>
        <v>1.3372841238531483</v>
      </c>
      <c r="AX91" s="212">
        <f>(Implements[[#This Row],[Purchase Price (2020)]]+Implements[[#This Row],[Trade-in ($)]]+Implements[[#This Row],[Annual Depreciation]])/2*'Data tables'!$AD$70/Implements[[#This Row],[Acres/year]]</f>
        <v>0.14344698760987784</v>
      </c>
      <c r="AY91" s="201">
        <f>(Implements[[#This Row],[Purchase Price (2020)]]+Implements[[#This Row],[Trade-in ($)]]+Implements[[#This Row],[Annual Depreciation]])/2*'Data tables'!$AD$59/Implements[[#This Row],[Acres/year]]</f>
        <v>0.24385987893679234</v>
      </c>
      <c r="AZ91" s="201">
        <f>(Implements[[#This Row],[Tractor (hr/impl)]]*Implements[[#This Row],[Labor (hr/trac)]])/Implements[[#This Row],[Acres/hour]]</f>
        <v>0.14179687500000002</v>
      </c>
      <c r="BA91" s="201">
        <f>'Data tables'!$AD$62*Implements[[#This Row],[Shed (ft^2)]]/Implements[[#This Row],[Acres/year]]</f>
        <v>0.28860766235185031</v>
      </c>
      <c r="BP91" s="19"/>
      <c r="BW91"/>
    </row>
    <row r="92" spans="13:75" x14ac:dyDescent="0.25">
      <c r="M92" s="201" t="s">
        <v>5379</v>
      </c>
      <c r="N92" s="214" t="s">
        <v>5380</v>
      </c>
      <c r="O92" s="203">
        <v>12</v>
      </c>
      <c r="P92" s="204" t="s">
        <v>5355</v>
      </c>
      <c r="Q92" s="205"/>
      <c r="R92" s="205"/>
      <c r="S92" s="205" t="str">
        <f>CONCATENATE(N92&amp;"; "&amp;IF(Implements[[#This Row],[Size2]]&lt;&gt;"",Implements[[#This Row],[Size2]]&amp;" "&amp;Implements[[#This Row],[Unit2]]&amp;"; ","")&amp;IF(Implements[[#This Row],[Size1]]&gt;0,ROUND(Implements[[#This Row],[Size1]],1)&amp;" "&amp;Implements[[#This Row],[Unit1]]," "))</f>
        <v>Rotary Mower/Conditioner; 12 Ft</v>
      </c>
      <c r="T92" s="206" t="s">
        <v>5481</v>
      </c>
      <c r="U92" s="207">
        <v>37500</v>
      </c>
      <c r="V92" s="208">
        <v>0.1</v>
      </c>
      <c r="W92" s="208">
        <f>Implements[[#This Row],[Purchase Price (2020)]]/(1-Implements[[#This Row],[List Discount]])</f>
        <v>41666.666666666664</v>
      </c>
      <c r="X92" s="203">
        <v>12</v>
      </c>
      <c r="Y92" s="209">
        <v>80</v>
      </c>
      <c r="Z92" s="210" t="s">
        <v>5381</v>
      </c>
      <c r="AA92" s="203">
        <v>7.5</v>
      </c>
      <c r="AB92" s="208">
        <v>0.8</v>
      </c>
      <c r="AC92" s="208">
        <v>1</v>
      </c>
      <c r="AD92" s="208">
        <v>1.05</v>
      </c>
      <c r="AE92" s="203" t="s">
        <v>5495</v>
      </c>
      <c r="AF92" s="203">
        <v>100</v>
      </c>
      <c r="AG92" s="208">
        <f>_xlfn.XLOOKUP(Implements[[#This Row],[Defaulty ASABE Category]],ASABECoefficients[ASABE Category],ASABECoefficients[RF1])</f>
        <v>0.16</v>
      </c>
      <c r="AH92" s="208">
        <f>_xlfn.XLOOKUP(Implements[[#This Row],[Defaulty ASABE Category]],ASABECoefficients[ASABE Category],ASABECoefficients[RF2])</f>
        <v>2</v>
      </c>
      <c r="AI92" s="208">
        <f>_xlfn.XLOOKUP(Implements[[#This Row],[Defaulty ASABE Category]],ASABECoefficients[ASABE Category],ASABECoefficients[RV1])</f>
        <v>0.72430000000000005</v>
      </c>
      <c r="AJ92" s="208">
        <f>_xlfn.XLOOKUP(Implements[[#This Row],[Defaulty ASABE Category]],ASABECoefficients[ASABE Category],ASABECoefficients[RV2])</f>
        <v>0.11269999999999999</v>
      </c>
      <c r="AK92" s="208">
        <f>_xlfn.XLOOKUP(Implements[[#This Row],[Defaulty ASABE Category]],ASABECoefficients[ASABE Category],ASABECoefficients[RV3])</f>
        <v>0</v>
      </c>
      <c r="AL92" s="208">
        <f>_xlfn.XLOOKUP(Implements[[#This Row],[Defaulty ASABE Category]],ASABECoefficients[ASABE Category],ASABECoefficients[RV4])</f>
        <v>3.3999999999999998E-3</v>
      </c>
      <c r="AM92" s="208">
        <f>_xlfn.XLOOKUP(Implements[[#This Row],[Defaulty ASABE Category]],ASABECoefficients[ASABE Category],ASABECoefficients[RV5])</f>
        <v>0.1188</v>
      </c>
      <c r="AN92" s="208">
        <f>(Implements[[#This Row],[RV1]]-Implements[[#This Row],[RV2]]*Implements[[#This Row],[Expected Life (years)]]^0.5-Implements[[#This Row],[RV3]]*Implements[[#This Row],[Expected Use (hr/yr)]]^0.5+Implements[[#This Row],[RV4]]*'Data tables'!$AD$67)^2+0.25*Implements[[#This Row],[RV5]]</f>
        <v>0.37557562016669982</v>
      </c>
      <c r="AO92" s="208">
        <f>Implements[[#This Row],[Trade-in (%)]]*Implements[[#This Row],[List Price]]</f>
        <v>15648.984173612491</v>
      </c>
      <c r="AP92" s="208">
        <f>(Implements[[#This Row],[Purchase Price (2020)]]-Implements[[#This Row],[Trade-in ($)]])/Implements[[#This Row],[Expected Life (years)]]</f>
        <v>1820.9179855322925</v>
      </c>
      <c r="AQ92" s="208">
        <f>Implements[[#This Row],[List Price]]*(Implements[[#This Row],[RF1]]*(Implements[[#This Row],[Expected Life (years)]]*Implements[[#This Row],[Expected Use (hr/yr)]]/1000)^Implements[[#This Row],[RF2]])</f>
        <v>6144</v>
      </c>
      <c r="AR92" s="208">
        <f>Implements[[#This Row],[Accumulated Repairs ($)]]/Implements[[#This Row],[Expected Life (years)]]</f>
        <v>512</v>
      </c>
      <c r="AS92" s="212">
        <f>Implements[[#This Row],[Size1]]*Implements[[#This Row],[Field Speed (m/h)]]*Implements[[#This Row],[Field Efficiency]]/'Data tables'!$AD$68</f>
        <v>8.7272727272727266</v>
      </c>
      <c r="AT92" s="212">
        <f>Implements[[#This Row],[Acres/hour]]*Implements[[#This Row],[Expected Use (hr/yr)]]</f>
        <v>698.18181818181813</v>
      </c>
      <c r="AU92" s="212">
        <f>Implements[[#This Row],[Annual Depreciation]]/Implements[[#This Row],[Acres/year]]</f>
        <v>2.6080856563613568</v>
      </c>
      <c r="AV92" s="212">
        <f>(Implements[[#This Row],[Purchase Price (2020)]]+Implements[[#This Row],[Trade-in ($)]]+Implements[[#This Row],[Annual Depreciation]])/2*'Data tables'!$AD$58/Implements[[#This Row],[Acres/year]]</f>
        <v>1.574658655600502</v>
      </c>
      <c r="AW92" s="212">
        <f>Implements[[#This Row],[Annual Repairs ($)]]/Implements[[#This Row],[Acres/year]]</f>
        <v>0.73333333333333339</v>
      </c>
      <c r="AX92" s="212">
        <f>(Implements[[#This Row],[Purchase Price (2020)]]+Implements[[#This Row],[Trade-in ($)]]+Implements[[#This Row],[Annual Depreciation]])/2*'Data tables'!$AD$70/Implements[[#This Row],[Acres/year]]</f>
        <v>0.19683233195006275</v>
      </c>
      <c r="AY92" s="201">
        <f>(Implements[[#This Row],[Purchase Price (2020)]]+Implements[[#This Row],[Trade-in ($)]]+Implements[[#This Row],[Annual Depreciation]])/2*'Data tables'!$AD$59/Implements[[#This Row],[Acres/year]]</f>
        <v>0.33461496431510668</v>
      </c>
      <c r="AZ92" s="201">
        <f>(Implements[[#This Row],[Tractor (hr/impl)]]*Implements[[#This Row],[Labor (hr/trac)]])/Implements[[#This Row],[Acres/hour]]</f>
        <v>0.12031250000000002</v>
      </c>
      <c r="BA92" s="201">
        <f>'Data tables'!$AD$62*Implements[[#This Row],[Shed (ft^2)]]/Implements[[#This Row],[Acres/year]]</f>
        <v>0.13882042441166442</v>
      </c>
      <c r="BP92" s="19"/>
      <c r="BW92"/>
    </row>
    <row r="93" spans="13:75" x14ac:dyDescent="0.25">
      <c r="M93" s="201" t="s">
        <v>5379</v>
      </c>
      <c r="N93" s="214" t="s">
        <v>5382</v>
      </c>
      <c r="O93" s="203">
        <v>30</v>
      </c>
      <c r="P93" s="204" t="s">
        <v>5355</v>
      </c>
      <c r="Q93" s="205"/>
      <c r="R93" s="205"/>
      <c r="S93" s="205" t="str">
        <f>CONCATENATE(N93&amp;"; "&amp;IF(Implements[[#This Row],[Size2]]&lt;&gt;"",Implements[[#This Row],[Size2]]&amp;" "&amp;Implements[[#This Row],[Unit2]]&amp;"; ","")&amp;IF(Implements[[#This Row],[Size1]]&gt;0,ROUND(Implements[[#This Row],[Size1]],1)&amp;" "&amp;Implements[[#This Row],[Unit1]]," "))</f>
        <v>Hay Rake; 30 Ft</v>
      </c>
      <c r="T93" s="206" t="s">
        <v>5470</v>
      </c>
      <c r="U93" s="207">
        <v>25000</v>
      </c>
      <c r="V93" s="208">
        <v>0.1</v>
      </c>
      <c r="W93" s="208">
        <f>Implements[[#This Row],[Purchase Price (2020)]]/(1-Implements[[#This Row],[List Discount]])</f>
        <v>27777.777777777777</v>
      </c>
      <c r="X93" s="203">
        <v>12</v>
      </c>
      <c r="Y93" s="209">
        <v>80</v>
      </c>
      <c r="Z93" s="210" t="s">
        <v>5383</v>
      </c>
      <c r="AA93" s="203">
        <v>9</v>
      </c>
      <c r="AB93" s="208">
        <v>0.8</v>
      </c>
      <c r="AC93" s="208">
        <v>1</v>
      </c>
      <c r="AD93" s="208">
        <v>1.02</v>
      </c>
      <c r="AE93" s="203" t="s">
        <v>5495</v>
      </c>
      <c r="AF93" s="203">
        <v>250</v>
      </c>
      <c r="AG93" s="208">
        <f>_xlfn.XLOOKUP(Implements[[#This Row],[Defaulty ASABE Category]],ASABECoefficients[ASABE Category],ASABECoefficients[RF1])</f>
        <v>0.17</v>
      </c>
      <c r="AH93" s="208">
        <f>_xlfn.XLOOKUP(Implements[[#This Row],[Defaulty ASABE Category]],ASABECoefficients[ASABE Category],ASABECoefficients[RF2])</f>
        <v>1.4</v>
      </c>
      <c r="AI93" s="208">
        <f>_xlfn.XLOOKUP(Implements[[#This Row],[Defaulty ASABE Category]],ASABECoefficients[ASABE Category],ASABECoefficients[RV1])</f>
        <v>0.80910000000000004</v>
      </c>
      <c r="AJ93" s="208">
        <f>_xlfn.XLOOKUP(Implements[[#This Row],[Defaulty ASABE Category]],ASABECoefficients[ASABE Category],ASABECoefficients[RV2])</f>
        <v>0.1109</v>
      </c>
      <c r="AK93" s="208">
        <f>_xlfn.XLOOKUP(Implements[[#This Row],[Defaulty ASABE Category]],ASABECoefficients[ASABE Category],ASABECoefficients[RV3])</f>
        <v>0</v>
      </c>
      <c r="AL93" s="208">
        <f>_xlfn.XLOOKUP(Implements[[#This Row],[Defaulty ASABE Category]],ASABECoefficients[ASABE Category],ASABECoefficients[RV4])</f>
        <v>1.4E-3</v>
      </c>
      <c r="AM93" s="208">
        <f>_xlfn.XLOOKUP(Implements[[#This Row],[Defaulty ASABE Category]],ASABECoefficients[ASABE Category],ASABECoefficients[RV5])</f>
        <v>0.12670000000000001</v>
      </c>
      <c r="AN93" s="208">
        <f>(Implements[[#This Row],[RV1]]-Implements[[#This Row],[RV2]]*Implements[[#This Row],[Expected Life (years)]]^0.5-Implements[[#This Row],[RV3]]*Implements[[#This Row],[Expected Use (hr/yr)]]^0.5+Implements[[#This Row],[RV4]]*'Data tables'!$AD$67)^2+0.25*Implements[[#This Row],[RV5]]</f>
        <v>0.31216003043323148</v>
      </c>
      <c r="AO93" s="208">
        <f>Implements[[#This Row],[Trade-in (%)]]*Implements[[#This Row],[List Price]]</f>
        <v>8671.1119564786513</v>
      </c>
      <c r="AP93" s="208">
        <f>(Implements[[#This Row],[Purchase Price (2020)]]-Implements[[#This Row],[Trade-in ($)]])/Implements[[#This Row],[Expected Life (years)]]</f>
        <v>1360.7406702934456</v>
      </c>
      <c r="AQ93" s="208">
        <f>Implements[[#This Row],[List Price]]*(Implements[[#This Row],[RF1]]*(Implements[[#This Row],[Expected Life (years)]]*Implements[[#This Row],[Expected Use (hr/yr)]]/1000)^Implements[[#This Row],[RF2]])</f>
        <v>4459.9105343401779</v>
      </c>
      <c r="AR93" s="208">
        <f>Implements[[#This Row],[Accumulated Repairs ($)]]/Implements[[#This Row],[Expected Life (years)]]</f>
        <v>371.65921119501485</v>
      </c>
      <c r="AS93" s="212">
        <f>Implements[[#This Row],[Size1]]*Implements[[#This Row],[Field Speed (m/h)]]*Implements[[#This Row],[Field Efficiency]]/'Data tables'!$AD$68</f>
        <v>26.181818181818183</v>
      </c>
      <c r="AT93" s="212">
        <f>Implements[[#This Row],[Acres/hour]]*Implements[[#This Row],[Expected Use (hr/yr)]]</f>
        <v>2094.5454545454545</v>
      </c>
      <c r="AU93" s="212">
        <f>Implements[[#This Row],[Annual Depreciation]]/Implements[[#This Row],[Acres/year]]</f>
        <v>0.64965917418523877</v>
      </c>
      <c r="AV93" s="212">
        <f>(Implements[[#This Row],[Purchase Price (2020)]]+Implements[[#This Row],[Trade-in ($)]]+Implements[[#This Row],[Annual Depreciation]])/2*'Data tables'!$AD$58/Implements[[#This Row],[Acres/year]]</f>
        <v>0.33450553723480303</v>
      </c>
      <c r="AW93" s="212">
        <f>Implements[[#This Row],[Annual Repairs ($)]]/Implements[[#This Row],[Acres/year]]</f>
        <v>0.17744146367817548</v>
      </c>
      <c r="AX93" s="212">
        <f>(Implements[[#This Row],[Purchase Price (2020)]]+Implements[[#This Row],[Trade-in ($)]]+Implements[[#This Row],[Annual Depreciation]])/2*'Data tables'!$AD$70/Implements[[#This Row],[Acres/year]]</f>
        <v>4.1813192154350379E-2</v>
      </c>
      <c r="AY93" s="201">
        <f>(Implements[[#This Row],[Purchase Price (2020)]]+Implements[[#This Row],[Trade-in ($)]]+Implements[[#This Row],[Annual Depreciation]])/2*'Data tables'!$AD$59/Implements[[#This Row],[Acres/year]]</f>
        <v>7.1082426662395642E-2</v>
      </c>
      <c r="AZ93" s="201">
        <f>(Implements[[#This Row],[Tractor (hr/impl)]]*Implements[[#This Row],[Labor (hr/trac)]])/Implements[[#This Row],[Acres/hour]]</f>
        <v>3.8958333333333331E-2</v>
      </c>
      <c r="BA93" s="201">
        <f>'Data tables'!$AD$62*Implements[[#This Row],[Shed (ft^2)]]/Implements[[#This Row],[Acres/year]]</f>
        <v>0.11568368700972034</v>
      </c>
      <c r="BP93" s="19"/>
      <c r="BW93"/>
    </row>
    <row r="94" spans="13:75" x14ac:dyDescent="0.25">
      <c r="M94" s="201" t="s">
        <v>5379</v>
      </c>
      <c r="N94" s="214" t="s">
        <v>5384</v>
      </c>
      <c r="O94" s="203">
        <v>25</v>
      </c>
      <c r="P94" s="204" t="s">
        <v>5355</v>
      </c>
      <c r="Q94" s="205"/>
      <c r="R94" s="205"/>
      <c r="S94" s="205" t="str">
        <f>CONCATENATE(N94&amp;"; "&amp;IF(Implements[[#This Row],[Size2]]&lt;&gt;"",Implements[[#This Row],[Size2]]&amp;" "&amp;Implements[[#This Row],[Unit2]]&amp;"; ","")&amp;IF(Implements[[#This Row],[Size1]]&gt;0,ROUND(Implements[[#This Row],[Size1]],1)&amp;" "&amp;Implements[[#This Row],[Unit1]]," "))</f>
        <v>Grain Swather, Self-Propelled; 25 Ft</v>
      </c>
      <c r="T94" s="206" t="s">
        <v>5491</v>
      </c>
      <c r="U94" s="207">
        <v>204500</v>
      </c>
      <c r="V94" s="208">
        <v>0.1</v>
      </c>
      <c r="W94" s="208">
        <f>Implements[[#This Row],[Purchase Price (2020)]]/(1-Implements[[#This Row],[List Discount]])</f>
        <v>227222.22222222222</v>
      </c>
      <c r="X94" s="203">
        <v>12</v>
      </c>
      <c r="Y94" s="209">
        <v>80</v>
      </c>
      <c r="Z94" s="210" t="s">
        <v>5385</v>
      </c>
      <c r="AA94" s="203">
        <v>5</v>
      </c>
      <c r="AB94" s="208">
        <v>0.8</v>
      </c>
      <c r="AC94" s="208">
        <v>1</v>
      </c>
      <c r="AD94" s="208">
        <v>1.02</v>
      </c>
      <c r="AE94" s="203" t="s">
        <v>5495</v>
      </c>
      <c r="AF94" s="203">
        <v>345</v>
      </c>
      <c r="AG94" s="208">
        <f>_xlfn.XLOOKUP(Implements[[#This Row],[Defaulty ASABE Category]],ASABECoefficients[ASABE Category],ASABECoefficients[RF1])</f>
        <v>0.06</v>
      </c>
      <c r="AH94" s="208">
        <f>_xlfn.XLOOKUP(Implements[[#This Row],[Defaulty ASABE Category]],ASABECoefficients[ASABE Category],ASABECoefficients[RF2])</f>
        <v>2</v>
      </c>
      <c r="AI94" s="208">
        <f>_xlfn.XLOOKUP(Implements[[#This Row],[Defaulty ASABE Category]],ASABECoefficients[ASABE Category],ASABECoefficients[RV1])</f>
        <v>0.72430000000000005</v>
      </c>
      <c r="AJ94" s="208">
        <f>_xlfn.XLOOKUP(Implements[[#This Row],[Defaulty ASABE Category]],ASABECoefficients[ASABE Category],ASABECoefficients[RV2])</f>
        <v>0.11269999999999999</v>
      </c>
      <c r="AK94" s="208">
        <f>_xlfn.XLOOKUP(Implements[[#This Row],[Defaulty ASABE Category]],ASABECoefficients[ASABE Category],ASABECoefficients[RV3])</f>
        <v>0</v>
      </c>
      <c r="AL94" s="208">
        <f>_xlfn.XLOOKUP(Implements[[#This Row],[Defaulty ASABE Category]],ASABECoefficients[ASABE Category],ASABECoefficients[RV4])</f>
        <v>3.3999999999999998E-3</v>
      </c>
      <c r="AM94" s="208">
        <f>_xlfn.XLOOKUP(Implements[[#This Row],[Defaulty ASABE Category]],ASABECoefficients[ASABE Category],ASABECoefficients[RV5])</f>
        <v>0.1188</v>
      </c>
      <c r="AN94" s="208">
        <f>(Implements[[#This Row],[RV1]]-Implements[[#This Row],[RV2]]*Implements[[#This Row],[Expected Life (years)]]^0.5-Implements[[#This Row],[RV3]]*Implements[[#This Row],[Expected Use (hr/yr)]]^0.5+Implements[[#This Row],[RV4]]*'Data tables'!$AD$67)^2+0.25*Implements[[#This Row],[RV5]]</f>
        <v>0.37557562016669982</v>
      </c>
      <c r="AO94" s="208">
        <f>Implements[[#This Row],[Trade-in (%)]]*Implements[[#This Row],[List Price]]</f>
        <v>85339.127026766786</v>
      </c>
      <c r="AP94" s="208">
        <f>(Implements[[#This Row],[Purchase Price (2020)]]-Implements[[#This Row],[Trade-in ($)]])/Implements[[#This Row],[Expected Life (years)]]</f>
        <v>9930.0727477694345</v>
      </c>
      <c r="AQ94" s="208">
        <f>Implements[[#This Row],[List Price]]*(Implements[[#This Row],[RF1]]*(Implements[[#This Row],[Expected Life (years)]]*Implements[[#This Row],[Expected Use (hr/yr)]]/1000)^Implements[[#This Row],[RF2]])</f>
        <v>12564.48</v>
      </c>
      <c r="AR94" s="208">
        <f>Implements[[#This Row],[Accumulated Repairs ($)]]/Implements[[#This Row],[Expected Life (years)]]</f>
        <v>1047.04</v>
      </c>
      <c r="AS94" s="212">
        <f>Implements[[#This Row],[Size1]]*Implements[[#This Row],[Field Speed (m/h)]]*Implements[[#This Row],[Field Efficiency]]/'Data tables'!$AD$68</f>
        <v>12.121212121212121</v>
      </c>
      <c r="AT94" s="212">
        <f>Implements[[#This Row],[Acres/hour]]*Implements[[#This Row],[Expected Use (hr/yr)]]</f>
        <v>969.69696969696975</v>
      </c>
      <c r="AU94" s="212">
        <f>Implements[[#This Row],[Annual Depreciation]]/Implements[[#This Row],[Acres/year]]</f>
        <v>10.240387521137229</v>
      </c>
      <c r="AV94" s="212">
        <f>(Implements[[#This Row],[Purchase Price (2020)]]+Implements[[#This Row],[Trade-in ($)]]+Implements[[#This Row],[Annual Depreciation]])/2*'Data tables'!$AD$58/Implements[[#This Row],[Acres/year]]</f>
        <v>6.1827397453498083</v>
      </c>
      <c r="AW94" s="212">
        <f>Implements[[#This Row],[Annual Repairs ($)]]/Implements[[#This Row],[Acres/year]]</f>
        <v>1.0797599999999998</v>
      </c>
      <c r="AX94" s="212">
        <f>(Implements[[#This Row],[Purchase Price (2020)]]+Implements[[#This Row],[Trade-in ($)]]+Implements[[#This Row],[Annual Depreciation]])/2*'Data tables'!$AD$70/Implements[[#This Row],[Acres/year]]</f>
        <v>0.77284246816872604</v>
      </c>
      <c r="AY94" s="201">
        <f>(Implements[[#This Row],[Purchase Price (2020)]]+Implements[[#This Row],[Trade-in ($)]]+Implements[[#This Row],[Annual Depreciation]])/2*'Data tables'!$AD$59/Implements[[#This Row],[Acres/year]]</f>
        <v>1.3138321958868344</v>
      </c>
      <c r="AZ94" s="201">
        <f>(Implements[[#This Row],[Tractor (hr/impl)]]*Implements[[#This Row],[Labor (hr/trac)]])/Implements[[#This Row],[Acres/hour]]</f>
        <v>8.4150000000000003E-2</v>
      </c>
      <c r="BA94" s="201">
        <f>'Data tables'!$AD$62*Implements[[#This Row],[Shed (ft^2)]]/Implements[[#This Row],[Acres/year]]</f>
        <v>0.34482993423857439</v>
      </c>
      <c r="BP94" s="19"/>
      <c r="BW94"/>
    </row>
    <row r="95" spans="13:75" x14ac:dyDescent="0.25">
      <c r="M95" s="201" t="s">
        <v>5379</v>
      </c>
      <c r="N95" s="214" t="s">
        <v>5386</v>
      </c>
      <c r="O95" s="203">
        <v>12</v>
      </c>
      <c r="P95" s="204" t="s">
        <v>5355</v>
      </c>
      <c r="Q95" s="205" t="s">
        <v>5225</v>
      </c>
      <c r="R95" s="205" t="s">
        <v>5225</v>
      </c>
      <c r="S95" s="205" t="str">
        <f>CONCATENATE(N95&amp;"; "&amp;IF(Implements[[#This Row],[Size2]]&lt;&gt;"",Implements[[#This Row],[Size2]]&amp;" "&amp;Implements[[#This Row],[Unit2]]&amp;"; ","")&amp;IF(Implements[[#This Row],[Size1]]&gt;0,ROUND(Implements[[#This Row],[Size1]],1)&amp;" "&amp;Implements[[#This Row],[Unit1]]," "))</f>
        <v>Hay Baler PTO Twine; 12 Ft</v>
      </c>
      <c r="T95" s="206" t="s">
        <v>5470</v>
      </c>
      <c r="U95" s="207">
        <v>34500</v>
      </c>
      <c r="V95" s="208">
        <v>0.1</v>
      </c>
      <c r="W95" s="208">
        <f>Implements[[#This Row],[Purchase Price (2020)]]/(1-Implements[[#This Row],[List Discount]])</f>
        <v>38333.333333333336</v>
      </c>
      <c r="X95" s="203">
        <v>12</v>
      </c>
      <c r="Y95" s="209">
        <v>200</v>
      </c>
      <c r="Z95" s="210" t="s">
        <v>5387</v>
      </c>
      <c r="AA95" s="203">
        <v>4</v>
      </c>
      <c r="AB95" s="208">
        <v>0.75</v>
      </c>
      <c r="AC95" s="208">
        <v>1</v>
      </c>
      <c r="AD95" s="208">
        <v>1.1100000000000001</v>
      </c>
      <c r="AE95" s="203" t="s">
        <v>5494</v>
      </c>
      <c r="AF95" s="203">
        <v>184</v>
      </c>
      <c r="AG95" s="208">
        <f>_xlfn.XLOOKUP(Implements[[#This Row],[Defaulty ASABE Category]],ASABECoefficients[ASABE Category],ASABECoefficients[RF1])</f>
        <v>0.23</v>
      </c>
      <c r="AH95" s="208">
        <f>_xlfn.XLOOKUP(Implements[[#This Row],[Defaulty ASABE Category]],ASABECoefficients[ASABE Category],ASABECoefficients[RF2])</f>
        <v>1.8</v>
      </c>
      <c r="AI95" s="208">
        <f>_xlfn.XLOOKUP(Implements[[#This Row],[Defaulty ASABE Category]],ASABECoefficients[ASABE Category],ASABECoefficients[RV1])</f>
        <v>0.80910000000000004</v>
      </c>
      <c r="AJ95" s="208">
        <f>_xlfn.XLOOKUP(Implements[[#This Row],[Defaulty ASABE Category]],ASABECoefficients[ASABE Category],ASABECoefficients[RV2])</f>
        <v>0.1109</v>
      </c>
      <c r="AK95" s="208">
        <f>_xlfn.XLOOKUP(Implements[[#This Row],[Defaulty ASABE Category]],ASABECoefficients[ASABE Category],ASABECoefficients[RV3])</f>
        <v>0</v>
      </c>
      <c r="AL95" s="208">
        <f>_xlfn.XLOOKUP(Implements[[#This Row],[Defaulty ASABE Category]],ASABECoefficients[ASABE Category],ASABECoefficients[RV4])</f>
        <v>1.4E-3</v>
      </c>
      <c r="AM95" s="208">
        <f>_xlfn.XLOOKUP(Implements[[#This Row],[Defaulty ASABE Category]],ASABECoefficients[ASABE Category],ASABECoefficients[RV5])</f>
        <v>0.12670000000000001</v>
      </c>
      <c r="AN95" s="208">
        <f>(Implements[[#This Row],[RV1]]-Implements[[#This Row],[RV2]]*Implements[[#This Row],[Expected Life (years)]]^0.5-Implements[[#This Row],[RV3]]*Implements[[#This Row],[Expected Use (hr/yr)]]^0.5+Implements[[#This Row],[RV4]]*'Data tables'!$AD$67)^2+0.25*Implements[[#This Row],[RV5]]</f>
        <v>0.31216003043323148</v>
      </c>
      <c r="AO95" s="208">
        <f>Implements[[#This Row],[Trade-in (%)]]*Implements[[#This Row],[List Price]]</f>
        <v>11966.134499940541</v>
      </c>
      <c r="AP95" s="208">
        <f>(Implements[[#This Row],[Purchase Price (2020)]]-Implements[[#This Row],[Trade-in ($)]])/Implements[[#This Row],[Expected Life (years)]]</f>
        <v>1877.8221250049548</v>
      </c>
      <c r="AQ95" s="208">
        <f>Implements[[#This Row],[List Price]]*(Implements[[#This Row],[RF1]]*(Implements[[#This Row],[Expected Life (years)]]*Implements[[#This Row],[Expected Use (hr/yr)]]/1000)^Implements[[#This Row],[RF2]])</f>
        <v>42626.988983017924</v>
      </c>
      <c r="AR95" s="208">
        <f>Implements[[#This Row],[Accumulated Repairs ($)]]/Implements[[#This Row],[Expected Life (years)]]</f>
        <v>3552.2490819181603</v>
      </c>
      <c r="AS95" s="212">
        <f>Implements[[#This Row],[Size1]]*Implements[[#This Row],[Field Speed (m/h)]]*Implements[[#This Row],[Field Efficiency]]/'Data tables'!$AD$68</f>
        <v>4.3636363636363633</v>
      </c>
      <c r="AT95" s="212">
        <f>Implements[[#This Row],[Acres/hour]]*Implements[[#This Row],[Expected Use (hr/yr)]]</f>
        <v>872.72727272727263</v>
      </c>
      <c r="AU95" s="212">
        <f>Implements[[#This Row],[Annual Depreciation]]/Implements[[#This Row],[Acres/year]]</f>
        <v>2.1516711849015109</v>
      </c>
      <c r="AV95" s="212">
        <f>(Implements[[#This Row],[Purchase Price (2020)]]+Implements[[#This Row],[Trade-in ($)]]+Implements[[#This Row],[Annual Depreciation]])/2*'Data tables'!$AD$58/Implements[[#This Row],[Acres/year]]</f>
        <v>1.1078823393216677</v>
      </c>
      <c r="AW95" s="212">
        <f>Implements[[#This Row],[Annual Repairs ($)]]/Implements[[#This Row],[Acres/year]]</f>
        <v>4.070285406364559</v>
      </c>
      <c r="AX95" s="212">
        <f>(Implements[[#This Row],[Purchase Price (2020)]]+Implements[[#This Row],[Trade-in ($)]]+Implements[[#This Row],[Annual Depreciation]])/2*'Data tables'!$AD$70/Implements[[#This Row],[Acres/year]]</f>
        <v>0.13848529241520846</v>
      </c>
      <c r="AY95" s="201">
        <f>(Implements[[#This Row],[Purchase Price (2020)]]+Implements[[#This Row],[Trade-in ($)]]+Implements[[#This Row],[Annual Depreciation]])/2*'Data tables'!$AD$59/Implements[[#This Row],[Acres/year]]</f>
        <v>0.23542499710585441</v>
      </c>
      <c r="AZ95" s="201">
        <f>(Implements[[#This Row],[Tractor (hr/impl)]]*Implements[[#This Row],[Labor (hr/trac)]])/Implements[[#This Row],[Acres/hour]]</f>
        <v>0.25437500000000002</v>
      </c>
      <c r="BA95" s="201">
        <f>'Data tables'!$AD$62*Implements[[#This Row],[Shed (ft^2)]]/Implements[[#This Row],[Acres/year]]</f>
        <v>0.20434366473397003</v>
      </c>
      <c r="BP95" s="19"/>
      <c r="BW95"/>
    </row>
    <row r="96" spans="13:75" x14ac:dyDescent="0.25">
      <c r="M96" s="201" t="s">
        <v>5379</v>
      </c>
      <c r="N96" s="202" t="s">
        <v>5388</v>
      </c>
      <c r="O96" s="203">
        <v>20</v>
      </c>
      <c r="P96" s="204" t="s">
        <v>5355</v>
      </c>
      <c r="Q96" s="205" t="s">
        <v>5389</v>
      </c>
      <c r="R96" s="205"/>
      <c r="S96" s="205" t="str">
        <f>CONCATENATE(N96&amp;"; "&amp;IF(Implements[[#This Row],[Size2]]&lt;&gt;"",Implements[[#This Row],[Size2]]&amp;" "&amp;Implements[[#This Row],[Unit2]]&amp;"; ","")&amp;IF(Implements[[#This Row],[Size1]]&gt;0,ROUND(Implements[[#This Row],[Size1]],1)&amp;" "&amp;Implements[[#This Row],[Unit1]]," "))</f>
        <v>Round Baler; 4x5 ; 20 Ft</v>
      </c>
      <c r="T96" s="206" t="s">
        <v>5481</v>
      </c>
      <c r="U96" s="207">
        <v>55000</v>
      </c>
      <c r="V96" s="208">
        <v>0.1</v>
      </c>
      <c r="W96" s="208">
        <f>Implements[[#This Row],[Purchase Price (2020)]]/(1-Implements[[#This Row],[List Discount]])</f>
        <v>61111.111111111109</v>
      </c>
      <c r="X96" s="203">
        <v>12</v>
      </c>
      <c r="Y96" s="209">
        <v>200</v>
      </c>
      <c r="Z96" s="210" t="s">
        <v>5390</v>
      </c>
      <c r="AA96" s="203">
        <v>6</v>
      </c>
      <c r="AB96" s="208">
        <v>0.65</v>
      </c>
      <c r="AC96" s="208">
        <v>1</v>
      </c>
      <c r="AD96" s="208">
        <v>1.02</v>
      </c>
      <c r="AE96" s="203" t="s">
        <v>5495</v>
      </c>
      <c r="AF96" s="203">
        <v>60</v>
      </c>
      <c r="AG96" s="208">
        <f>_xlfn.XLOOKUP(Implements[[#This Row],[Defaulty ASABE Category]],ASABECoefficients[ASABE Category],ASABECoefficients[RF1])</f>
        <v>0.43</v>
      </c>
      <c r="AH96" s="208">
        <f>_xlfn.XLOOKUP(Implements[[#This Row],[Defaulty ASABE Category]],ASABECoefficients[ASABE Category],ASABECoefficients[RF2])</f>
        <v>1.8</v>
      </c>
      <c r="AI96" s="208">
        <f>_xlfn.XLOOKUP(Implements[[#This Row],[Defaulty ASABE Category]],ASABECoefficients[ASABE Category],ASABECoefficients[RV1])</f>
        <v>0.80910000000000004</v>
      </c>
      <c r="AJ96" s="208">
        <f>_xlfn.XLOOKUP(Implements[[#This Row],[Defaulty ASABE Category]],ASABECoefficients[ASABE Category],ASABECoefficients[RV2])</f>
        <v>0.1109</v>
      </c>
      <c r="AK96" s="208">
        <f>_xlfn.XLOOKUP(Implements[[#This Row],[Defaulty ASABE Category]],ASABECoefficients[ASABE Category],ASABECoefficients[RV3])</f>
        <v>0</v>
      </c>
      <c r="AL96" s="208">
        <f>_xlfn.XLOOKUP(Implements[[#This Row],[Defaulty ASABE Category]],ASABECoefficients[ASABE Category],ASABECoefficients[RV4])</f>
        <v>1.4E-3</v>
      </c>
      <c r="AM96" s="208">
        <f>_xlfn.XLOOKUP(Implements[[#This Row],[Defaulty ASABE Category]],ASABECoefficients[ASABE Category],ASABECoefficients[RV5])</f>
        <v>0.12670000000000001</v>
      </c>
      <c r="AN96" s="208">
        <f>(Implements[[#This Row],[RV1]]-Implements[[#This Row],[RV2]]*Implements[[#This Row],[Expected Life (years)]]^0.5-Implements[[#This Row],[RV3]]*Implements[[#This Row],[Expected Use (hr/yr)]]^0.5+Implements[[#This Row],[RV4]]*'Data tables'!$AD$67)^2+0.25*Implements[[#This Row],[RV5]]</f>
        <v>0.31216003043323148</v>
      </c>
      <c r="AO96" s="208">
        <f>Implements[[#This Row],[Trade-in (%)]]*Implements[[#This Row],[List Price]]</f>
        <v>19076.446304253033</v>
      </c>
      <c r="AP96" s="208">
        <f>(Implements[[#This Row],[Purchase Price (2020)]]-Implements[[#This Row],[Trade-in ($)]])/Implements[[#This Row],[Expected Life (years)]]</f>
        <v>2993.6294746455806</v>
      </c>
      <c r="AQ96" s="208">
        <f>Implements[[#This Row],[List Price]]*(Implements[[#This Row],[RF1]]*(Implements[[#This Row],[Expected Life (years)]]*Implements[[#This Row],[Expected Use (hr/yr)]]/1000)^Implements[[#This Row],[RF2]])</f>
        <v>127048.30364818824</v>
      </c>
      <c r="AR96" s="208">
        <f>Implements[[#This Row],[Accumulated Repairs ($)]]/Implements[[#This Row],[Expected Life (years)]]</f>
        <v>10587.35863734902</v>
      </c>
      <c r="AS96" s="212">
        <f>Implements[[#This Row],[Size1]]*Implements[[#This Row],[Field Speed (m/h)]]*Implements[[#This Row],[Field Efficiency]]/'Data tables'!$AD$68</f>
        <v>9.454545454545455</v>
      </c>
      <c r="AT96" s="212">
        <f>Implements[[#This Row],[Acres/hour]]*Implements[[#This Row],[Expected Use (hr/yr)]]</f>
        <v>1890.909090909091</v>
      </c>
      <c r="AU96" s="212">
        <f>Implements[[#This Row],[Annual Depreciation]]/Implements[[#This Row],[Acres/year]]</f>
        <v>1.5831694337067974</v>
      </c>
      <c r="AV96" s="212">
        <f>(Implements[[#This Row],[Purchase Price (2020)]]+Implements[[#This Row],[Trade-in ($)]]+Implements[[#This Row],[Annual Depreciation]])/2*'Data tables'!$AD$58/Implements[[#This Row],[Acres/year]]</f>
        <v>0.81516426304604317</v>
      </c>
      <c r="AW96" s="212">
        <f>Implements[[#This Row],[Annual Repairs ($)]]/Implements[[#This Row],[Acres/year]]</f>
        <v>5.5990838947518853</v>
      </c>
      <c r="AX96" s="212">
        <f>(Implements[[#This Row],[Purchase Price (2020)]]+Implements[[#This Row],[Trade-in ($)]]+Implements[[#This Row],[Annual Depreciation]])/2*'Data tables'!$AD$70/Implements[[#This Row],[Acres/year]]</f>
        <v>0.1018955328807554</v>
      </c>
      <c r="AY96" s="201">
        <f>(Implements[[#This Row],[Purchase Price (2020)]]+Implements[[#This Row],[Trade-in ($)]]+Implements[[#This Row],[Annual Depreciation]])/2*'Data tables'!$AD$59/Implements[[#This Row],[Acres/year]]</f>
        <v>0.17322240589728416</v>
      </c>
      <c r="AZ96" s="201">
        <f>(Implements[[#This Row],[Tractor (hr/impl)]]*Implements[[#This Row],[Labor (hr/trac)]])/Implements[[#This Row],[Acres/hour]]</f>
        <v>0.10788461538461538</v>
      </c>
      <c r="BA96" s="201">
        <f>'Data tables'!$AD$62*Implements[[#This Row],[Shed (ft^2)]]/Implements[[#This Row],[Acres/year]]</f>
        <v>3.0754063254276424E-2</v>
      </c>
      <c r="BP96" s="19"/>
      <c r="BW96"/>
    </row>
    <row r="97" spans="13:75" x14ac:dyDescent="0.25">
      <c r="M97" s="201" t="s">
        <v>5379</v>
      </c>
      <c r="N97" s="202" t="s">
        <v>5388</v>
      </c>
      <c r="O97" s="203">
        <v>20</v>
      </c>
      <c r="P97" s="204" t="s">
        <v>5355</v>
      </c>
      <c r="Q97" s="205" t="s">
        <v>5391</v>
      </c>
      <c r="R97" s="205"/>
      <c r="S97" s="205" t="str">
        <f>CONCATENATE(N97&amp;"; "&amp;IF(Implements[[#This Row],[Size2]]&lt;&gt;"",Implements[[#This Row],[Size2]]&amp;" "&amp;Implements[[#This Row],[Unit2]]&amp;"; ","")&amp;IF(Implements[[#This Row],[Size1]]&gt;0,ROUND(Implements[[#This Row],[Size1]],1)&amp;" "&amp;Implements[[#This Row],[Unit1]]," "))</f>
        <v>Round Baler; 5x6 ; 20 Ft</v>
      </c>
      <c r="T97" s="206" t="s">
        <v>5481</v>
      </c>
      <c r="U97" s="207">
        <v>64000</v>
      </c>
      <c r="V97" s="208">
        <v>0.1</v>
      </c>
      <c r="W97" s="208">
        <f>Implements[[#This Row],[Purchase Price (2020)]]/(1-Implements[[#This Row],[List Discount]])</f>
        <v>71111.111111111109</v>
      </c>
      <c r="X97" s="203">
        <v>12</v>
      </c>
      <c r="Y97" s="209">
        <v>200</v>
      </c>
      <c r="Z97" s="210" t="s">
        <v>5390</v>
      </c>
      <c r="AA97" s="203">
        <v>6</v>
      </c>
      <c r="AB97" s="208">
        <v>0.65</v>
      </c>
      <c r="AC97" s="208">
        <v>1</v>
      </c>
      <c r="AD97" s="208">
        <v>1.02</v>
      </c>
      <c r="AE97" s="203" t="s">
        <v>5495</v>
      </c>
      <c r="AF97" s="203">
        <v>60</v>
      </c>
      <c r="AG97" s="208">
        <f>_xlfn.XLOOKUP(Implements[[#This Row],[Defaulty ASABE Category]],ASABECoefficients[ASABE Category],ASABECoefficients[RF1])</f>
        <v>0.43</v>
      </c>
      <c r="AH97" s="208">
        <f>_xlfn.XLOOKUP(Implements[[#This Row],[Defaulty ASABE Category]],ASABECoefficients[ASABE Category],ASABECoefficients[RF2])</f>
        <v>1.8</v>
      </c>
      <c r="AI97" s="208">
        <f>_xlfn.XLOOKUP(Implements[[#This Row],[Defaulty ASABE Category]],ASABECoefficients[ASABE Category],ASABECoefficients[RV1])</f>
        <v>0.80910000000000004</v>
      </c>
      <c r="AJ97" s="208">
        <f>_xlfn.XLOOKUP(Implements[[#This Row],[Defaulty ASABE Category]],ASABECoefficients[ASABE Category],ASABECoefficients[RV2])</f>
        <v>0.1109</v>
      </c>
      <c r="AK97" s="208">
        <f>_xlfn.XLOOKUP(Implements[[#This Row],[Defaulty ASABE Category]],ASABECoefficients[ASABE Category],ASABECoefficients[RV3])</f>
        <v>0</v>
      </c>
      <c r="AL97" s="208">
        <f>_xlfn.XLOOKUP(Implements[[#This Row],[Defaulty ASABE Category]],ASABECoefficients[ASABE Category],ASABECoefficients[RV4])</f>
        <v>1.4E-3</v>
      </c>
      <c r="AM97" s="208">
        <f>_xlfn.XLOOKUP(Implements[[#This Row],[Defaulty ASABE Category]],ASABECoefficients[ASABE Category],ASABECoefficients[RV5])</f>
        <v>0.12670000000000001</v>
      </c>
      <c r="AN97" s="208">
        <f>(Implements[[#This Row],[RV1]]-Implements[[#This Row],[RV2]]*Implements[[#This Row],[Expected Life (years)]]^0.5-Implements[[#This Row],[RV3]]*Implements[[#This Row],[Expected Use (hr/yr)]]^0.5+Implements[[#This Row],[RV4]]*'Data tables'!$AD$67)^2+0.25*Implements[[#This Row],[RV5]]</f>
        <v>0.31216003043323148</v>
      </c>
      <c r="AO97" s="208">
        <f>Implements[[#This Row],[Trade-in (%)]]*Implements[[#This Row],[List Price]]</f>
        <v>22198.046608585348</v>
      </c>
      <c r="AP97" s="208">
        <f>(Implements[[#This Row],[Purchase Price (2020)]]-Implements[[#This Row],[Trade-in ($)]])/Implements[[#This Row],[Expected Life (years)]]</f>
        <v>3483.4961159512209</v>
      </c>
      <c r="AQ97" s="208">
        <f>Implements[[#This Row],[List Price]]*(Implements[[#This Row],[RF1]]*(Implements[[#This Row],[Expected Life (years)]]*Implements[[#This Row],[Expected Use (hr/yr)]]/1000)^Implements[[#This Row],[RF2]])</f>
        <v>147838.0260633463</v>
      </c>
      <c r="AR97" s="208">
        <f>Implements[[#This Row],[Accumulated Repairs ($)]]/Implements[[#This Row],[Expected Life (years)]]</f>
        <v>12319.835505278859</v>
      </c>
      <c r="AS97" s="212">
        <f>Implements[[#This Row],[Size1]]*Implements[[#This Row],[Field Speed (m/h)]]*Implements[[#This Row],[Field Efficiency]]/'Data tables'!$AD$68</f>
        <v>9.454545454545455</v>
      </c>
      <c r="AT97" s="212">
        <f>Implements[[#This Row],[Acres/hour]]*Implements[[#This Row],[Expected Use (hr/yr)]]</f>
        <v>1890.909090909091</v>
      </c>
      <c r="AU97" s="212">
        <f>Implements[[#This Row],[Annual Depreciation]]/Implements[[#This Row],[Acres/year]]</f>
        <v>1.8422335228588187</v>
      </c>
      <c r="AV97" s="212">
        <f>(Implements[[#This Row],[Purchase Price (2020)]]+Implements[[#This Row],[Trade-in ($)]]+Implements[[#This Row],[Annual Depreciation]])/2*'Data tables'!$AD$58/Implements[[#This Row],[Acres/year]]</f>
        <v>0.94855477881721362</v>
      </c>
      <c r="AW97" s="212">
        <f>Implements[[#This Row],[Annual Repairs ($)]]/Implements[[#This Row],[Acres/year]]</f>
        <v>6.5152976229840123</v>
      </c>
      <c r="AX97" s="212">
        <f>(Implements[[#This Row],[Purchase Price (2020)]]+Implements[[#This Row],[Trade-in ($)]]+Implements[[#This Row],[Annual Depreciation]])/2*'Data tables'!$AD$70/Implements[[#This Row],[Acres/year]]</f>
        <v>0.1185693473521517</v>
      </c>
      <c r="AY97" s="201">
        <f>(Implements[[#This Row],[Purchase Price (2020)]]+Implements[[#This Row],[Trade-in ($)]]+Implements[[#This Row],[Annual Depreciation]])/2*'Data tables'!$AD$59/Implements[[#This Row],[Acres/year]]</f>
        <v>0.20156789049865789</v>
      </c>
      <c r="AZ97" s="201">
        <f>(Implements[[#This Row],[Tractor (hr/impl)]]*Implements[[#This Row],[Labor (hr/trac)]])/Implements[[#This Row],[Acres/hour]]</f>
        <v>0.10788461538461538</v>
      </c>
      <c r="BA97" s="201">
        <f>'Data tables'!$AD$62*Implements[[#This Row],[Shed (ft^2)]]/Implements[[#This Row],[Acres/year]]</f>
        <v>3.0754063254276424E-2</v>
      </c>
      <c r="BP97" s="19"/>
      <c r="BW97"/>
    </row>
    <row r="98" spans="13:75" x14ac:dyDescent="0.25">
      <c r="M98" s="201" t="s">
        <v>5379</v>
      </c>
      <c r="N98" s="202" t="s">
        <v>5392</v>
      </c>
      <c r="O98" s="203">
        <v>20</v>
      </c>
      <c r="P98" s="204" t="s">
        <v>5355</v>
      </c>
      <c r="Q98" s="205" t="s">
        <v>5391</v>
      </c>
      <c r="R98" s="205"/>
      <c r="S98" s="205" t="str">
        <f>CONCATENATE(N98&amp;"; "&amp;IF(Implements[[#This Row],[Size2]]&lt;&gt;"",Implements[[#This Row],[Size2]]&amp;" "&amp;Implements[[#This Row],[Unit2]]&amp;"; ","")&amp;IF(Implements[[#This Row],[Size1]]&gt;0,ROUND(Implements[[#This Row],[Size1]],1)&amp;" "&amp;Implements[[#This Row],[Unit1]]," "))</f>
        <v>Round Baler w/Bale Wrap; 5x6 ; 20 Ft</v>
      </c>
      <c r="T98" s="206" t="s">
        <v>5481</v>
      </c>
      <c r="U98" s="207">
        <v>84000</v>
      </c>
      <c r="V98" s="208">
        <v>0.1</v>
      </c>
      <c r="W98" s="208">
        <f>Implements[[#This Row],[Purchase Price (2020)]]/(1-Implements[[#This Row],[List Discount]])</f>
        <v>93333.333333333328</v>
      </c>
      <c r="X98" s="203">
        <v>12</v>
      </c>
      <c r="Y98" s="209">
        <v>200</v>
      </c>
      <c r="Z98" s="210" t="s">
        <v>5390</v>
      </c>
      <c r="AA98" s="203">
        <v>6</v>
      </c>
      <c r="AB98" s="208">
        <v>0.65</v>
      </c>
      <c r="AC98" s="208">
        <v>1</v>
      </c>
      <c r="AD98" s="208">
        <v>1.02</v>
      </c>
      <c r="AE98" s="203" t="s">
        <v>5495</v>
      </c>
      <c r="AF98" s="203">
        <v>60</v>
      </c>
      <c r="AG98" s="208">
        <f>_xlfn.XLOOKUP(Implements[[#This Row],[Defaulty ASABE Category]],ASABECoefficients[ASABE Category],ASABECoefficients[RF1])</f>
        <v>0.43</v>
      </c>
      <c r="AH98" s="208">
        <f>_xlfn.XLOOKUP(Implements[[#This Row],[Defaulty ASABE Category]],ASABECoefficients[ASABE Category],ASABECoefficients[RF2])</f>
        <v>1.8</v>
      </c>
      <c r="AI98" s="208">
        <f>_xlfn.XLOOKUP(Implements[[#This Row],[Defaulty ASABE Category]],ASABECoefficients[ASABE Category],ASABECoefficients[RV1])</f>
        <v>0.80910000000000004</v>
      </c>
      <c r="AJ98" s="208">
        <f>_xlfn.XLOOKUP(Implements[[#This Row],[Defaulty ASABE Category]],ASABECoefficients[ASABE Category],ASABECoefficients[RV2])</f>
        <v>0.1109</v>
      </c>
      <c r="AK98" s="208">
        <f>_xlfn.XLOOKUP(Implements[[#This Row],[Defaulty ASABE Category]],ASABECoefficients[ASABE Category],ASABECoefficients[RV3])</f>
        <v>0</v>
      </c>
      <c r="AL98" s="208">
        <f>_xlfn.XLOOKUP(Implements[[#This Row],[Defaulty ASABE Category]],ASABECoefficients[ASABE Category],ASABECoefficients[RV4])</f>
        <v>1.4E-3</v>
      </c>
      <c r="AM98" s="208">
        <f>_xlfn.XLOOKUP(Implements[[#This Row],[Defaulty ASABE Category]],ASABECoefficients[ASABE Category],ASABECoefficients[RV5])</f>
        <v>0.12670000000000001</v>
      </c>
      <c r="AN98" s="208">
        <f>(Implements[[#This Row],[RV1]]-Implements[[#This Row],[RV2]]*Implements[[#This Row],[Expected Life (years)]]^0.5-Implements[[#This Row],[RV3]]*Implements[[#This Row],[Expected Use (hr/yr)]]^0.5+Implements[[#This Row],[RV4]]*'Data tables'!$AD$67)^2+0.25*Implements[[#This Row],[RV5]]</f>
        <v>0.31216003043323148</v>
      </c>
      <c r="AO98" s="208">
        <f>Implements[[#This Row],[Trade-in (%)]]*Implements[[#This Row],[List Price]]</f>
        <v>29134.93617376827</v>
      </c>
      <c r="AP98" s="208">
        <f>(Implements[[#This Row],[Purchase Price (2020)]]-Implements[[#This Row],[Trade-in ($)]])/Implements[[#This Row],[Expected Life (years)]]</f>
        <v>4572.0886521859775</v>
      </c>
      <c r="AQ98" s="208">
        <f>Implements[[#This Row],[List Price]]*(Implements[[#This Row],[RF1]]*(Implements[[#This Row],[Expected Life (years)]]*Implements[[#This Row],[Expected Use (hr/yr)]]/1000)^Implements[[#This Row],[RF2]])</f>
        <v>194037.40920814202</v>
      </c>
      <c r="AR98" s="208">
        <f>Implements[[#This Row],[Accumulated Repairs ($)]]/Implements[[#This Row],[Expected Life (years)]]</f>
        <v>16169.784100678502</v>
      </c>
      <c r="AS98" s="212">
        <f>Implements[[#This Row],[Size1]]*Implements[[#This Row],[Field Speed (m/h)]]*Implements[[#This Row],[Field Efficiency]]/'Data tables'!$AD$68</f>
        <v>9.454545454545455</v>
      </c>
      <c r="AT98" s="212">
        <f>Implements[[#This Row],[Acres/hour]]*Implements[[#This Row],[Expected Use (hr/yr)]]</f>
        <v>1890.909090909091</v>
      </c>
      <c r="AU98" s="212">
        <f>Implements[[#This Row],[Annual Depreciation]]/Implements[[#This Row],[Acres/year]]</f>
        <v>2.4179314987521994</v>
      </c>
      <c r="AV98" s="212">
        <f>(Implements[[#This Row],[Purchase Price (2020)]]+Implements[[#This Row],[Trade-in ($)]]+Implements[[#This Row],[Annual Depreciation]])/2*'Data tables'!$AD$58/Implements[[#This Row],[Acres/year]]</f>
        <v>1.2449781471975929</v>
      </c>
      <c r="AW98" s="212">
        <f>Implements[[#This Row],[Annual Repairs ($)]]/Implements[[#This Row],[Acres/year]]</f>
        <v>8.5513281301665156</v>
      </c>
      <c r="AX98" s="212">
        <f>(Implements[[#This Row],[Purchase Price (2020)]]+Implements[[#This Row],[Trade-in ($)]]+Implements[[#This Row],[Annual Depreciation]])/2*'Data tables'!$AD$70/Implements[[#This Row],[Acres/year]]</f>
        <v>0.15562226839969912</v>
      </c>
      <c r="AY98" s="201">
        <f>(Implements[[#This Row],[Purchase Price (2020)]]+Implements[[#This Row],[Trade-in ($)]]+Implements[[#This Row],[Annual Depreciation]])/2*'Data tables'!$AD$59/Implements[[#This Row],[Acres/year]]</f>
        <v>0.26455785627948852</v>
      </c>
      <c r="AZ98" s="201">
        <f>(Implements[[#This Row],[Tractor (hr/impl)]]*Implements[[#This Row],[Labor (hr/trac)]])/Implements[[#This Row],[Acres/hour]]</f>
        <v>0.10788461538461538</v>
      </c>
      <c r="BA98" s="201">
        <f>'Data tables'!$AD$62*Implements[[#This Row],[Shed (ft^2)]]/Implements[[#This Row],[Acres/year]]</f>
        <v>3.0754063254276424E-2</v>
      </c>
      <c r="BP98" s="19"/>
      <c r="BW98"/>
    </row>
    <row r="99" spans="13:75" x14ac:dyDescent="0.25">
      <c r="M99" s="201" t="s">
        <v>5379</v>
      </c>
      <c r="N99" s="216" t="s">
        <v>5393</v>
      </c>
      <c r="O99" s="203">
        <v>20</v>
      </c>
      <c r="P99" s="204" t="s">
        <v>5355</v>
      </c>
      <c r="Q99" s="205" t="s">
        <v>5394</v>
      </c>
      <c r="R99" s="205"/>
      <c r="S99" s="205" t="str">
        <f>CONCATENATE(N99&amp;"; "&amp;IF(Implements[[#This Row],[Size2]]&lt;&gt;"",Implements[[#This Row],[Size2]]&amp;" "&amp;Implements[[#This Row],[Unit2]]&amp;"; ","")&amp;IF(Implements[[#This Row],[Size1]]&gt;0,ROUND(Implements[[#This Row],[Size1]],1)&amp;" "&amp;Implements[[#This Row],[Unit1]]," "))</f>
        <v>Large Rectangular Baler; 3x3 ; 20 Ft</v>
      </c>
      <c r="T99" s="206" t="s">
        <v>5472</v>
      </c>
      <c r="U99" s="207">
        <v>131500</v>
      </c>
      <c r="V99" s="208">
        <v>0.1</v>
      </c>
      <c r="W99" s="208">
        <f>Implements[[#This Row],[Purchase Price (2020)]]/(1-Implements[[#This Row],[List Discount]])</f>
        <v>146111.11111111109</v>
      </c>
      <c r="X99" s="203">
        <v>12</v>
      </c>
      <c r="Y99" s="209">
        <v>250</v>
      </c>
      <c r="Z99" s="210" t="s">
        <v>5395</v>
      </c>
      <c r="AA99" s="203">
        <v>6</v>
      </c>
      <c r="AB99" s="208">
        <v>0.8</v>
      </c>
      <c r="AC99" s="208">
        <v>1</v>
      </c>
      <c r="AD99" s="208">
        <v>1.1100000000000001</v>
      </c>
      <c r="AE99" s="203" t="s">
        <v>5494</v>
      </c>
      <c r="AF99" s="203">
        <v>250</v>
      </c>
      <c r="AG99" s="208">
        <f>_xlfn.XLOOKUP(Implements[[#This Row],[Defaulty ASABE Category]],ASABECoefficients[ASABE Category],ASABECoefficients[RF1])</f>
        <v>0.1</v>
      </c>
      <c r="AH99" s="208">
        <f>_xlfn.XLOOKUP(Implements[[#This Row],[Defaulty ASABE Category]],ASABECoefficients[ASABE Category],ASABECoefficients[RF2])</f>
        <v>1.8</v>
      </c>
      <c r="AI99" s="208">
        <f>_xlfn.XLOOKUP(Implements[[#This Row],[Defaulty ASABE Category]],ASABECoefficients[ASABE Category],ASABECoefficients[RV1])</f>
        <v>0.80910000000000004</v>
      </c>
      <c r="AJ99" s="208">
        <f>_xlfn.XLOOKUP(Implements[[#This Row],[Defaulty ASABE Category]],ASABECoefficients[ASABE Category],ASABECoefficients[RV2])</f>
        <v>0.1109</v>
      </c>
      <c r="AK99" s="208">
        <f>_xlfn.XLOOKUP(Implements[[#This Row],[Defaulty ASABE Category]],ASABECoefficients[ASABE Category],ASABECoefficients[RV3])</f>
        <v>0</v>
      </c>
      <c r="AL99" s="208">
        <f>_xlfn.XLOOKUP(Implements[[#This Row],[Defaulty ASABE Category]],ASABECoefficients[ASABE Category],ASABECoefficients[RV4])</f>
        <v>1.4E-3</v>
      </c>
      <c r="AM99" s="208">
        <f>_xlfn.XLOOKUP(Implements[[#This Row],[Defaulty ASABE Category]],ASABECoefficients[ASABE Category],ASABECoefficients[RV5])</f>
        <v>0.12670000000000001</v>
      </c>
      <c r="AN99" s="208">
        <f>(Implements[[#This Row],[RV1]]-Implements[[#This Row],[RV2]]*Implements[[#This Row],[Expected Life (years)]]^0.5-Implements[[#This Row],[RV3]]*Implements[[#This Row],[Expected Use (hr/yr)]]^0.5+Implements[[#This Row],[RV4]]*'Data tables'!$AD$67)^2+0.25*Implements[[#This Row],[RV5]]</f>
        <v>0.31216003043323148</v>
      </c>
      <c r="AO99" s="208">
        <f>Implements[[#This Row],[Trade-in (%)]]*Implements[[#This Row],[List Price]]</f>
        <v>45610.048891077706</v>
      </c>
      <c r="AP99" s="208">
        <f>(Implements[[#This Row],[Purchase Price (2020)]]-Implements[[#This Row],[Trade-in ($)]])/Implements[[#This Row],[Expected Life (years)]]</f>
        <v>7157.4959257435248</v>
      </c>
      <c r="AQ99" s="208">
        <f>Implements[[#This Row],[List Price]]*(Implements[[#This Row],[RF1]]*(Implements[[#This Row],[Expected Life (years)]]*Implements[[#This Row],[Expected Use (hr/yr)]]/1000)^Implements[[#This Row],[RF2]])</f>
        <v>105560.51537147036</v>
      </c>
      <c r="AR99" s="208">
        <f>Implements[[#This Row],[Accumulated Repairs ($)]]/Implements[[#This Row],[Expected Life (years)]]</f>
        <v>8796.7096142891969</v>
      </c>
      <c r="AS99" s="212">
        <f>Implements[[#This Row],[Size1]]*Implements[[#This Row],[Field Speed (m/h)]]*Implements[[#This Row],[Field Efficiency]]/'Data tables'!$AD$68</f>
        <v>11.636363636363637</v>
      </c>
      <c r="AT99" s="212">
        <f>Implements[[#This Row],[Acres/hour]]*Implements[[#This Row],[Expected Use (hr/yr)]]</f>
        <v>2909.090909090909</v>
      </c>
      <c r="AU99" s="212">
        <f>Implements[[#This Row],[Annual Depreciation]]/Implements[[#This Row],[Acres/year]]</f>
        <v>2.4603892244743366</v>
      </c>
      <c r="AV99" s="212">
        <f>(Implements[[#This Row],[Purchase Price (2020)]]+Implements[[#This Row],[Trade-in ($)]]+Implements[[#This Row],[Annual Depreciation]])/2*'Data tables'!$AD$58/Implements[[#This Row],[Acres/year]]</f>
        <v>1.2668393706156458</v>
      </c>
      <c r="AW99" s="212">
        <f>Implements[[#This Row],[Annual Repairs ($)]]/Implements[[#This Row],[Acres/year]]</f>
        <v>3.0238689299119117</v>
      </c>
      <c r="AX99" s="212">
        <f>(Implements[[#This Row],[Purchase Price (2020)]]+Implements[[#This Row],[Trade-in ($)]]+Implements[[#This Row],[Annual Depreciation]])/2*'Data tables'!$AD$70/Implements[[#This Row],[Acres/year]]</f>
        <v>0.15835492132695572</v>
      </c>
      <c r="AY99" s="201">
        <f>(Implements[[#This Row],[Purchase Price (2020)]]+Implements[[#This Row],[Trade-in ($)]]+Implements[[#This Row],[Annual Depreciation]])/2*'Data tables'!$AD$59/Implements[[#This Row],[Acres/year]]</f>
        <v>0.26920336625582475</v>
      </c>
      <c r="AZ99" s="201">
        <f>(Implements[[#This Row],[Tractor (hr/impl)]]*Implements[[#This Row],[Labor (hr/trac)]])/Implements[[#This Row],[Acres/hour]]</f>
        <v>9.5390625000000007E-2</v>
      </c>
      <c r="BA99" s="201">
        <f>'Data tables'!$AD$62*Implements[[#This Row],[Shed (ft^2)]]/Implements[[#This Row],[Acres/year]]</f>
        <v>8.3292254646998645E-2</v>
      </c>
      <c r="BP99" s="19"/>
      <c r="BW99"/>
    </row>
    <row r="100" spans="13:75" x14ac:dyDescent="0.25">
      <c r="M100" s="201" t="s">
        <v>5379</v>
      </c>
      <c r="N100" s="216" t="s">
        <v>5393</v>
      </c>
      <c r="O100" s="203">
        <v>20</v>
      </c>
      <c r="P100" s="204" t="s">
        <v>5355</v>
      </c>
      <c r="Q100" s="205" t="s">
        <v>5396</v>
      </c>
      <c r="R100" s="205"/>
      <c r="S100" s="205" t="str">
        <f>CONCATENATE(N100&amp;"; "&amp;IF(Implements[[#This Row],[Size2]]&lt;&gt;"",Implements[[#This Row],[Size2]]&amp;" "&amp;Implements[[#This Row],[Unit2]]&amp;"; ","")&amp;IF(Implements[[#This Row],[Size1]]&gt;0,ROUND(Implements[[#This Row],[Size1]],1)&amp;" "&amp;Implements[[#This Row],[Unit1]]," "))</f>
        <v>Large Rectangular Baler; 4x3 ; 20 Ft</v>
      </c>
      <c r="T100" s="206" t="s">
        <v>5472</v>
      </c>
      <c r="U100" s="207">
        <v>159500</v>
      </c>
      <c r="V100" s="208">
        <v>0.1</v>
      </c>
      <c r="W100" s="208">
        <f>Implements[[#This Row],[Purchase Price (2020)]]/(1-Implements[[#This Row],[List Discount]])</f>
        <v>177222.22222222222</v>
      </c>
      <c r="X100" s="203">
        <v>12</v>
      </c>
      <c r="Y100" s="209">
        <v>250</v>
      </c>
      <c r="Z100" s="210" t="s">
        <v>5395</v>
      </c>
      <c r="AA100" s="203">
        <v>6</v>
      </c>
      <c r="AB100" s="208">
        <v>0.8</v>
      </c>
      <c r="AC100" s="208">
        <v>1</v>
      </c>
      <c r="AD100" s="208">
        <v>1.1100000000000001</v>
      </c>
      <c r="AE100" s="203" t="s">
        <v>5494</v>
      </c>
      <c r="AF100" s="203">
        <v>250</v>
      </c>
      <c r="AG100" s="208">
        <f>_xlfn.XLOOKUP(Implements[[#This Row],[Defaulty ASABE Category]],ASABECoefficients[ASABE Category],ASABECoefficients[RF1])</f>
        <v>0.1</v>
      </c>
      <c r="AH100" s="208">
        <f>_xlfn.XLOOKUP(Implements[[#This Row],[Defaulty ASABE Category]],ASABECoefficients[ASABE Category],ASABECoefficients[RF2])</f>
        <v>1.8</v>
      </c>
      <c r="AI100" s="208">
        <f>_xlfn.XLOOKUP(Implements[[#This Row],[Defaulty ASABE Category]],ASABECoefficients[ASABE Category],ASABECoefficients[RV1])</f>
        <v>0.80910000000000004</v>
      </c>
      <c r="AJ100" s="208">
        <f>_xlfn.XLOOKUP(Implements[[#This Row],[Defaulty ASABE Category]],ASABECoefficients[ASABE Category],ASABECoefficients[RV2])</f>
        <v>0.1109</v>
      </c>
      <c r="AK100" s="208">
        <f>_xlfn.XLOOKUP(Implements[[#This Row],[Defaulty ASABE Category]],ASABECoefficients[ASABE Category],ASABECoefficients[RV3])</f>
        <v>0</v>
      </c>
      <c r="AL100" s="208">
        <f>_xlfn.XLOOKUP(Implements[[#This Row],[Defaulty ASABE Category]],ASABECoefficients[ASABE Category],ASABECoefficients[RV4])</f>
        <v>1.4E-3</v>
      </c>
      <c r="AM100" s="208">
        <f>_xlfn.XLOOKUP(Implements[[#This Row],[Defaulty ASABE Category]],ASABECoefficients[ASABE Category],ASABECoefficients[RV5])</f>
        <v>0.12670000000000001</v>
      </c>
      <c r="AN100" s="208">
        <f>(Implements[[#This Row],[RV1]]-Implements[[#This Row],[RV2]]*Implements[[#This Row],[Expected Life (years)]]^0.5-Implements[[#This Row],[RV3]]*Implements[[#This Row],[Expected Use (hr/yr)]]^0.5+Implements[[#This Row],[RV4]]*'Data tables'!$AD$67)^2+0.25*Implements[[#This Row],[RV5]]</f>
        <v>0.31216003043323148</v>
      </c>
      <c r="AO100" s="208">
        <f>Implements[[#This Row],[Trade-in (%)]]*Implements[[#This Row],[List Price]]</f>
        <v>55321.694282333803</v>
      </c>
      <c r="AP100" s="208">
        <f>(Implements[[#This Row],[Purchase Price (2020)]]-Implements[[#This Row],[Trade-in ($)]])/Implements[[#This Row],[Expected Life (years)]]</f>
        <v>8681.5254764721831</v>
      </c>
      <c r="AQ100" s="208">
        <f>Implements[[#This Row],[List Price]]*(Implements[[#This Row],[RF1]]*(Implements[[#This Row],[Expected Life (years)]]*Implements[[#This Row],[Expected Use (hr/yr)]]/1000)^Implements[[#This Row],[RF2]])</f>
        <v>128037.27910075683</v>
      </c>
      <c r="AR100" s="208">
        <f>Implements[[#This Row],[Accumulated Repairs ($)]]/Implements[[#This Row],[Expected Life (years)]]</f>
        <v>10669.773258396403</v>
      </c>
      <c r="AS100" s="212">
        <f>Implements[[#This Row],[Size1]]*Implements[[#This Row],[Field Speed (m/h)]]*Implements[[#This Row],[Field Efficiency]]/'Data tables'!$AD$68</f>
        <v>11.636363636363637</v>
      </c>
      <c r="AT100" s="212">
        <f>Implements[[#This Row],[Acres/hour]]*Implements[[#This Row],[Expected Use (hr/yr)]]</f>
        <v>2909.090909090909</v>
      </c>
      <c r="AU100" s="212">
        <f>Implements[[#This Row],[Annual Depreciation]]/Implements[[#This Row],[Acres/year]]</f>
        <v>2.984274382537313</v>
      </c>
      <c r="AV100" s="212">
        <f>(Implements[[#This Row],[Purchase Price (2020)]]+Implements[[#This Row],[Trade-in ($)]]+Implements[[#This Row],[Annual Depreciation]])/2*'Data tables'!$AD$58/Implements[[#This Row],[Acres/year]]</f>
        <v>1.5365846358417914</v>
      </c>
      <c r="AW100" s="212">
        <f>Implements[[#This Row],[Annual Repairs ($)]]/Implements[[#This Row],[Acres/year]]</f>
        <v>3.6677345575737634</v>
      </c>
      <c r="AX100" s="212">
        <f>(Implements[[#This Row],[Purchase Price (2020)]]+Implements[[#This Row],[Trade-in ($)]]+Implements[[#This Row],[Annual Depreciation]])/2*'Data tables'!$AD$70/Implements[[#This Row],[Acres/year]]</f>
        <v>0.19207307948022392</v>
      </c>
      <c r="AY100" s="201">
        <f>(Implements[[#This Row],[Purchase Price (2020)]]+Implements[[#This Row],[Trade-in ($)]]+Implements[[#This Row],[Annual Depreciation]])/2*'Data tables'!$AD$59/Implements[[#This Row],[Acres/year]]</f>
        <v>0.32652423511638068</v>
      </c>
      <c r="AZ100" s="201">
        <f>(Implements[[#This Row],[Tractor (hr/impl)]]*Implements[[#This Row],[Labor (hr/trac)]])/Implements[[#This Row],[Acres/hour]]</f>
        <v>9.5390625000000007E-2</v>
      </c>
      <c r="BA100" s="201">
        <f>'Data tables'!$AD$62*Implements[[#This Row],[Shed (ft^2)]]/Implements[[#This Row],[Acres/year]]</f>
        <v>8.3292254646998645E-2</v>
      </c>
      <c r="BP100" s="19"/>
      <c r="BW100"/>
    </row>
    <row r="101" spans="13:75" x14ac:dyDescent="0.25">
      <c r="M101" s="201" t="s">
        <v>5379</v>
      </c>
      <c r="N101" s="202" t="s">
        <v>5397</v>
      </c>
      <c r="O101" s="203">
        <v>7.5</v>
      </c>
      <c r="P101" s="204" t="s">
        <v>5355</v>
      </c>
      <c r="Q101" s="205">
        <v>3</v>
      </c>
      <c r="R101" s="204" t="s">
        <v>5367</v>
      </c>
      <c r="S101" s="205" t="str">
        <f>CONCATENATE(N101&amp;"; "&amp;IF(Implements[[#This Row],[Size2]]&lt;&gt;"",Implements[[#This Row],[Size2]]&amp;" "&amp;Implements[[#This Row],[Unit2]]&amp;"; ","")&amp;IF(Implements[[#This Row],[Size1]]&gt;0,ROUND(Implements[[#This Row],[Size1]],1)&amp;" "&amp;Implements[[#This Row],[Unit1]]," "))</f>
        <v>Forage Harvester, Pull-Type w/Corn Head; 3 Row; 7.5 Ft</v>
      </c>
      <c r="T101" s="206" t="s">
        <v>5476</v>
      </c>
      <c r="U101" s="207">
        <v>76000</v>
      </c>
      <c r="V101" s="208">
        <v>0.1</v>
      </c>
      <c r="W101" s="208">
        <f>Implements[[#This Row],[Purchase Price (2020)]]/(1-Implements[[#This Row],[List Discount]])</f>
        <v>84444.444444444438</v>
      </c>
      <c r="X101" s="203">
        <v>12</v>
      </c>
      <c r="Y101" s="209">
        <v>200</v>
      </c>
      <c r="Z101" s="210" t="s">
        <v>5454</v>
      </c>
      <c r="AA101" s="203">
        <v>3.5</v>
      </c>
      <c r="AB101" s="208">
        <v>0.65</v>
      </c>
      <c r="AC101" s="208">
        <v>1</v>
      </c>
      <c r="AD101" s="208">
        <v>1.1100000000000001</v>
      </c>
      <c r="AE101" s="203" t="s">
        <v>5494</v>
      </c>
      <c r="AF101" s="203">
        <v>140</v>
      </c>
      <c r="AG101" s="208">
        <f>_xlfn.XLOOKUP(Implements[[#This Row],[Defaulty ASABE Category]],ASABECoefficients[ASABE Category],ASABECoefficients[RF1])</f>
        <v>0.15</v>
      </c>
      <c r="AH101" s="208">
        <f>_xlfn.XLOOKUP(Implements[[#This Row],[Defaulty ASABE Category]],ASABECoefficients[ASABE Category],ASABECoefficients[RF2])</f>
        <v>1.6</v>
      </c>
      <c r="AI101" s="208">
        <f>_xlfn.XLOOKUP(Implements[[#This Row],[Defaulty ASABE Category]],ASABECoefficients[ASABE Category],ASABECoefficients[RV1])</f>
        <v>0.65290000000000004</v>
      </c>
      <c r="AJ101" s="208">
        <f>_xlfn.XLOOKUP(Implements[[#This Row],[Defaulty ASABE Category]],ASABECoefficients[ASABE Category],ASABECoefficients[RV2])</f>
        <v>0.15110000000000001</v>
      </c>
      <c r="AK101" s="208">
        <f>_xlfn.XLOOKUP(Implements[[#This Row],[Defaulty ASABE Category]],ASABECoefficients[ASABE Category],ASABECoefficients[RV3])</f>
        <v>0</v>
      </c>
      <c r="AL101" s="208">
        <f>_xlfn.XLOOKUP(Implements[[#This Row],[Defaulty ASABE Category]],ASABECoefficients[ASABE Category],ASABECoefficients[RV4])</f>
        <v>7.7999999999999996E-3</v>
      </c>
      <c r="AM101" s="208">
        <f>_xlfn.XLOOKUP(Implements[[#This Row],[Defaulty ASABE Category]],ASABECoefficients[ASABE Category],ASABECoefficients[RV5])</f>
        <v>0.1235</v>
      </c>
      <c r="AN101" s="208">
        <f>(Implements[[#This Row],[RV1]]-Implements[[#This Row],[RV2]]*Implements[[#This Row],[Expected Life (years)]]^0.5-Implements[[#This Row],[RV3]]*Implements[[#This Row],[Expected Use (hr/yr)]]^0.5+Implements[[#This Row],[RV4]]*'Data tables'!$AD$67)^2+0.25*Implements[[#This Row],[RV5]]</f>
        <v>0.53878212703813477</v>
      </c>
      <c r="AO101" s="208">
        <f>Implements[[#This Row],[Trade-in (%)]]*Implements[[#This Row],[List Price]]</f>
        <v>45497.157394331378</v>
      </c>
      <c r="AP101" s="208">
        <f>(Implements[[#This Row],[Purchase Price (2020)]]-Implements[[#This Row],[Trade-in ($)]])/Implements[[#This Row],[Expected Life (years)]]</f>
        <v>2541.9035504723852</v>
      </c>
      <c r="AQ101" s="208">
        <f>Implements[[#This Row],[List Price]]*(Implements[[#This Row],[RF1]]*(Implements[[#This Row],[Expected Life (years)]]*Implements[[#This Row],[Expected Use (hr/yr)]]/1000)^Implements[[#This Row],[RF2]])</f>
        <v>51404.404056542058</v>
      </c>
      <c r="AR101" s="208">
        <f>Implements[[#This Row],[Accumulated Repairs ($)]]/Implements[[#This Row],[Expected Life (years)]]</f>
        <v>4283.7003380451715</v>
      </c>
      <c r="AS101" s="212">
        <f>Implements[[#This Row],[Size1]]*Implements[[#This Row],[Field Speed (m/h)]]*Implements[[#This Row],[Field Efficiency]]/'Data tables'!$AD$68</f>
        <v>2.0681818181818183</v>
      </c>
      <c r="AT101" s="212">
        <f>Implements[[#This Row],[Acres/hour]]*Implements[[#This Row],[Expected Use (hr/yr)]]</f>
        <v>413.63636363636368</v>
      </c>
      <c r="AU101" s="212">
        <f>Implements[[#This Row],[Annual Depreciation]]/Implements[[#This Row],[Acres/year]]</f>
        <v>6.1452613308123594</v>
      </c>
      <c r="AV101" s="212">
        <f>(Implements[[#This Row],[Purchase Price (2020)]]+Implements[[#This Row],[Trade-in ($)]]+Implements[[#This Row],[Annual Depreciation]])/2*'Data tables'!$AD$58/Implements[[#This Row],[Acres/year]]</f>
        <v>5.9974930566718303</v>
      </c>
      <c r="AW101" s="212">
        <f>Implements[[#This Row],[Annual Repairs ($)]]/Implements[[#This Row],[Acres/year]]</f>
        <v>10.356198619449865</v>
      </c>
      <c r="AX101" s="212">
        <f>(Implements[[#This Row],[Purchase Price (2020)]]+Implements[[#This Row],[Trade-in ($)]]+Implements[[#This Row],[Annual Depreciation]])/2*'Data tables'!$AD$70/Implements[[#This Row],[Acres/year]]</f>
        <v>0.74968663208397879</v>
      </c>
      <c r="AY101" s="201">
        <f>(Implements[[#This Row],[Purchase Price (2020)]]+Implements[[#This Row],[Trade-in ($)]]+Implements[[#This Row],[Annual Depreciation]])/2*'Data tables'!$AD$59/Implements[[#This Row],[Acres/year]]</f>
        <v>1.2744672745427641</v>
      </c>
      <c r="AZ101" s="201">
        <f>(Implements[[#This Row],[Tractor (hr/impl)]]*Implements[[#This Row],[Labor (hr/trac)]])/Implements[[#This Row],[Acres/hour]]</f>
        <v>0.53670329670329675</v>
      </c>
      <c r="BA101" s="201">
        <f>'Data tables'!$AD$62*Implements[[#This Row],[Shed (ft^2)]]/Implements[[#This Row],[Acres/year]]</f>
        <v>0.32804334137894853</v>
      </c>
      <c r="BP101" s="19"/>
      <c r="BW101"/>
    </row>
    <row r="102" spans="13:75" x14ac:dyDescent="0.25">
      <c r="M102" s="201" t="s">
        <v>5379</v>
      </c>
      <c r="N102" s="202" t="s">
        <v>5398</v>
      </c>
      <c r="O102" s="203">
        <v>12</v>
      </c>
      <c r="P102" s="204" t="s">
        <v>5355</v>
      </c>
      <c r="Q102" s="205"/>
      <c r="R102" s="204"/>
      <c r="S102" s="205" t="str">
        <f>CONCATENATE(N102&amp;"; "&amp;IF(Implements[[#This Row],[Size2]]&lt;&gt;"",Implements[[#This Row],[Size2]]&amp;" "&amp;Implements[[#This Row],[Unit2]]&amp;"; ","")&amp;IF(Implements[[#This Row],[Size1]]&gt;0,ROUND(Implements[[#This Row],[Size1]],1)&amp;" "&amp;Implements[[#This Row],[Unit1]]," "))</f>
        <v>Forage Harvester, Pull-Type w/Pickup Head; 12 Ft</v>
      </c>
      <c r="T102" s="206" t="s">
        <v>5477</v>
      </c>
      <c r="U102" s="207">
        <v>67000</v>
      </c>
      <c r="V102" s="208">
        <v>0.1</v>
      </c>
      <c r="W102" s="208">
        <f>Implements[[#This Row],[Purchase Price (2020)]]/(1-Implements[[#This Row],[List Discount]])</f>
        <v>74444.444444444438</v>
      </c>
      <c r="X102" s="203">
        <v>12</v>
      </c>
      <c r="Y102" s="209">
        <v>200</v>
      </c>
      <c r="Z102" s="210" t="s">
        <v>5454</v>
      </c>
      <c r="AA102" s="203">
        <v>3.5</v>
      </c>
      <c r="AB102" s="208">
        <v>0.65</v>
      </c>
      <c r="AC102" s="208">
        <v>1</v>
      </c>
      <c r="AD102" s="208">
        <v>1.1100000000000001</v>
      </c>
      <c r="AE102" s="203" t="s">
        <v>5494</v>
      </c>
      <c r="AF102" s="203">
        <v>140</v>
      </c>
      <c r="AG102" s="208">
        <f>_xlfn.XLOOKUP(Implements[[#This Row],[Defaulty ASABE Category]],ASABECoefficients[ASABE Category],ASABECoefficients[RF1])</f>
        <v>0.15</v>
      </c>
      <c r="AH102" s="208">
        <f>_xlfn.XLOOKUP(Implements[[#This Row],[Defaulty ASABE Category]],ASABECoefficients[ASABE Category],ASABECoefficients[RF2])</f>
        <v>1.6</v>
      </c>
      <c r="AI102" s="208">
        <f>_xlfn.XLOOKUP(Implements[[#This Row],[Defaulty ASABE Category]],ASABECoefficients[ASABE Category],ASABECoefficients[RV1])</f>
        <v>0.65290000000000004</v>
      </c>
      <c r="AJ102" s="208">
        <f>_xlfn.XLOOKUP(Implements[[#This Row],[Defaulty ASABE Category]],ASABECoefficients[ASABE Category],ASABECoefficients[RV2])</f>
        <v>0.15110000000000001</v>
      </c>
      <c r="AK102" s="208">
        <f>_xlfn.XLOOKUP(Implements[[#This Row],[Defaulty ASABE Category]],ASABECoefficients[ASABE Category],ASABECoefficients[RV3])</f>
        <v>0</v>
      </c>
      <c r="AL102" s="208">
        <f>_xlfn.XLOOKUP(Implements[[#This Row],[Defaulty ASABE Category]],ASABECoefficients[ASABE Category],ASABECoefficients[RV4])</f>
        <v>7.7999999999999996E-3</v>
      </c>
      <c r="AM102" s="208">
        <f>_xlfn.XLOOKUP(Implements[[#This Row],[Defaulty ASABE Category]],ASABECoefficients[ASABE Category],ASABECoefficients[RV5])</f>
        <v>0.1235</v>
      </c>
      <c r="AN102" s="208">
        <f>(Implements[[#This Row],[RV1]]-Implements[[#This Row],[RV2]]*Implements[[#This Row],[Expected Life (years)]]^0.5-Implements[[#This Row],[RV3]]*Implements[[#This Row],[Expected Use (hr/yr)]]^0.5+Implements[[#This Row],[RV4]]*'Data tables'!$AD$67)^2+0.25*Implements[[#This Row],[RV5]]</f>
        <v>0.53878212703813477</v>
      </c>
      <c r="AO102" s="208">
        <f>Implements[[#This Row],[Trade-in (%)]]*Implements[[#This Row],[List Price]]</f>
        <v>40109.33612395003</v>
      </c>
      <c r="AP102" s="208">
        <f>(Implements[[#This Row],[Purchase Price (2020)]]-Implements[[#This Row],[Trade-in ($)]])/Implements[[#This Row],[Expected Life (years)]]</f>
        <v>2240.8886563374977</v>
      </c>
      <c r="AQ102" s="208">
        <f>Implements[[#This Row],[List Price]]*(Implements[[#This Row],[RF1]]*(Implements[[#This Row],[Expected Life (years)]]*Implements[[#This Row],[Expected Use (hr/yr)]]/1000)^Implements[[#This Row],[RF2]])</f>
        <v>45317.040418267337</v>
      </c>
      <c r="AR102" s="208">
        <f>Implements[[#This Row],[Accumulated Repairs ($)]]/Implements[[#This Row],[Expected Life (years)]]</f>
        <v>3776.4200348556114</v>
      </c>
      <c r="AS102" s="212">
        <f>Implements[[#This Row],[Size1]]*Implements[[#This Row],[Field Speed (m/h)]]*Implements[[#This Row],[Field Efficiency]]/'Data tables'!$AD$68</f>
        <v>3.3090909090909091</v>
      </c>
      <c r="AT102" s="212">
        <f>Implements[[#This Row],[Acres/hour]]*Implements[[#This Row],[Expected Use (hr/yr)]]</f>
        <v>661.81818181818187</v>
      </c>
      <c r="AU102" s="212">
        <f>Implements[[#This Row],[Annual Depreciation]]/Implements[[#This Row],[Acres/year]]</f>
        <v>3.3859581345758891</v>
      </c>
      <c r="AV102" s="212">
        <f>(Implements[[#This Row],[Purchase Price (2020)]]+Implements[[#This Row],[Trade-in ($)]]+Implements[[#This Row],[Annual Depreciation]])/2*'Data tables'!$AD$58/Implements[[#This Row],[Acres/year]]</f>
        <v>3.3045397598438533</v>
      </c>
      <c r="AW102" s="212">
        <f>Implements[[#This Row],[Annual Repairs ($)]]/Implements[[#This Row],[Acres/year]]</f>
        <v>5.7061291735455661</v>
      </c>
      <c r="AX102" s="212">
        <f>(Implements[[#This Row],[Purchase Price (2020)]]+Implements[[#This Row],[Trade-in ($)]]+Implements[[#This Row],[Annual Depreciation]])/2*'Data tables'!$AD$70/Implements[[#This Row],[Acres/year]]</f>
        <v>0.41306746998048166</v>
      </c>
      <c r="AY102" s="201">
        <f>(Implements[[#This Row],[Purchase Price (2020)]]+Implements[[#This Row],[Trade-in ($)]]+Implements[[#This Row],[Annual Depreciation]])/2*'Data tables'!$AD$59/Implements[[#This Row],[Acres/year]]</f>
        <v>0.70221469896681887</v>
      </c>
      <c r="AZ102" s="201">
        <f>(Implements[[#This Row],[Tractor (hr/impl)]]*Implements[[#This Row],[Labor (hr/trac)]])/Implements[[#This Row],[Acres/hour]]</f>
        <v>0.33543956043956047</v>
      </c>
      <c r="BA102" s="201">
        <f>'Data tables'!$AD$62*Implements[[#This Row],[Shed (ft^2)]]/Implements[[#This Row],[Acres/year]]</f>
        <v>0.20502708836184283</v>
      </c>
      <c r="BP102" s="19"/>
      <c r="BW102"/>
    </row>
    <row r="103" spans="13:75" x14ac:dyDescent="0.25">
      <c r="M103" s="201" t="s">
        <v>5379</v>
      </c>
      <c r="N103" s="214" t="s">
        <v>5399</v>
      </c>
      <c r="O103" s="203">
        <v>15</v>
      </c>
      <c r="P103" s="204" t="s">
        <v>5355</v>
      </c>
      <c r="Q103" s="205">
        <v>6</v>
      </c>
      <c r="R103" s="204" t="s">
        <v>5367</v>
      </c>
      <c r="S103" s="205" t="str">
        <f>CONCATENATE(N103&amp;"; "&amp;IF(Implements[[#This Row],[Size2]]&lt;&gt;"",Implements[[#This Row],[Size2]]&amp;" "&amp;Implements[[#This Row],[Unit2]]&amp;"; ","")&amp;IF(Implements[[#This Row],[Size1]]&gt;0,ROUND(Implements[[#This Row],[Size1]],1)&amp;" "&amp;Implements[[#This Row],[Unit1]]," "))</f>
        <v>Forage Harvester, Self-Prop Corn Head; 6 Row; 15 Ft</v>
      </c>
      <c r="T103" s="206" t="s">
        <v>5400</v>
      </c>
      <c r="U103" s="207">
        <v>88500</v>
      </c>
      <c r="V103" s="208">
        <v>0.1</v>
      </c>
      <c r="W103" s="208">
        <f>Implements[[#This Row],[Purchase Price (2020)]]/(1-Implements[[#This Row],[List Discount]])</f>
        <v>98333.333333333328</v>
      </c>
      <c r="X103" s="203">
        <v>12</v>
      </c>
      <c r="Y103" s="209">
        <v>200</v>
      </c>
      <c r="Z103" s="210" t="s">
        <v>5401</v>
      </c>
      <c r="AA103" s="203">
        <v>4</v>
      </c>
      <c r="AB103" s="208">
        <v>0.7</v>
      </c>
      <c r="AC103" s="208">
        <v>1</v>
      </c>
      <c r="AD103" s="208">
        <v>1.1100000000000001</v>
      </c>
      <c r="AE103" s="203" t="s">
        <v>5494</v>
      </c>
      <c r="AF103" s="203">
        <v>300</v>
      </c>
      <c r="AG103" s="208">
        <f>_xlfn.XLOOKUP(Implements[[#This Row],[Defaulty ASABE Category]],ASABECoefficients[ASABE Category],ASABECoefficients[RF1])</f>
        <v>0.03</v>
      </c>
      <c r="AH103" s="208">
        <f>_xlfn.XLOOKUP(Implements[[#This Row],[Defaulty ASABE Category]],ASABECoefficients[ASABE Category],ASABECoefficients[RF2])</f>
        <v>2</v>
      </c>
      <c r="AI103" s="208">
        <f>_xlfn.XLOOKUP(Implements[[#This Row],[Defaulty ASABE Category]],ASABECoefficients[ASABE Category],ASABECoefficients[RV1])</f>
        <v>0.65290000000000004</v>
      </c>
      <c r="AJ103" s="208">
        <f>_xlfn.XLOOKUP(Implements[[#This Row],[Defaulty ASABE Category]],ASABECoefficients[ASABE Category],ASABECoefficients[RV2])</f>
        <v>0.15110000000000001</v>
      </c>
      <c r="AK103" s="208">
        <f>_xlfn.XLOOKUP(Implements[[#This Row],[Defaulty ASABE Category]],ASABECoefficients[ASABE Category],ASABECoefficients[RV3])</f>
        <v>0</v>
      </c>
      <c r="AL103" s="208">
        <f>_xlfn.XLOOKUP(Implements[[#This Row],[Defaulty ASABE Category]],ASABECoefficients[ASABE Category],ASABECoefficients[RV4])</f>
        <v>7.7999999999999996E-3</v>
      </c>
      <c r="AM103" s="208">
        <f>_xlfn.XLOOKUP(Implements[[#This Row],[Defaulty ASABE Category]],ASABECoefficients[ASABE Category],ASABECoefficients[RV5])</f>
        <v>0.1235</v>
      </c>
      <c r="AN103" s="208">
        <f>(Implements[[#This Row],[RV1]]-Implements[[#This Row],[RV2]]*Implements[[#This Row],[Expected Life (years)]]^0.5-Implements[[#This Row],[RV3]]*Implements[[#This Row],[Expected Use (hr/yr)]]^0.5+Implements[[#This Row],[RV4]]*'Data tables'!$AD$67)^2+0.25*Implements[[#This Row],[RV5]]</f>
        <v>0.53878212703813477</v>
      </c>
      <c r="AO103" s="208">
        <f>Implements[[#This Row],[Trade-in (%)]]*Implements[[#This Row],[List Price]]</f>
        <v>52980.242492083249</v>
      </c>
      <c r="AP103" s="208">
        <f>(Implements[[#This Row],[Purchase Price (2020)]]-Implements[[#This Row],[Trade-in ($)]])/Implements[[#This Row],[Expected Life (years)]]</f>
        <v>2959.9797923263959</v>
      </c>
      <c r="AQ103" s="208">
        <f>Implements[[#This Row],[List Price]]*(Implements[[#This Row],[RF1]]*(Implements[[#This Row],[Expected Life (years)]]*Implements[[#This Row],[Expected Use (hr/yr)]]/1000)^Implements[[#This Row],[RF2]])</f>
        <v>16991.999999999996</v>
      </c>
      <c r="AR103" s="208">
        <f>Implements[[#This Row],[Accumulated Repairs ($)]]/Implements[[#This Row],[Expected Life (years)]]</f>
        <v>1415.9999999999998</v>
      </c>
      <c r="AS103" s="212">
        <f>Implements[[#This Row],[Size1]]*Implements[[#This Row],[Field Speed (m/h)]]*Implements[[#This Row],[Field Efficiency]]/'Data tables'!$AD$68</f>
        <v>5.0909090909090908</v>
      </c>
      <c r="AT103" s="212">
        <f>Implements[[#This Row],[Acres/hour]]*Implements[[#This Row],[Expected Use (hr/yr)]]</f>
        <v>1018.1818181818181</v>
      </c>
      <c r="AU103" s="212">
        <f>Implements[[#This Row],[Annual Depreciation]]/Implements[[#This Row],[Acres/year]]</f>
        <v>2.9071230103205674</v>
      </c>
      <c r="AV103" s="212">
        <f>(Implements[[#This Row],[Purchase Price (2020)]]+Implements[[#This Row],[Trade-in ($)]]+Implements[[#This Row],[Annual Depreciation]])/2*'Data tables'!$AD$58/Implements[[#This Row],[Acres/year]]</f>
        <v>2.8372186520151899</v>
      </c>
      <c r="AW103" s="212">
        <f>Implements[[#This Row],[Annual Repairs ($)]]/Implements[[#This Row],[Acres/year]]</f>
        <v>1.3907142857142856</v>
      </c>
      <c r="AX103" s="212">
        <f>(Implements[[#This Row],[Purchase Price (2020)]]+Implements[[#This Row],[Trade-in ($)]]+Implements[[#This Row],[Annual Depreciation]])/2*'Data tables'!$AD$70/Implements[[#This Row],[Acres/year]]</f>
        <v>0.35465233150189873</v>
      </c>
      <c r="AY103" s="201">
        <f>(Implements[[#This Row],[Purchase Price (2020)]]+Implements[[#This Row],[Trade-in ($)]]+Implements[[#This Row],[Annual Depreciation]])/2*'Data tables'!$AD$59/Implements[[#This Row],[Acres/year]]</f>
        <v>0.60290896355322787</v>
      </c>
      <c r="AZ103" s="201">
        <f>(Implements[[#This Row],[Tractor (hr/impl)]]*Implements[[#This Row],[Labor (hr/trac)]])/Implements[[#This Row],[Acres/hour]]</f>
        <v>0.2180357142857143</v>
      </c>
      <c r="BA103" s="201">
        <f>'Data tables'!$AD$62*Implements[[#This Row],[Shed (ft^2)]]/Implements[[#This Row],[Acres/year]]</f>
        <v>0.28557344450399536</v>
      </c>
      <c r="BP103" s="19"/>
      <c r="BW103"/>
    </row>
    <row r="104" spans="13:75" x14ac:dyDescent="0.25">
      <c r="M104" s="201" t="s">
        <v>5379</v>
      </c>
      <c r="N104" s="214" t="s">
        <v>5399</v>
      </c>
      <c r="O104" s="203">
        <v>20</v>
      </c>
      <c r="P104" s="204" t="s">
        <v>5355</v>
      </c>
      <c r="Q104" s="205">
        <v>8</v>
      </c>
      <c r="R104" s="204" t="s">
        <v>5367</v>
      </c>
      <c r="S104" s="205" t="str">
        <f>CONCATENATE(N104&amp;"; "&amp;IF(Implements[[#This Row],[Size2]]&lt;&gt;"",Implements[[#This Row],[Size2]]&amp;" "&amp;Implements[[#This Row],[Unit2]]&amp;"; ","")&amp;IF(Implements[[#This Row],[Size1]]&gt;0,ROUND(Implements[[#This Row],[Size1]],1)&amp;" "&amp;Implements[[#This Row],[Unit1]]," "))</f>
        <v>Forage Harvester, Self-Prop Corn Head; 8 Row; 20 Ft</v>
      </c>
      <c r="T104" s="206" t="s">
        <v>5400</v>
      </c>
      <c r="U104" s="207">
        <v>116500</v>
      </c>
      <c r="V104" s="208">
        <v>0.1</v>
      </c>
      <c r="W104" s="208">
        <f>Implements[[#This Row],[Purchase Price (2020)]]/(1-Implements[[#This Row],[List Discount]])</f>
        <v>129444.44444444444</v>
      </c>
      <c r="X104" s="203">
        <v>12</v>
      </c>
      <c r="Y104" s="209">
        <v>200</v>
      </c>
      <c r="Z104" s="210" t="s">
        <v>5401</v>
      </c>
      <c r="AA104" s="203">
        <v>4</v>
      </c>
      <c r="AB104" s="208">
        <v>0.7</v>
      </c>
      <c r="AC104" s="208">
        <v>1</v>
      </c>
      <c r="AD104" s="208">
        <v>1.1100000000000001</v>
      </c>
      <c r="AE104" s="203" t="s">
        <v>5494</v>
      </c>
      <c r="AF104" s="203">
        <v>300</v>
      </c>
      <c r="AG104" s="208">
        <f>_xlfn.XLOOKUP(Implements[[#This Row],[Defaulty ASABE Category]],ASABECoefficients[ASABE Category],ASABECoefficients[RF1])</f>
        <v>0.03</v>
      </c>
      <c r="AH104" s="208">
        <f>_xlfn.XLOOKUP(Implements[[#This Row],[Defaulty ASABE Category]],ASABECoefficients[ASABE Category],ASABECoefficients[RF2])</f>
        <v>2</v>
      </c>
      <c r="AI104" s="208">
        <f>_xlfn.XLOOKUP(Implements[[#This Row],[Defaulty ASABE Category]],ASABECoefficients[ASABE Category],ASABECoefficients[RV1])</f>
        <v>0.65290000000000004</v>
      </c>
      <c r="AJ104" s="208">
        <f>_xlfn.XLOOKUP(Implements[[#This Row],[Defaulty ASABE Category]],ASABECoefficients[ASABE Category],ASABECoefficients[RV2])</f>
        <v>0.15110000000000001</v>
      </c>
      <c r="AK104" s="208">
        <f>_xlfn.XLOOKUP(Implements[[#This Row],[Defaulty ASABE Category]],ASABECoefficients[ASABE Category],ASABECoefficients[RV3])</f>
        <v>0</v>
      </c>
      <c r="AL104" s="208">
        <f>_xlfn.XLOOKUP(Implements[[#This Row],[Defaulty ASABE Category]],ASABECoefficients[ASABE Category],ASABECoefficients[RV4])</f>
        <v>7.7999999999999996E-3</v>
      </c>
      <c r="AM104" s="208">
        <f>_xlfn.XLOOKUP(Implements[[#This Row],[Defaulty ASABE Category]],ASABECoefficients[ASABE Category],ASABECoefficients[RV5])</f>
        <v>0.1235</v>
      </c>
      <c r="AN104" s="208">
        <f>(Implements[[#This Row],[RV1]]-Implements[[#This Row],[RV2]]*Implements[[#This Row],[Expected Life (years)]]^0.5-Implements[[#This Row],[RV3]]*Implements[[#This Row],[Expected Use (hr/yr)]]^0.5+Implements[[#This Row],[RV4]]*'Data tables'!$AD$67)^2+0.25*Implements[[#This Row],[RV5]]</f>
        <v>0.53878212703813477</v>
      </c>
      <c r="AO104" s="208">
        <f>Implements[[#This Row],[Trade-in (%)]]*Implements[[#This Row],[List Price]]</f>
        <v>69742.353111047443</v>
      </c>
      <c r="AP104" s="208">
        <f>(Implements[[#This Row],[Purchase Price (2020)]]-Implements[[#This Row],[Trade-in ($)]])/Implements[[#This Row],[Expected Life (years)]]</f>
        <v>3896.4705740793797</v>
      </c>
      <c r="AQ104" s="208">
        <f>Implements[[#This Row],[List Price]]*(Implements[[#This Row],[RF1]]*(Implements[[#This Row],[Expected Life (years)]]*Implements[[#This Row],[Expected Use (hr/yr)]]/1000)^Implements[[#This Row],[RF2]])</f>
        <v>22367.999999999996</v>
      </c>
      <c r="AR104" s="208">
        <f>Implements[[#This Row],[Accumulated Repairs ($)]]/Implements[[#This Row],[Expected Life (years)]]</f>
        <v>1863.9999999999998</v>
      </c>
      <c r="AS104" s="212">
        <f>Implements[[#This Row],[Size1]]*Implements[[#This Row],[Field Speed (m/h)]]*Implements[[#This Row],[Field Efficiency]]/'Data tables'!$AD$68</f>
        <v>6.7878787878787881</v>
      </c>
      <c r="AT104" s="212">
        <f>Implements[[#This Row],[Acres/hour]]*Implements[[#This Row],[Expected Use (hr/yr)]]</f>
        <v>1357.5757575757575</v>
      </c>
      <c r="AU104" s="212">
        <f>Implements[[#This Row],[Annual Depreciation]]/Implements[[#This Row],[Acres/year]]</f>
        <v>2.8701680567995433</v>
      </c>
      <c r="AV104" s="212">
        <f>(Implements[[#This Row],[Purchase Price (2020)]]+Implements[[#This Row],[Trade-in ($)]]+Implements[[#This Row],[Annual Depreciation]])/2*'Data tables'!$AD$58/Implements[[#This Row],[Acres/year]]</f>
        <v>2.8011523132183864</v>
      </c>
      <c r="AW104" s="212">
        <f>Implements[[#This Row],[Annual Repairs ($)]]/Implements[[#This Row],[Acres/year]]</f>
        <v>1.3730357142857141</v>
      </c>
      <c r="AX104" s="212">
        <f>(Implements[[#This Row],[Purchase Price (2020)]]+Implements[[#This Row],[Trade-in ($)]]+Implements[[#This Row],[Annual Depreciation]])/2*'Data tables'!$AD$70/Implements[[#This Row],[Acres/year]]</f>
        <v>0.3501440391522983</v>
      </c>
      <c r="AY104" s="201">
        <f>(Implements[[#This Row],[Purchase Price (2020)]]+Implements[[#This Row],[Trade-in ($)]]+Implements[[#This Row],[Annual Depreciation]])/2*'Data tables'!$AD$59/Implements[[#This Row],[Acres/year]]</f>
        <v>0.59524486655890718</v>
      </c>
      <c r="AZ104" s="201">
        <f>(Implements[[#This Row],[Tractor (hr/impl)]]*Implements[[#This Row],[Labor (hr/trac)]])/Implements[[#This Row],[Acres/hour]]</f>
        <v>0.16352678571428572</v>
      </c>
      <c r="BA104" s="201">
        <f>'Data tables'!$AD$62*Implements[[#This Row],[Shed (ft^2)]]/Implements[[#This Row],[Acres/year]]</f>
        <v>0.21418008337799652</v>
      </c>
      <c r="BP104" s="19"/>
      <c r="BW104"/>
    </row>
    <row r="105" spans="13:75" x14ac:dyDescent="0.25">
      <c r="M105" s="201" t="s">
        <v>5379</v>
      </c>
      <c r="N105" s="202" t="s">
        <v>5402</v>
      </c>
      <c r="O105" s="203">
        <v>12</v>
      </c>
      <c r="P105" s="204" t="s">
        <v>5355</v>
      </c>
      <c r="Q105" s="205"/>
      <c r="R105" s="204"/>
      <c r="S105" s="205" t="str">
        <f>CONCATENATE(N105&amp;"; "&amp;IF(Implements[[#This Row],[Size2]]&lt;&gt;"",Implements[[#This Row],[Size2]]&amp;" "&amp;Implements[[#This Row],[Unit2]]&amp;"; ","")&amp;IF(Implements[[#This Row],[Size1]]&gt;0,ROUND(Implements[[#This Row],[Size1]],1)&amp;" "&amp;Implements[[#This Row],[Unit1]]," "))</f>
        <v>Forage Harvester, Self-Prop Pickup Head; 12 Ft</v>
      </c>
      <c r="T105" s="206" t="s">
        <v>5403</v>
      </c>
      <c r="U105" s="207">
        <v>29000</v>
      </c>
      <c r="V105" s="208">
        <v>0.1</v>
      </c>
      <c r="W105" s="208">
        <f>Implements[[#This Row],[Purchase Price (2020)]]/(1-Implements[[#This Row],[List Discount]])</f>
        <v>32222.222222222223</v>
      </c>
      <c r="X105" s="203">
        <v>12</v>
      </c>
      <c r="Y105" s="209">
        <v>200</v>
      </c>
      <c r="Z105" s="210" t="s">
        <v>5401</v>
      </c>
      <c r="AA105" s="203">
        <v>4</v>
      </c>
      <c r="AB105" s="208">
        <v>0.7</v>
      </c>
      <c r="AC105" s="208">
        <v>1</v>
      </c>
      <c r="AD105" s="208">
        <v>1.1100000000000001</v>
      </c>
      <c r="AE105" s="203" t="s">
        <v>5494</v>
      </c>
      <c r="AF105" s="203">
        <v>300</v>
      </c>
      <c r="AG105" s="208">
        <f>_xlfn.XLOOKUP(Implements[[#This Row],[Defaulty ASABE Category]],ASABECoefficients[ASABE Category],ASABECoefficients[RF1])</f>
        <v>0.03</v>
      </c>
      <c r="AH105" s="208">
        <f>_xlfn.XLOOKUP(Implements[[#This Row],[Defaulty ASABE Category]],ASABECoefficients[ASABE Category],ASABECoefficients[RF2])</f>
        <v>2</v>
      </c>
      <c r="AI105" s="208">
        <f>_xlfn.XLOOKUP(Implements[[#This Row],[Defaulty ASABE Category]],ASABECoefficients[ASABE Category],ASABECoefficients[RV1])</f>
        <v>0.65290000000000004</v>
      </c>
      <c r="AJ105" s="208">
        <f>_xlfn.XLOOKUP(Implements[[#This Row],[Defaulty ASABE Category]],ASABECoefficients[ASABE Category],ASABECoefficients[RV2])</f>
        <v>0.15110000000000001</v>
      </c>
      <c r="AK105" s="208">
        <f>_xlfn.XLOOKUP(Implements[[#This Row],[Defaulty ASABE Category]],ASABECoefficients[ASABE Category],ASABECoefficients[RV3])</f>
        <v>0</v>
      </c>
      <c r="AL105" s="208">
        <f>_xlfn.XLOOKUP(Implements[[#This Row],[Defaulty ASABE Category]],ASABECoefficients[ASABE Category],ASABECoefficients[RV4])</f>
        <v>7.7999999999999996E-3</v>
      </c>
      <c r="AM105" s="208">
        <f>_xlfn.XLOOKUP(Implements[[#This Row],[Defaulty ASABE Category]],ASABECoefficients[ASABE Category],ASABECoefficients[RV5])</f>
        <v>0.1235</v>
      </c>
      <c r="AN105" s="208">
        <f>(Implements[[#This Row],[RV1]]-Implements[[#This Row],[RV2]]*Implements[[#This Row],[Expected Life (years)]]^0.5-Implements[[#This Row],[RV3]]*Implements[[#This Row],[Expected Use (hr/yr)]]^0.5+Implements[[#This Row],[RV4]]*'Data tables'!$AD$67)^2+0.25*Implements[[#This Row],[RV5]]</f>
        <v>0.53878212703813477</v>
      </c>
      <c r="AO105" s="208">
        <f>Implements[[#This Row],[Trade-in (%)]]*Implements[[#This Row],[List Price]]</f>
        <v>17360.757426784341</v>
      </c>
      <c r="AP105" s="208">
        <f>(Implements[[#This Row],[Purchase Price (2020)]]-Implements[[#This Row],[Trade-in ($)]])/Implements[[#This Row],[Expected Life (years)]]</f>
        <v>969.93688110130495</v>
      </c>
      <c r="AQ105" s="208">
        <f>Implements[[#This Row],[List Price]]*(Implements[[#This Row],[RF1]]*(Implements[[#This Row],[Expected Life (years)]]*Implements[[#This Row],[Expected Use (hr/yr)]]/1000)^Implements[[#This Row],[RF2]])</f>
        <v>5567.9999999999991</v>
      </c>
      <c r="AR105" s="208">
        <f>Implements[[#This Row],[Accumulated Repairs ($)]]/Implements[[#This Row],[Expected Life (years)]]</f>
        <v>463.99999999999994</v>
      </c>
      <c r="AS105" s="212">
        <f>Implements[[#This Row],[Size1]]*Implements[[#This Row],[Field Speed (m/h)]]*Implements[[#This Row],[Field Efficiency]]/'Data tables'!$AD$68</f>
        <v>4.0727272727272723</v>
      </c>
      <c r="AT105" s="212">
        <f>Implements[[#This Row],[Acres/hour]]*Implements[[#This Row],[Expected Use (hr/yr)]]</f>
        <v>814.5454545454545</v>
      </c>
      <c r="AU105" s="212">
        <f>Implements[[#This Row],[Annual Depreciation]]/Implements[[#This Row],[Acres/year]]</f>
        <v>1.1907707245663344</v>
      </c>
      <c r="AV105" s="212">
        <f>(Implements[[#This Row],[Purchase Price (2020)]]+Implements[[#This Row],[Trade-in ($)]]+Implements[[#This Row],[Annual Depreciation]])/2*'Data tables'!$AD$58/Implements[[#This Row],[Acres/year]]</f>
        <v>1.1621375834525494</v>
      </c>
      <c r="AW105" s="212">
        <f>Implements[[#This Row],[Annual Repairs ($)]]/Implements[[#This Row],[Acres/year]]</f>
        <v>0.56964285714285712</v>
      </c>
      <c r="AX105" s="212">
        <f>(Implements[[#This Row],[Purchase Price (2020)]]+Implements[[#This Row],[Trade-in ($)]]+Implements[[#This Row],[Annual Depreciation]])/2*'Data tables'!$AD$70/Implements[[#This Row],[Acres/year]]</f>
        <v>0.14526719793156867</v>
      </c>
      <c r="AY105" s="201">
        <f>(Implements[[#This Row],[Purchase Price (2020)]]+Implements[[#This Row],[Trade-in ($)]]+Implements[[#This Row],[Annual Depreciation]])/2*'Data tables'!$AD$59/Implements[[#This Row],[Acres/year]]</f>
        <v>0.24695423648366677</v>
      </c>
      <c r="AZ105" s="201">
        <f>(Implements[[#This Row],[Tractor (hr/impl)]]*Implements[[#This Row],[Labor (hr/trac)]])/Implements[[#This Row],[Acres/hour]]</f>
        <v>0.27254464285714292</v>
      </c>
      <c r="BA105" s="201">
        <f>'Data tables'!$AD$62*Implements[[#This Row],[Shed (ft^2)]]/Implements[[#This Row],[Acres/year]]</f>
        <v>0.35696680562999422</v>
      </c>
      <c r="BP105" s="19"/>
      <c r="BW105"/>
    </row>
    <row r="106" spans="13:75" x14ac:dyDescent="0.25">
      <c r="M106" s="201" t="s">
        <v>5379</v>
      </c>
      <c r="N106" s="202" t="s">
        <v>5404</v>
      </c>
      <c r="O106" s="203">
        <v>24</v>
      </c>
      <c r="P106" s="204" t="s">
        <v>5355</v>
      </c>
      <c r="Q106" s="205"/>
      <c r="R106" s="204"/>
      <c r="S106" s="205" t="str">
        <f>CONCATENATE(N106&amp;"; "&amp;IF(Implements[[#This Row],[Size2]]&lt;&gt;"",Implements[[#This Row],[Size2]]&amp;" "&amp;Implements[[#This Row],[Unit2]]&amp;"; ","")&amp;IF(Implements[[#This Row],[Size1]]&gt;0,ROUND(Implements[[#This Row],[Size1]],1)&amp;" "&amp;Implements[[#This Row],[Unit1]]," "))</f>
        <v>Forage Harvester, Self-Prop Pickup Head (2X windrows); 24 Ft</v>
      </c>
      <c r="T106" s="206" t="s">
        <v>5400</v>
      </c>
      <c r="U106" s="207">
        <v>29000</v>
      </c>
      <c r="V106" s="208">
        <v>0.1</v>
      </c>
      <c r="W106" s="208">
        <f>Implements[[#This Row],[Purchase Price (2020)]]/(1-Implements[[#This Row],[List Discount]])</f>
        <v>32222.222222222223</v>
      </c>
      <c r="X106" s="203">
        <v>12</v>
      </c>
      <c r="Y106" s="209">
        <v>200</v>
      </c>
      <c r="Z106" s="210" t="s">
        <v>5401</v>
      </c>
      <c r="AA106" s="203">
        <v>4</v>
      </c>
      <c r="AB106" s="208">
        <v>0.7</v>
      </c>
      <c r="AC106" s="208">
        <v>1</v>
      </c>
      <c r="AD106" s="208">
        <v>1.1100000000000001</v>
      </c>
      <c r="AE106" s="203" t="s">
        <v>5494</v>
      </c>
      <c r="AF106" s="203">
        <v>300</v>
      </c>
      <c r="AG106" s="208">
        <f>_xlfn.XLOOKUP(Implements[[#This Row],[Defaulty ASABE Category]],ASABECoefficients[ASABE Category],ASABECoefficients[RF1])</f>
        <v>0.03</v>
      </c>
      <c r="AH106" s="208">
        <f>_xlfn.XLOOKUP(Implements[[#This Row],[Defaulty ASABE Category]],ASABECoefficients[ASABE Category],ASABECoefficients[RF2])</f>
        <v>2</v>
      </c>
      <c r="AI106" s="208">
        <f>_xlfn.XLOOKUP(Implements[[#This Row],[Defaulty ASABE Category]],ASABECoefficients[ASABE Category],ASABECoefficients[RV1])</f>
        <v>0.65290000000000004</v>
      </c>
      <c r="AJ106" s="208">
        <f>_xlfn.XLOOKUP(Implements[[#This Row],[Defaulty ASABE Category]],ASABECoefficients[ASABE Category],ASABECoefficients[RV2])</f>
        <v>0.15110000000000001</v>
      </c>
      <c r="AK106" s="208">
        <f>_xlfn.XLOOKUP(Implements[[#This Row],[Defaulty ASABE Category]],ASABECoefficients[ASABE Category],ASABECoefficients[RV3])</f>
        <v>0</v>
      </c>
      <c r="AL106" s="208">
        <f>_xlfn.XLOOKUP(Implements[[#This Row],[Defaulty ASABE Category]],ASABECoefficients[ASABE Category],ASABECoefficients[RV4])</f>
        <v>7.7999999999999996E-3</v>
      </c>
      <c r="AM106" s="208">
        <f>_xlfn.XLOOKUP(Implements[[#This Row],[Defaulty ASABE Category]],ASABECoefficients[ASABE Category],ASABECoefficients[RV5])</f>
        <v>0.1235</v>
      </c>
      <c r="AN106" s="208">
        <f>(Implements[[#This Row],[RV1]]-Implements[[#This Row],[RV2]]*Implements[[#This Row],[Expected Life (years)]]^0.5-Implements[[#This Row],[RV3]]*Implements[[#This Row],[Expected Use (hr/yr)]]^0.5+Implements[[#This Row],[RV4]]*'Data tables'!$AD$67)^2+0.25*Implements[[#This Row],[RV5]]</f>
        <v>0.53878212703813477</v>
      </c>
      <c r="AO106" s="208">
        <f>Implements[[#This Row],[Trade-in (%)]]*Implements[[#This Row],[List Price]]</f>
        <v>17360.757426784341</v>
      </c>
      <c r="AP106" s="208">
        <f>(Implements[[#This Row],[Purchase Price (2020)]]-Implements[[#This Row],[Trade-in ($)]])/Implements[[#This Row],[Expected Life (years)]]</f>
        <v>969.93688110130495</v>
      </c>
      <c r="AQ106" s="208">
        <f>Implements[[#This Row],[List Price]]*(Implements[[#This Row],[RF1]]*(Implements[[#This Row],[Expected Life (years)]]*Implements[[#This Row],[Expected Use (hr/yr)]]/1000)^Implements[[#This Row],[RF2]])</f>
        <v>5567.9999999999991</v>
      </c>
      <c r="AR106" s="208">
        <f>Implements[[#This Row],[Accumulated Repairs ($)]]/Implements[[#This Row],[Expected Life (years)]]</f>
        <v>463.99999999999994</v>
      </c>
      <c r="AS106" s="212">
        <f>Implements[[#This Row],[Size1]]*Implements[[#This Row],[Field Speed (m/h)]]*Implements[[#This Row],[Field Efficiency]]/'Data tables'!$AD$68</f>
        <v>8.1454545454545446</v>
      </c>
      <c r="AT106" s="212">
        <f>Implements[[#This Row],[Acres/hour]]*Implements[[#This Row],[Expected Use (hr/yr)]]</f>
        <v>1629.090909090909</v>
      </c>
      <c r="AU106" s="212">
        <f>Implements[[#This Row],[Annual Depreciation]]/Implements[[#This Row],[Acres/year]]</f>
        <v>0.59538536228316719</v>
      </c>
      <c r="AV106" s="212">
        <f>(Implements[[#This Row],[Purchase Price (2020)]]+Implements[[#This Row],[Trade-in ($)]]+Implements[[#This Row],[Annual Depreciation]])/2*'Data tables'!$AD$58/Implements[[#This Row],[Acres/year]]</f>
        <v>0.58106879172627468</v>
      </c>
      <c r="AW106" s="212">
        <f>Implements[[#This Row],[Annual Repairs ($)]]/Implements[[#This Row],[Acres/year]]</f>
        <v>0.28482142857142856</v>
      </c>
      <c r="AX106" s="212">
        <f>(Implements[[#This Row],[Purchase Price (2020)]]+Implements[[#This Row],[Trade-in ($)]]+Implements[[#This Row],[Annual Depreciation]])/2*'Data tables'!$AD$70/Implements[[#This Row],[Acres/year]]</f>
        <v>7.2633598965784335E-2</v>
      </c>
      <c r="AY106" s="201">
        <f>(Implements[[#This Row],[Purchase Price (2020)]]+Implements[[#This Row],[Trade-in ($)]]+Implements[[#This Row],[Annual Depreciation]])/2*'Data tables'!$AD$59/Implements[[#This Row],[Acres/year]]</f>
        <v>0.12347711824183338</v>
      </c>
      <c r="AZ106" s="201">
        <f>(Implements[[#This Row],[Tractor (hr/impl)]]*Implements[[#This Row],[Labor (hr/trac)]])/Implements[[#This Row],[Acres/hour]]</f>
        <v>0.13627232142857146</v>
      </c>
      <c r="BA106" s="201">
        <f>'Data tables'!$AD$62*Implements[[#This Row],[Shed (ft^2)]]/Implements[[#This Row],[Acres/year]]</f>
        <v>0.17848340281499711</v>
      </c>
      <c r="BP106" s="19"/>
      <c r="BW106"/>
    </row>
    <row r="107" spans="13:75" x14ac:dyDescent="0.25">
      <c r="M107" s="201" t="s">
        <v>5379</v>
      </c>
      <c r="N107" s="202" t="s">
        <v>5405</v>
      </c>
      <c r="O107" s="203">
        <v>20</v>
      </c>
      <c r="P107" s="204" t="s">
        <v>5355</v>
      </c>
      <c r="Q107" s="205"/>
      <c r="R107" s="205"/>
      <c r="S107" s="205" t="str">
        <f>CONCATENATE(N107&amp;"; "&amp;IF(Implements[[#This Row],[Size2]]&lt;&gt;"",Implements[[#This Row],[Size2]]&amp;" "&amp;Implements[[#This Row],[Unit2]]&amp;"; ","")&amp;IF(Implements[[#This Row],[Size1]]&gt;0,ROUND(Implements[[#This Row],[Size1]],1)&amp;" "&amp;Implements[[#This Row],[Unit1]]," "))</f>
        <v>Combine Flex Platform; 20 Ft</v>
      </c>
      <c r="T107" s="206" t="s">
        <v>5406</v>
      </c>
      <c r="U107" s="207">
        <v>31000</v>
      </c>
      <c r="V107" s="208">
        <v>0.2</v>
      </c>
      <c r="W107" s="208">
        <f>Implements[[#This Row],[Purchase Price (2020)]]/(1-Implements[[#This Row],[List Discount]])</f>
        <v>38750</v>
      </c>
      <c r="X107" s="203">
        <v>12</v>
      </c>
      <c r="Y107" s="209">
        <v>199.99999999999997</v>
      </c>
      <c r="Z107" s="210" t="s">
        <v>5442</v>
      </c>
      <c r="AA107" s="203">
        <v>3.5</v>
      </c>
      <c r="AB107" s="208">
        <v>0.7</v>
      </c>
      <c r="AC107" s="208">
        <v>1</v>
      </c>
      <c r="AD107" s="208">
        <v>1.1100000000000001</v>
      </c>
      <c r="AE107" s="203" t="s">
        <v>5494</v>
      </c>
      <c r="AF107" s="203">
        <v>108</v>
      </c>
      <c r="AG107" s="208">
        <f>_xlfn.XLOOKUP(Implements[[#This Row],[Defaulty ASABE Category]],ASABECoefficients[ASABE Category],ASABECoefficients[RF1])</f>
        <v>0.04</v>
      </c>
      <c r="AH107" s="208">
        <f>_xlfn.XLOOKUP(Implements[[#This Row],[Defaulty ASABE Category]],ASABECoefficients[ASABE Category],ASABECoefficients[RF2])</f>
        <v>2.1</v>
      </c>
      <c r="AI107" s="208">
        <f>_xlfn.XLOOKUP(Implements[[#This Row],[Defaulty ASABE Category]],ASABECoefficients[ASABE Category],ASABECoefficients[RV1])</f>
        <v>1.0136101798876398</v>
      </c>
      <c r="AJ107" s="208">
        <f>_xlfn.XLOOKUP(Implements[[#This Row],[Defaulty ASABE Category]],ASABECoefficients[ASABE Category],ASABECoefficients[RV2])</f>
        <v>0.174199608497973</v>
      </c>
      <c r="AK107" s="208">
        <f>_xlfn.XLOOKUP(Implements[[#This Row],[Defaulty ASABE Category]],ASABECoefficients[ASABE Category],ASABECoefficients[RV3])</f>
        <v>7.6964422098118896E-3</v>
      </c>
      <c r="AL107" s="208">
        <f>_xlfn.XLOOKUP(Implements[[#This Row],[Defaulty ASABE Category]],ASABECoefficients[ASABE Category],ASABECoefficients[RV4])</f>
        <v>7.4905071015698174E-4</v>
      </c>
      <c r="AM107" s="208">
        <f>_xlfn.XLOOKUP(Implements[[#This Row],[Defaulty ASABE Category]],ASABECoefficients[ASABE Category],ASABECoefficients[RV5])</f>
        <v>0</v>
      </c>
      <c r="AN107" s="208">
        <f>(Implements[[#This Row],[RV1]]-Implements[[#This Row],[RV2]]*Implements[[#This Row],[Expected Life (years)]]^0.5-Implements[[#This Row],[RV3]]*Implements[[#This Row],[Expected Use (hr/yr)]]^0.5+Implements[[#This Row],[RV4]]*'Data tables'!$AD$67)^2+0.25*Implements[[#This Row],[RV5]]</f>
        <v>0.12768260074857452</v>
      </c>
      <c r="AO107" s="208">
        <f>Implements[[#This Row],[Trade-in (%)]]*Implements[[#This Row],[List Price]]</f>
        <v>4947.7007790072621</v>
      </c>
      <c r="AP107" s="208">
        <f>(Implements[[#This Row],[Purchase Price (2020)]]-Implements[[#This Row],[Trade-in ($)]])/Implements[[#This Row],[Expected Life (years)]]</f>
        <v>2171.0249350827285</v>
      </c>
      <c r="AQ107" s="208">
        <f>Implements[[#This Row],[List Price]]*(Implements[[#This Row],[RF1]]*(Implements[[#This Row],[Expected Life (years)]]*Implements[[#This Row],[Expected Use (hr/yr)]]/1000)^Implements[[#This Row],[RF2]])</f>
        <v>9744.8533039165832</v>
      </c>
      <c r="AR107" s="208">
        <f>Implements[[#This Row],[Accumulated Repairs ($)]]/Implements[[#This Row],[Expected Life (years)]]</f>
        <v>812.07110865971526</v>
      </c>
      <c r="AS107" s="212">
        <f>Implements[[#This Row],[Size1]]*Implements[[#This Row],[Field Speed (m/h)]]*Implements[[#This Row],[Field Efficiency]]/'Data tables'!$AD$68</f>
        <v>5.9393939393939394</v>
      </c>
      <c r="AT107" s="212">
        <f>Implements[[#This Row],[Acres/hour]]*Implements[[#This Row],[Expected Use (hr/yr)]]</f>
        <v>1187.8787878787878</v>
      </c>
      <c r="AU107" s="212">
        <f>Implements[[#This Row],[Annual Depreciation]]/Implements[[#This Row],[Acres/year]]</f>
        <v>1.8276485422890318</v>
      </c>
      <c r="AV107" s="212">
        <f>(Implements[[#This Row],[Purchase Price (2020)]]+Implements[[#This Row],[Trade-in ($)]]+Implements[[#This Row],[Annual Depreciation]])/2*'Data tables'!$AD$58/Implements[[#This Row],[Acres/year]]</f>
        <v>0.64179487171682126</v>
      </c>
      <c r="AW107" s="212">
        <f>Implements[[#This Row],[Annual Repairs ($)]]/Implements[[#This Row],[Acres/year]]</f>
        <v>0.68363129045333182</v>
      </c>
      <c r="AX107" s="212">
        <f>(Implements[[#This Row],[Purchase Price (2020)]]+Implements[[#This Row],[Trade-in ($)]]+Implements[[#This Row],[Annual Depreciation]])/2*'Data tables'!$AD$70/Implements[[#This Row],[Acres/year]]</f>
        <v>8.0224358964602657E-2</v>
      </c>
      <c r="AY107" s="201">
        <f>(Implements[[#This Row],[Purchase Price (2020)]]+Implements[[#This Row],[Trade-in ($)]]+Implements[[#This Row],[Annual Depreciation]])/2*'Data tables'!$AD$59/Implements[[#This Row],[Acres/year]]</f>
        <v>0.13638141023982453</v>
      </c>
      <c r="AZ107" s="201">
        <f>(Implements[[#This Row],[Tractor (hr/impl)]]*Implements[[#This Row],[Labor (hr/trac)]])/Implements[[#This Row],[Acres/hour]]</f>
        <v>0.18688775510204084</v>
      </c>
      <c r="BA107" s="201">
        <f>'Data tables'!$AD$62*Implements[[#This Row],[Shed (ft^2)]]/Implements[[#This Row],[Acres/year]]</f>
        <v>8.8119805732661441E-2</v>
      </c>
      <c r="BP107" s="19"/>
      <c r="BW107"/>
    </row>
    <row r="108" spans="13:75" x14ac:dyDescent="0.25">
      <c r="M108" s="201" t="s">
        <v>5379</v>
      </c>
      <c r="N108" s="202" t="s">
        <v>5405</v>
      </c>
      <c r="O108" s="203">
        <v>25</v>
      </c>
      <c r="P108" s="204" t="s">
        <v>5355</v>
      </c>
      <c r="Q108" s="205"/>
      <c r="R108" s="205"/>
      <c r="S108" s="205" t="str">
        <f>CONCATENATE(N108&amp;"; "&amp;IF(Implements[[#This Row],[Size2]]&lt;&gt;"",Implements[[#This Row],[Size2]]&amp;" "&amp;Implements[[#This Row],[Unit2]]&amp;"; ","")&amp;IF(Implements[[#This Row],[Size1]]&gt;0,ROUND(Implements[[#This Row],[Size1]],1)&amp;" "&amp;Implements[[#This Row],[Unit1]]," "))</f>
        <v>Combine Flex Platform; 25 Ft</v>
      </c>
      <c r="T108" s="206" t="s">
        <v>5407</v>
      </c>
      <c r="U108" s="207">
        <v>35500</v>
      </c>
      <c r="V108" s="208">
        <v>0.2</v>
      </c>
      <c r="W108" s="208">
        <f>Implements[[#This Row],[Purchase Price (2020)]]/(1-Implements[[#This Row],[List Discount]])</f>
        <v>44375</v>
      </c>
      <c r="X108" s="203">
        <v>12</v>
      </c>
      <c r="Y108" s="209">
        <v>200</v>
      </c>
      <c r="Z108" s="210" t="s">
        <v>5442</v>
      </c>
      <c r="AA108" s="203">
        <v>3.5</v>
      </c>
      <c r="AB108" s="208">
        <v>0.7</v>
      </c>
      <c r="AC108" s="208">
        <v>1</v>
      </c>
      <c r="AD108" s="208">
        <v>1.1100000000000001</v>
      </c>
      <c r="AE108" s="203" t="s">
        <v>5494</v>
      </c>
      <c r="AF108" s="203">
        <v>108</v>
      </c>
      <c r="AG108" s="208">
        <f>_xlfn.XLOOKUP(Implements[[#This Row],[Defaulty ASABE Category]],ASABECoefficients[ASABE Category],ASABECoefficients[RF1])</f>
        <v>0.04</v>
      </c>
      <c r="AH108" s="208">
        <f>_xlfn.XLOOKUP(Implements[[#This Row],[Defaulty ASABE Category]],ASABECoefficients[ASABE Category],ASABECoefficients[RF2])</f>
        <v>2.1</v>
      </c>
      <c r="AI108" s="208">
        <f>_xlfn.XLOOKUP(Implements[[#This Row],[Defaulty ASABE Category]],ASABECoefficients[ASABE Category],ASABECoefficients[RV1])</f>
        <v>1.0136101798876398</v>
      </c>
      <c r="AJ108" s="208">
        <f>_xlfn.XLOOKUP(Implements[[#This Row],[Defaulty ASABE Category]],ASABECoefficients[ASABE Category],ASABECoefficients[RV2])</f>
        <v>0.174199608497973</v>
      </c>
      <c r="AK108" s="208">
        <f>_xlfn.XLOOKUP(Implements[[#This Row],[Defaulty ASABE Category]],ASABECoefficients[ASABE Category],ASABECoefficients[RV3])</f>
        <v>7.6964422098118896E-3</v>
      </c>
      <c r="AL108" s="208">
        <f>_xlfn.XLOOKUP(Implements[[#This Row],[Defaulty ASABE Category]],ASABECoefficients[ASABE Category],ASABECoefficients[RV4])</f>
        <v>7.4905071015698174E-4</v>
      </c>
      <c r="AM108" s="208">
        <f>_xlfn.XLOOKUP(Implements[[#This Row],[Defaulty ASABE Category]],ASABECoefficients[ASABE Category],ASABECoefficients[RV5])</f>
        <v>0</v>
      </c>
      <c r="AN108" s="208">
        <f>(Implements[[#This Row],[RV1]]-Implements[[#This Row],[RV2]]*Implements[[#This Row],[Expected Life (years)]]^0.5-Implements[[#This Row],[RV3]]*Implements[[#This Row],[Expected Use (hr/yr)]]^0.5+Implements[[#This Row],[RV4]]*'Data tables'!$AD$67)^2+0.25*Implements[[#This Row],[RV5]]</f>
        <v>0.12768260074857449</v>
      </c>
      <c r="AO108" s="208">
        <f>Implements[[#This Row],[Trade-in (%)]]*Implements[[#This Row],[List Price]]</f>
        <v>5665.915408217993</v>
      </c>
      <c r="AP108" s="208">
        <f>(Implements[[#This Row],[Purchase Price (2020)]]-Implements[[#This Row],[Trade-in ($)]])/Implements[[#This Row],[Expected Life (years)]]</f>
        <v>2486.173715981834</v>
      </c>
      <c r="AQ108" s="208">
        <f>Implements[[#This Row],[List Price]]*(Implements[[#This Row],[RF1]]*(Implements[[#This Row],[Expected Life (years)]]*Implements[[#This Row],[Expected Use (hr/yr)]]/1000)^Implements[[#This Row],[RF2]])</f>
        <v>11159.42878351738</v>
      </c>
      <c r="AR108" s="208">
        <f>Implements[[#This Row],[Accumulated Repairs ($)]]/Implements[[#This Row],[Expected Life (years)]]</f>
        <v>929.95239862644837</v>
      </c>
      <c r="AS108" s="212">
        <f>Implements[[#This Row],[Size1]]*Implements[[#This Row],[Field Speed (m/h)]]*Implements[[#This Row],[Field Efficiency]]/'Data tables'!$AD$68</f>
        <v>7.424242424242423</v>
      </c>
      <c r="AT108" s="212">
        <f>Implements[[#This Row],[Acres/hour]]*Implements[[#This Row],[Expected Use (hr/yr)]]</f>
        <v>1484.8484848484845</v>
      </c>
      <c r="AU108" s="212">
        <f>Implements[[#This Row],[Annual Depreciation]]/Implements[[#This Row],[Acres/year]]</f>
        <v>1.674361890355113</v>
      </c>
      <c r="AV108" s="212">
        <f>(Implements[[#This Row],[Purchase Price (2020)]]+Implements[[#This Row],[Trade-in ($)]]+Implements[[#This Row],[Annual Depreciation]])/2*'Data tables'!$AD$58/Implements[[#This Row],[Acres/year]]</f>
        <v>0.58796691473412033</v>
      </c>
      <c r="AW108" s="212">
        <f>Implements[[#This Row],[Annual Repairs ($)]]/Implements[[#This Row],[Acres/year]]</f>
        <v>0.6262944725443429</v>
      </c>
      <c r="AX108" s="212">
        <f>(Implements[[#This Row],[Purchase Price (2020)]]+Implements[[#This Row],[Trade-in ($)]]+Implements[[#This Row],[Annual Depreciation]])/2*'Data tables'!$AD$70/Implements[[#This Row],[Acres/year]]</f>
        <v>7.3495864341765041E-2</v>
      </c>
      <c r="AY108" s="201">
        <f>(Implements[[#This Row],[Purchase Price (2020)]]+Implements[[#This Row],[Trade-in ($)]]+Implements[[#This Row],[Annual Depreciation]])/2*'Data tables'!$AD$59/Implements[[#This Row],[Acres/year]]</f>
        <v>0.12494296938100057</v>
      </c>
      <c r="AZ108" s="201">
        <f>(Implements[[#This Row],[Tractor (hr/impl)]]*Implements[[#This Row],[Labor (hr/trac)]])/Implements[[#This Row],[Acres/hour]]</f>
        <v>0.14951020408163268</v>
      </c>
      <c r="BA108" s="201">
        <f>'Data tables'!$AD$62*Implements[[#This Row],[Shed (ft^2)]]/Implements[[#This Row],[Acres/year]]</f>
        <v>7.0495844586129161E-2</v>
      </c>
      <c r="BP108" s="19"/>
      <c r="BW108"/>
    </row>
    <row r="109" spans="13:75" x14ac:dyDescent="0.25">
      <c r="M109" s="201" t="s">
        <v>5379</v>
      </c>
      <c r="N109" s="202" t="s">
        <v>5405</v>
      </c>
      <c r="O109" s="203">
        <v>30</v>
      </c>
      <c r="P109" s="204" t="s">
        <v>5355</v>
      </c>
      <c r="Q109" s="205"/>
      <c r="R109" s="205"/>
      <c r="S109" s="205" t="str">
        <f>CONCATENATE(N109&amp;"; "&amp;IF(Implements[[#This Row],[Size2]]&lt;&gt;"",Implements[[#This Row],[Size2]]&amp;" "&amp;Implements[[#This Row],[Unit2]]&amp;"; ","")&amp;IF(Implements[[#This Row],[Size1]]&gt;0,ROUND(Implements[[#This Row],[Size1]],1)&amp;" "&amp;Implements[[#This Row],[Unit1]]," "))</f>
        <v>Combine Flex Platform; 30 Ft</v>
      </c>
      <c r="T109" s="206" t="s">
        <v>5407</v>
      </c>
      <c r="U109" s="207">
        <v>43000</v>
      </c>
      <c r="V109" s="208">
        <v>0.2</v>
      </c>
      <c r="W109" s="208">
        <f>Implements[[#This Row],[Purchase Price (2020)]]/(1-Implements[[#This Row],[List Discount]])</f>
        <v>53750</v>
      </c>
      <c r="X109" s="203">
        <v>12</v>
      </c>
      <c r="Y109" s="209">
        <v>200</v>
      </c>
      <c r="Z109" s="210" t="s">
        <v>5442</v>
      </c>
      <c r="AA109" s="203">
        <v>3.5</v>
      </c>
      <c r="AB109" s="208">
        <v>0.7</v>
      </c>
      <c r="AC109" s="208">
        <v>1</v>
      </c>
      <c r="AD109" s="208">
        <v>1.1100000000000001</v>
      </c>
      <c r="AE109" s="203" t="s">
        <v>5494</v>
      </c>
      <c r="AF109" s="203">
        <v>108</v>
      </c>
      <c r="AG109" s="208">
        <f>_xlfn.XLOOKUP(Implements[[#This Row],[Defaulty ASABE Category]],ASABECoefficients[ASABE Category],ASABECoefficients[RF1])</f>
        <v>0.04</v>
      </c>
      <c r="AH109" s="208">
        <f>_xlfn.XLOOKUP(Implements[[#This Row],[Defaulty ASABE Category]],ASABECoefficients[ASABE Category],ASABECoefficients[RF2])</f>
        <v>2.1</v>
      </c>
      <c r="AI109" s="208">
        <f>_xlfn.XLOOKUP(Implements[[#This Row],[Defaulty ASABE Category]],ASABECoefficients[ASABE Category],ASABECoefficients[RV1])</f>
        <v>1.0136101798876398</v>
      </c>
      <c r="AJ109" s="208">
        <f>_xlfn.XLOOKUP(Implements[[#This Row],[Defaulty ASABE Category]],ASABECoefficients[ASABE Category],ASABECoefficients[RV2])</f>
        <v>0.174199608497973</v>
      </c>
      <c r="AK109" s="208">
        <f>_xlfn.XLOOKUP(Implements[[#This Row],[Defaulty ASABE Category]],ASABECoefficients[ASABE Category],ASABECoefficients[RV3])</f>
        <v>7.6964422098118896E-3</v>
      </c>
      <c r="AL109" s="208">
        <f>_xlfn.XLOOKUP(Implements[[#This Row],[Defaulty ASABE Category]],ASABECoefficients[ASABE Category],ASABECoefficients[RV4])</f>
        <v>7.4905071015698174E-4</v>
      </c>
      <c r="AM109" s="208">
        <f>_xlfn.XLOOKUP(Implements[[#This Row],[Defaulty ASABE Category]],ASABECoefficients[ASABE Category],ASABECoefficients[RV5])</f>
        <v>0</v>
      </c>
      <c r="AN109" s="208">
        <f>(Implements[[#This Row],[RV1]]-Implements[[#This Row],[RV2]]*Implements[[#This Row],[Expected Life (years)]]^0.5-Implements[[#This Row],[RV3]]*Implements[[#This Row],[Expected Use (hr/yr)]]^0.5+Implements[[#This Row],[RV4]]*'Data tables'!$AD$67)^2+0.25*Implements[[#This Row],[RV5]]</f>
        <v>0.12768260074857449</v>
      </c>
      <c r="AO109" s="208">
        <f>Implements[[#This Row],[Trade-in (%)]]*Implements[[#This Row],[List Price]]</f>
        <v>6862.9397902358787</v>
      </c>
      <c r="AP109" s="208">
        <f>(Implements[[#This Row],[Purchase Price (2020)]]-Implements[[#This Row],[Trade-in ($)]])/Implements[[#This Row],[Expected Life (years)]]</f>
        <v>3011.4216841470102</v>
      </c>
      <c r="AQ109" s="208">
        <f>Implements[[#This Row],[List Price]]*(Implements[[#This Row],[RF1]]*(Implements[[#This Row],[Expected Life (years)]]*Implements[[#This Row],[Expected Use (hr/yr)]]/1000)^Implements[[#This Row],[RF2]])</f>
        <v>13517.054582852037</v>
      </c>
      <c r="AR109" s="208">
        <f>Implements[[#This Row],[Accumulated Repairs ($)]]/Implements[[#This Row],[Expected Life (years)]]</f>
        <v>1126.4212152376697</v>
      </c>
      <c r="AS109" s="212">
        <f>Implements[[#This Row],[Size1]]*Implements[[#This Row],[Field Speed (m/h)]]*Implements[[#This Row],[Field Efficiency]]/'Data tables'!$AD$68</f>
        <v>8.9090909090909083</v>
      </c>
      <c r="AT109" s="212">
        <f>Implements[[#This Row],[Acres/hour]]*Implements[[#This Row],[Expected Use (hr/yr)]]</f>
        <v>1781.8181818181818</v>
      </c>
      <c r="AU109" s="212">
        <f>Implements[[#This Row],[Annual Depreciation]]/Implements[[#This Row],[Acres/year]]</f>
        <v>1.6900835982457711</v>
      </c>
      <c r="AV109" s="212">
        <f>(Implements[[#This Row],[Purchase Price (2020)]]+Implements[[#This Row],[Trade-in ($)]]+Implements[[#This Row],[Annual Depreciation]])/2*'Data tables'!$AD$58/Implements[[#This Row],[Acres/year]]</f>
        <v>0.59348773083490991</v>
      </c>
      <c r="AW109" s="212">
        <f>Implements[[#This Row],[Annual Repairs ($)]]/Implements[[#This Row],[Acres/year]]</f>
        <v>0.63217517181705951</v>
      </c>
      <c r="AX109" s="212">
        <f>(Implements[[#This Row],[Purchase Price (2020)]]+Implements[[#This Row],[Trade-in ($)]]+Implements[[#This Row],[Annual Depreciation]])/2*'Data tables'!$AD$70/Implements[[#This Row],[Acres/year]]</f>
        <v>7.4185966354363739E-2</v>
      </c>
      <c r="AY109" s="201">
        <f>(Implements[[#This Row],[Purchase Price (2020)]]+Implements[[#This Row],[Trade-in ($)]]+Implements[[#This Row],[Annual Depreciation]])/2*'Data tables'!$AD$59/Implements[[#This Row],[Acres/year]]</f>
        <v>0.12611614280241837</v>
      </c>
      <c r="AZ109" s="201">
        <f>(Implements[[#This Row],[Tractor (hr/impl)]]*Implements[[#This Row],[Labor (hr/trac)]])/Implements[[#This Row],[Acres/hour]]</f>
        <v>0.1245918367346939</v>
      </c>
      <c r="BA109" s="201">
        <f>'Data tables'!$AD$62*Implements[[#This Row],[Shed (ft^2)]]/Implements[[#This Row],[Acres/year]]</f>
        <v>5.8746537155107623E-2</v>
      </c>
      <c r="BP109" s="19"/>
      <c r="BW109"/>
    </row>
    <row r="110" spans="13:75" x14ac:dyDescent="0.25">
      <c r="M110" s="201" t="s">
        <v>5379</v>
      </c>
      <c r="N110" s="202" t="s">
        <v>5408</v>
      </c>
      <c r="O110" s="203">
        <v>15</v>
      </c>
      <c r="P110" s="204" t="s">
        <v>5355</v>
      </c>
      <c r="Q110" s="205">
        <v>6</v>
      </c>
      <c r="R110" s="204" t="s">
        <v>5367</v>
      </c>
      <c r="S110" s="205" t="str">
        <f>CONCATENATE(N110&amp;"; "&amp;IF(Implements[[#This Row],[Size2]]&lt;&gt;"",Implements[[#This Row],[Size2]]&amp;" "&amp;Implements[[#This Row],[Unit2]]&amp;"; ","")&amp;IF(Implements[[#This Row],[Size1]]&gt;0,ROUND(Implements[[#This Row],[Size1]],1)&amp;" "&amp;Implements[[#This Row],[Unit1]]," "))</f>
        <v>Combine Corn Hd; 6 Row; 15 Ft</v>
      </c>
      <c r="T110" s="206" t="s">
        <v>5406</v>
      </c>
      <c r="U110" s="207">
        <v>50000</v>
      </c>
      <c r="V110" s="208">
        <v>0.2</v>
      </c>
      <c r="W110" s="208">
        <f>Implements[[#This Row],[Purchase Price (2020)]]/(1-Implements[[#This Row],[List Discount]])</f>
        <v>62500</v>
      </c>
      <c r="X110" s="203">
        <v>12</v>
      </c>
      <c r="Y110" s="209">
        <v>200</v>
      </c>
      <c r="Z110" s="210" t="s">
        <v>5442</v>
      </c>
      <c r="AA110" s="203">
        <v>4</v>
      </c>
      <c r="AB110" s="208">
        <v>0.7</v>
      </c>
      <c r="AC110" s="208">
        <v>1</v>
      </c>
      <c r="AD110" s="208">
        <v>1.1100000000000001</v>
      </c>
      <c r="AE110" s="203" t="s">
        <v>5494</v>
      </c>
      <c r="AF110" s="203">
        <v>120</v>
      </c>
      <c r="AG110" s="208">
        <f>_xlfn.XLOOKUP(Implements[[#This Row],[Defaulty ASABE Category]],ASABECoefficients[ASABE Category],ASABECoefficients[RF1])</f>
        <v>0.04</v>
      </c>
      <c r="AH110" s="208">
        <f>_xlfn.XLOOKUP(Implements[[#This Row],[Defaulty ASABE Category]],ASABECoefficients[ASABE Category],ASABECoefficients[RF2])</f>
        <v>2.1</v>
      </c>
      <c r="AI110" s="208">
        <f>_xlfn.XLOOKUP(Implements[[#This Row],[Defaulty ASABE Category]],ASABECoefficients[ASABE Category],ASABECoefficients[RV1])</f>
        <v>1.0136101798876398</v>
      </c>
      <c r="AJ110" s="208">
        <f>_xlfn.XLOOKUP(Implements[[#This Row],[Defaulty ASABE Category]],ASABECoefficients[ASABE Category],ASABECoefficients[RV2])</f>
        <v>0.174199608497973</v>
      </c>
      <c r="AK110" s="208">
        <f>_xlfn.XLOOKUP(Implements[[#This Row],[Defaulty ASABE Category]],ASABECoefficients[ASABE Category],ASABECoefficients[RV3])</f>
        <v>7.6964422098118896E-3</v>
      </c>
      <c r="AL110" s="208">
        <f>_xlfn.XLOOKUP(Implements[[#This Row],[Defaulty ASABE Category]],ASABECoefficients[ASABE Category],ASABECoefficients[RV4])</f>
        <v>7.4905071015698174E-4</v>
      </c>
      <c r="AM110" s="208">
        <f>_xlfn.XLOOKUP(Implements[[#This Row],[Defaulty ASABE Category]],ASABECoefficients[ASABE Category],ASABECoefficients[RV5])</f>
        <v>0</v>
      </c>
      <c r="AN110" s="208">
        <f>(Implements[[#This Row],[RV1]]-Implements[[#This Row],[RV2]]*Implements[[#This Row],[Expected Life (years)]]^0.5-Implements[[#This Row],[RV3]]*Implements[[#This Row],[Expected Use (hr/yr)]]^0.5+Implements[[#This Row],[RV4]]*'Data tables'!$AD$67)^2+0.25*Implements[[#This Row],[RV5]]</f>
        <v>0.12768260074857449</v>
      </c>
      <c r="AO110" s="208">
        <f>Implements[[#This Row],[Trade-in (%)]]*Implements[[#This Row],[List Price]]</f>
        <v>7980.1625467859058</v>
      </c>
      <c r="AP110" s="208">
        <f>(Implements[[#This Row],[Purchase Price (2020)]]-Implements[[#This Row],[Trade-in ($)]])/Implements[[#This Row],[Expected Life (years)]]</f>
        <v>3501.6531211011747</v>
      </c>
      <c r="AQ110" s="208">
        <f>Implements[[#This Row],[List Price]]*(Implements[[#This Row],[RF1]]*(Implements[[#This Row],[Expected Life (years)]]*Implements[[#This Row],[Expected Use (hr/yr)]]/1000)^Implements[[#This Row],[RF2]])</f>
        <v>15717.505328897718</v>
      </c>
      <c r="AR110" s="208">
        <f>Implements[[#This Row],[Accumulated Repairs ($)]]/Implements[[#This Row],[Expected Life (years)]]</f>
        <v>1309.7921107414766</v>
      </c>
      <c r="AS110" s="212">
        <f>Implements[[#This Row],[Size1]]*Implements[[#This Row],[Field Speed (m/h)]]*Implements[[#This Row],[Field Efficiency]]/'Data tables'!$AD$68</f>
        <v>5.0909090909090908</v>
      </c>
      <c r="AT110" s="212">
        <f>Implements[[#This Row],[Acres/hour]]*Implements[[#This Row],[Expected Use (hr/yr)]]</f>
        <v>1018.1818181818181</v>
      </c>
      <c r="AU110" s="212">
        <f>Implements[[#This Row],[Annual Depreciation]]/Implements[[#This Row],[Acres/year]]</f>
        <v>3.4391236010815112</v>
      </c>
      <c r="AV110" s="212">
        <f>(Implements[[#This Row],[Purchase Price (2020)]]+Implements[[#This Row],[Trade-in ($)]]+Implements[[#This Row],[Annual Depreciation]])/2*'Data tables'!$AD$58/Implements[[#This Row],[Acres/year]]</f>
        <v>1.2076785220477819</v>
      </c>
      <c r="AW110" s="212">
        <f>Implements[[#This Row],[Annual Repairs ($)]]/Implements[[#This Row],[Acres/year]]</f>
        <v>1.2864029659068075</v>
      </c>
      <c r="AX110" s="212">
        <f>(Implements[[#This Row],[Purchase Price (2020)]]+Implements[[#This Row],[Trade-in ($)]]+Implements[[#This Row],[Annual Depreciation]])/2*'Data tables'!$AD$70/Implements[[#This Row],[Acres/year]]</f>
        <v>0.15095981525597274</v>
      </c>
      <c r="AY110" s="201">
        <f>(Implements[[#This Row],[Purchase Price (2020)]]+Implements[[#This Row],[Trade-in ($)]]+Implements[[#This Row],[Annual Depreciation]])/2*'Data tables'!$AD$59/Implements[[#This Row],[Acres/year]]</f>
        <v>0.25663168593515373</v>
      </c>
      <c r="AZ110" s="201">
        <f>(Implements[[#This Row],[Tractor (hr/impl)]]*Implements[[#This Row],[Labor (hr/trac)]])/Implements[[#This Row],[Acres/hour]]</f>
        <v>0.2180357142857143</v>
      </c>
      <c r="BA110" s="201">
        <f>'Data tables'!$AD$62*Implements[[#This Row],[Shed (ft^2)]]/Implements[[#This Row],[Acres/year]]</f>
        <v>0.11422937780159816</v>
      </c>
      <c r="BP110" s="19"/>
      <c r="BW110"/>
    </row>
    <row r="111" spans="13:75" x14ac:dyDescent="0.25">
      <c r="M111" s="201" t="s">
        <v>5379</v>
      </c>
      <c r="N111" s="202" t="s">
        <v>5408</v>
      </c>
      <c r="O111" s="203">
        <v>20</v>
      </c>
      <c r="P111" s="204" t="s">
        <v>5355</v>
      </c>
      <c r="Q111" s="205">
        <v>8</v>
      </c>
      <c r="R111" s="204" t="s">
        <v>5367</v>
      </c>
      <c r="S111" s="205" t="str">
        <f>CONCATENATE(N111&amp;"; "&amp;IF(Implements[[#This Row],[Size2]]&lt;&gt;"",Implements[[#This Row],[Size2]]&amp;" "&amp;Implements[[#This Row],[Unit2]]&amp;"; ","")&amp;IF(Implements[[#This Row],[Size1]]&gt;0,ROUND(Implements[[#This Row],[Size1]],1)&amp;" "&amp;Implements[[#This Row],[Unit1]]," "))</f>
        <v>Combine Corn Hd; 8 Row; 20 Ft</v>
      </c>
      <c r="T111" s="206" t="s">
        <v>5406</v>
      </c>
      <c r="U111" s="207">
        <v>64500</v>
      </c>
      <c r="V111" s="208">
        <v>0.2</v>
      </c>
      <c r="W111" s="208">
        <f>Implements[[#This Row],[Purchase Price (2020)]]/(1-Implements[[#This Row],[List Discount]])</f>
        <v>80625</v>
      </c>
      <c r="X111" s="203">
        <v>12</v>
      </c>
      <c r="Y111" s="209">
        <v>200</v>
      </c>
      <c r="Z111" s="210" t="s">
        <v>5442</v>
      </c>
      <c r="AA111" s="203">
        <v>4</v>
      </c>
      <c r="AB111" s="208">
        <v>0.7</v>
      </c>
      <c r="AC111" s="208">
        <v>1</v>
      </c>
      <c r="AD111" s="208">
        <v>1.1100000000000001</v>
      </c>
      <c r="AE111" s="203" t="s">
        <v>5494</v>
      </c>
      <c r="AF111" s="203">
        <v>160</v>
      </c>
      <c r="AG111" s="208">
        <f>_xlfn.XLOOKUP(Implements[[#This Row],[Defaulty ASABE Category]],ASABECoefficients[ASABE Category],ASABECoefficients[RF1])</f>
        <v>0.04</v>
      </c>
      <c r="AH111" s="208">
        <f>_xlfn.XLOOKUP(Implements[[#This Row],[Defaulty ASABE Category]],ASABECoefficients[ASABE Category],ASABECoefficients[RF2])</f>
        <v>2.1</v>
      </c>
      <c r="AI111" s="208">
        <f>_xlfn.XLOOKUP(Implements[[#This Row],[Defaulty ASABE Category]],ASABECoefficients[ASABE Category],ASABECoefficients[RV1])</f>
        <v>1.0136101798876398</v>
      </c>
      <c r="AJ111" s="208">
        <f>_xlfn.XLOOKUP(Implements[[#This Row],[Defaulty ASABE Category]],ASABECoefficients[ASABE Category],ASABECoefficients[RV2])</f>
        <v>0.174199608497973</v>
      </c>
      <c r="AK111" s="208">
        <f>_xlfn.XLOOKUP(Implements[[#This Row],[Defaulty ASABE Category]],ASABECoefficients[ASABE Category],ASABECoefficients[RV3])</f>
        <v>7.6964422098118896E-3</v>
      </c>
      <c r="AL111" s="208">
        <f>_xlfn.XLOOKUP(Implements[[#This Row],[Defaulty ASABE Category]],ASABECoefficients[ASABE Category],ASABECoefficients[RV4])</f>
        <v>7.4905071015698174E-4</v>
      </c>
      <c r="AM111" s="208">
        <f>_xlfn.XLOOKUP(Implements[[#This Row],[Defaulty ASABE Category]],ASABECoefficients[ASABE Category],ASABECoefficients[RV5])</f>
        <v>0</v>
      </c>
      <c r="AN111" s="208">
        <f>(Implements[[#This Row],[RV1]]-Implements[[#This Row],[RV2]]*Implements[[#This Row],[Expected Life (years)]]^0.5-Implements[[#This Row],[RV3]]*Implements[[#This Row],[Expected Use (hr/yr)]]^0.5+Implements[[#This Row],[RV4]]*'Data tables'!$AD$67)^2+0.25*Implements[[#This Row],[RV5]]</f>
        <v>0.12768260074857449</v>
      </c>
      <c r="AO111" s="208">
        <f>Implements[[#This Row],[Trade-in (%)]]*Implements[[#This Row],[List Price]]</f>
        <v>10294.409685353818</v>
      </c>
      <c r="AP111" s="208">
        <f>(Implements[[#This Row],[Purchase Price (2020)]]-Implements[[#This Row],[Trade-in ($)]])/Implements[[#This Row],[Expected Life (years)]]</f>
        <v>4517.1325262205146</v>
      </c>
      <c r="AQ111" s="208">
        <f>Implements[[#This Row],[List Price]]*(Implements[[#This Row],[RF1]]*(Implements[[#This Row],[Expected Life (years)]]*Implements[[#This Row],[Expected Use (hr/yr)]]/1000)^Implements[[#This Row],[RF2]])</f>
        <v>20275.581874278058</v>
      </c>
      <c r="AR111" s="208">
        <f>Implements[[#This Row],[Accumulated Repairs ($)]]/Implements[[#This Row],[Expected Life (years)]]</f>
        <v>1689.6318228565049</v>
      </c>
      <c r="AS111" s="212">
        <f>Implements[[#This Row],[Size1]]*Implements[[#This Row],[Field Speed (m/h)]]*Implements[[#This Row],[Field Efficiency]]/'Data tables'!$AD$68</f>
        <v>6.7878787878787881</v>
      </c>
      <c r="AT111" s="212">
        <f>Implements[[#This Row],[Acres/hour]]*Implements[[#This Row],[Expected Use (hr/yr)]]</f>
        <v>1357.5757575757575</v>
      </c>
      <c r="AU111" s="212">
        <f>Implements[[#This Row],[Annual Depreciation]]/Implements[[#This Row],[Acres/year]]</f>
        <v>3.3273520840463613</v>
      </c>
      <c r="AV111" s="212">
        <f>(Implements[[#This Row],[Purchase Price (2020)]]+Implements[[#This Row],[Trade-in ($)]]+Implements[[#This Row],[Annual Depreciation]])/2*'Data tables'!$AD$58/Implements[[#This Row],[Acres/year]]</f>
        <v>1.1684289700812291</v>
      </c>
      <c r="AW111" s="212">
        <f>Implements[[#This Row],[Annual Repairs ($)]]/Implements[[#This Row],[Acres/year]]</f>
        <v>1.2445948695148363</v>
      </c>
      <c r="AX111" s="212">
        <f>(Implements[[#This Row],[Purchase Price (2020)]]+Implements[[#This Row],[Trade-in ($)]]+Implements[[#This Row],[Annual Depreciation]])/2*'Data tables'!$AD$70/Implements[[#This Row],[Acres/year]]</f>
        <v>0.14605362126015364</v>
      </c>
      <c r="AY111" s="201">
        <f>(Implements[[#This Row],[Purchase Price (2020)]]+Implements[[#This Row],[Trade-in ($)]]+Implements[[#This Row],[Annual Depreciation]])/2*'Data tables'!$AD$59/Implements[[#This Row],[Acres/year]]</f>
        <v>0.24829115614226122</v>
      </c>
      <c r="AZ111" s="201">
        <f>(Implements[[#This Row],[Tractor (hr/impl)]]*Implements[[#This Row],[Labor (hr/trac)]])/Implements[[#This Row],[Acres/hour]]</f>
        <v>0.16352678571428572</v>
      </c>
      <c r="BA111" s="201">
        <f>'Data tables'!$AD$62*Implements[[#This Row],[Shed (ft^2)]]/Implements[[#This Row],[Acres/year]]</f>
        <v>0.11422937780159816</v>
      </c>
      <c r="BP111" s="19"/>
      <c r="BW111"/>
    </row>
    <row r="112" spans="13:75" x14ac:dyDescent="0.25">
      <c r="M112" s="201" t="s">
        <v>5379</v>
      </c>
      <c r="N112" s="202" t="s">
        <v>5409</v>
      </c>
      <c r="O112" s="203">
        <v>20</v>
      </c>
      <c r="P112" s="204" t="s">
        <v>5355</v>
      </c>
      <c r="Q112" s="205">
        <v>8</v>
      </c>
      <c r="R112" s="204" t="s">
        <v>5367</v>
      </c>
      <c r="S112" s="205" t="str">
        <f>CONCATENATE(N112&amp;"; "&amp;IF(Implements[[#This Row],[Size2]]&lt;&gt;"",Implements[[#This Row],[Size2]]&amp;" "&amp;Implements[[#This Row],[Unit2]]&amp;"; ","")&amp;IF(Implements[[#This Row],[Size1]]&gt;0,ROUND(Implements[[#This Row],[Size1]],1)&amp;" "&amp;Implements[[#This Row],[Unit1]]," "))</f>
        <v>Combine Chopping Corn Hd; 8 Row; 20 Ft</v>
      </c>
      <c r="T112" s="206" t="s">
        <v>5406</v>
      </c>
      <c r="U112" s="207">
        <v>88000</v>
      </c>
      <c r="V112" s="208">
        <v>0.2</v>
      </c>
      <c r="W112" s="208">
        <f>Implements[[#This Row],[Purchase Price (2020)]]/(1-Implements[[#This Row],[List Discount]])</f>
        <v>110000</v>
      </c>
      <c r="X112" s="203">
        <v>12</v>
      </c>
      <c r="Y112" s="209">
        <v>200</v>
      </c>
      <c r="Z112" s="210" t="s">
        <v>5378</v>
      </c>
      <c r="AA112" s="203">
        <v>4</v>
      </c>
      <c r="AB112" s="208">
        <v>0.7</v>
      </c>
      <c r="AC112" s="208">
        <v>1</v>
      </c>
      <c r="AD112" s="208">
        <v>1.1100000000000001</v>
      </c>
      <c r="AE112" s="203" t="s">
        <v>5494</v>
      </c>
      <c r="AF112" s="203">
        <v>160</v>
      </c>
      <c r="AG112" s="208">
        <f>_xlfn.XLOOKUP(Implements[[#This Row],[Defaulty ASABE Category]],ASABECoefficients[ASABE Category],ASABECoefficients[RF1])</f>
        <v>0.28000000000000003</v>
      </c>
      <c r="AH112" s="208">
        <f>_xlfn.XLOOKUP(Implements[[#This Row],[Defaulty ASABE Category]],ASABECoefficients[ASABE Category],ASABECoefficients[RF2])</f>
        <v>1.4</v>
      </c>
      <c r="AI112" s="208">
        <f>_xlfn.XLOOKUP(Implements[[#This Row],[Defaulty ASABE Category]],ASABECoefficients[ASABE Category],ASABECoefficients[RV1])</f>
        <v>0.71940000000000004</v>
      </c>
      <c r="AJ112" s="208">
        <f>_xlfn.XLOOKUP(Implements[[#This Row],[Defaulty ASABE Category]],ASABECoefficients[ASABE Category],ASABECoefficients[RV2])</f>
        <v>0.11020000000000001</v>
      </c>
      <c r="AK112" s="208">
        <f>_xlfn.XLOOKUP(Implements[[#This Row],[Defaulty ASABE Category]],ASABECoefficients[ASABE Category],ASABECoefficients[RV3])</f>
        <v>0</v>
      </c>
      <c r="AL112" s="208">
        <f>_xlfn.XLOOKUP(Implements[[#This Row],[Defaulty ASABE Category]],ASABECoefficients[ASABE Category],ASABECoefficients[RV4])</f>
        <v>3.0000000000000001E-3</v>
      </c>
      <c r="AM112" s="208">
        <f>_xlfn.XLOOKUP(Implements[[#This Row],[Defaulty ASABE Category]],ASABECoefficients[ASABE Category],ASABECoefficients[RV5])</f>
        <v>0.12130000000000001</v>
      </c>
      <c r="AN112" s="208">
        <f>(Implements[[#This Row],[RV1]]-Implements[[#This Row],[RV2]]*Implements[[#This Row],[Expected Life (years)]]^0.5-Implements[[#This Row],[RV3]]*Implements[[#This Row],[Expected Use (hr/yr)]]^0.5+Implements[[#This Row],[RV4]]*'Data tables'!$AD$67)^2+0.25*Implements[[#This Row],[RV5]]</f>
        <v>0.34612896594255843</v>
      </c>
      <c r="AO112" s="208">
        <f>Implements[[#This Row],[Trade-in (%)]]*Implements[[#This Row],[List Price]]</f>
        <v>38074.18625368143</v>
      </c>
      <c r="AP112" s="208">
        <f>(Implements[[#This Row],[Purchase Price (2020)]]-Implements[[#This Row],[Trade-in ($)]])/Implements[[#This Row],[Expected Life (years)]]</f>
        <v>4160.4844788598812</v>
      </c>
      <c r="AQ112" s="208">
        <f>Implements[[#This Row],[List Price]]*(Implements[[#This Row],[RF1]]*(Implements[[#This Row],[Expected Life (years)]]*Implements[[#This Row],[Expected Use (hr/yr)]]/1000)^Implements[[#This Row],[RF2]])</f>
        <v>104917.14278153611</v>
      </c>
      <c r="AR112" s="208">
        <f>Implements[[#This Row],[Accumulated Repairs ($)]]/Implements[[#This Row],[Expected Life (years)]]</f>
        <v>8743.0952317946758</v>
      </c>
      <c r="AS112" s="212">
        <f>Implements[[#This Row],[Size1]]*Implements[[#This Row],[Field Speed (m/h)]]*Implements[[#This Row],[Field Efficiency]]/'Data tables'!$AD$68</f>
        <v>6.7878787878787881</v>
      </c>
      <c r="AT112" s="212">
        <f>Implements[[#This Row],[Acres/hour]]*Implements[[#This Row],[Expected Use (hr/yr)]]</f>
        <v>1357.5757575757575</v>
      </c>
      <c r="AU112" s="212">
        <f>Implements[[#This Row],[Annual Depreciation]]/Implements[[#This Row],[Acres/year]]</f>
        <v>3.0646425848744663</v>
      </c>
      <c r="AV112" s="212">
        <f>(Implements[[#This Row],[Purchase Price (2020)]]+Implements[[#This Row],[Trade-in ($)]]+Implements[[#This Row],[Annual Depreciation]])/2*'Data tables'!$AD$58/Implements[[#This Row],[Acres/year]]</f>
        <v>1.9186357741847606</v>
      </c>
      <c r="AW112" s="212">
        <f>Implements[[#This Row],[Annual Repairs ($)]]/Implements[[#This Row],[Acres/year]]</f>
        <v>6.4402263984201857</v>
      </c>
      <c r="AX112" s="212">
        <f>(Implements[[#This Row],[Purchase Price (2020)]]+Implements[[#This Row],[Trade-in ($)]]+Implements[[#This Row],[Annual Depreciation]])/2*'Data tables'!$AD$70/Implements[[#This Row],[Acres/year]]</f>
        <v>0.23982947177309508</v>
      </c>
      <c r="AY112" s="201">
        <f>(Implements[[#This Row],[Purchase Price (2020)]]+Implements[[#This Row],[Trade-in ($)]]+Implements[[#This Row],[Annual Depreciation]])/2*'Data tables'!$AD$59/Implements[[#This Row],[Acres/year]]</f>
        <v>0.40771010201426167</v>
      </c>
      <c r="AZ112" s="201">
        <f>(Implements[[#This Row],[Tractor (hr/impl)]]*Implements[[#This Row],[Labor (hr/trac)]])/Implements[[#This Row],[Acres/hour]]</f>
        <v>0.16352678571428572</v>
      </c>
      <c r="BA112" s="201">
        <f>'Data tables'!$AD$62*Implements[[#This Row],[Shed (ft^2)]]/Implements[[#This Row],[Acres/year]]</f>
        <v>0.11422937780159816</v>
      </c>
      <c r="BP112" s="19"/>
      <c r="BW112"/>
    </row>
    <row r="113" spans="13:87" x14ac:dyDescent="0.25">
      <c r="M113" s="201" t="s">
        <v>5379</v>
      </c>
      <c r="N113" s="202" t="s">
        <v>5408</v>
      </c>
      <c r="O113" s="203">
        <v>30</v>
      </c>
      <c r="P113" s="204" t="s">
        <v>5355</v>
      </c>
      <c r="Q113" s="205">
        <v>12</v>
      </c>
      <c r="R113" s="204" t="s">
        <v>5367</v>
      </c>
      <c r="S113" s="205" t="str">
        <f>CONCATENATE(N113&amp;"; "&amp;IF(Implements[[#This Row],[Size2]]&lt;&gt;"",Implements[[#This Row],[Size2]]&amp;" "&amp;Implements[[#This Row],[Unit2]]&amp;"; ","")&amp;IF(Implements[[#This Row],[Size1]]&gt;0,ROUND(Implements[[#This Row],[Size1]],1)&amp;" "&amp;Implements[[#This Row],[Unit1]]," "))</f>
        <v>Combine Corn Hd; 12 Row; 30 Ft</v>
      </c>
      <c r="T113" s="206" t="s">
        <v>5407</v>
      </c>
      <c r="U113" s="207">
        <v>101000</v>
      </c>
      <c r="V113" s="208">
        <v>0.2</v>
      </c>
      <c r="W113" s="208">
        <f>Implements[[#This Row],[Purchase Price (2020)]]/(1-Implements[[#This Row],[List Discount]])</f>
        <v>126250</v>
      </c>
      <c r="X113" s="203">
        <v>12</v>
      </c>
      <c r="Y113" s="209">
        <v>200</v>
      </c>
      <c r="Z113" s="210" t="s">
        <v>5442</v>
      </c>
      <c r="AA113" s="203">
        <v>4</v>
      </c>
      <c r="AB113" s="208">
        <v>0.7</v>
      </c>
      <c r="AC113" s="208">
        <v>1</v>
      </c>
      <c r="AD113" s="208">
        <v>1.1100000000000001</v>
      </c>
      <c r="AE113" s="203" t="s">
        <v>5494</v>
      </c>
      <c r="AF113" s="203">
        <v>160</v>
      </c>
      <c r="AG113" s="208">
        <f>_xlfn.XLOOKUP(Implements[[#This Row],[Defaulty ASABE Category]],ASABECoefficients[ASABE Category],ASABECoefficients[RF1])</f>
        <v>0.04</v>
      </c>
      <c r="AH113" s="208">
        <f>_xlfn.XLOOKUP(Implements[[#This Row],[Defaulty ASABE Category]],ASABECoefficients[ASABE Category],ASABECoefficients[RF2])</f>
        <v>2.1</v>
      </c>
      <c r="AI113" s="208">
        <f>_xlfn.XLOOKUP(Implements[[#This Row],[Defaulty ASABE Category]],ASABECoefficients[ASABE Category],ASABECoefficients[RV1])</f>
        <v>1.0136101798876398</v>
      </c>
      <c r="AJ113" s="208">
        <f>_xlfn.XLOOKUP(Implements[[#This Row],[Defaulty ASABE Category]],ASABECoefficients[ASABE Category],ASABECoefficients[RV2])</f>
        <v>0.174199608497973</v>
      </c>
      <c r="AK113" s="208">
        <f>_xlfn.XLOOKUP(Implements[[#This Row],[Defaulty ASABE Category]],ASABECoefficients[ASABE Category],ASABECoefficients[RV3])</f>
        <v>7.6964422098118896E-3</v>
      </c>
      <c r="AL113" s="208">
        <f>_xlfn.XLOOKUP(Implements[[#This Row],[Defaulty ASABE Category]],ASABECoefficients[ASABE Category],ASABECoefficients[RV4])</f>
        <v>7.4905071015698174E-4</v>
      </c>
      <c r="AM113" s="208">
        <f>_xlfn.XLOOKUP(Implements[[#This Row],[Defaulty ASABE Category]],ASABECoefficients[ASABE Category],ASABECoefficients[RV5])</f>
        <v>0</v>
      </c>
      <c r="AN113" s="208">
        <f>(Implements[[#This Row],[RV1]]-Implements[[#This Row],[RV2]]*Implements[[#This Row],[Expected Life (years)]]^0.5-Implements[[#This Row],[RV3]]*Implements[[#This Row],[Expected Use (hr/yr)]]^0.5+Implements[[#This Row],[RV4]]*'Data tables'!$AD$67)^2+0.25*Implements[[#This Row],[RV5]]</f>
        <v>0.12768260074857449</v>
      </c>
      <c r="AO113" s="208">
        <f>Implements[[#This Row],[Trade-in (%)]]*Implements[[#This Row],[List Price]]</f>
        <v>16119.928344507529</v>
      </c>
      <c r="AP113" s="208">
        <f>(Implements[[#This Row],[Purchase Price (2020)]]-Implements[[#This Row],[Trade-in ($)]])/Implements[[#This Row],[Expected Life (years)]]</f>
        <v>7073.3393046243727</v>
      </c>
      <c r="AQ113" s="208">
        <f>Implements[[#This Row],[List Price]]*(Implements[[#This Row],[RF1]]*(Implements[[#This Row],[Expected Life (years)]]*Implements[[#This Row],[Expected Use (hr/yr)]]/1000)^Implements[[#This Row],[RF2]])</f>
        <v>31749.360764373389</v>
      </c>
      <c r="AR113" s="208">
        <f>Implements[[#This Row],[Accumulated Repairs ($)]]/Implements[[#This Row],[Expected Life (years)]]</f>
        <v>2645.7800636977822</v>
      </c>
      <c r="AS113" s="212">
        <f>Implements[[#This Row],[Size1]]*Implements[[#This Row],[Field Speed (m/h)]]*Implements[[#This Row],[Field Efficiency]]/'Data tables'!$AD$68</f>
        <v>10.181818181818182</v>
      </c>
      <c r="AT113" s="212">
        <f>Implements[[#This Row],[Acres/hour]]*Implements[[#This Row],[Expected Use (hr/yr)]]</f>
        <v>2036.3636363636363</v>
      </c>
      <c r="AU113" s="212">
        <f>Implements[[#This Row],[Annual Depreciation]]/Implements[[#This Row],[Acres/year]]</f>
        <v>3.4735148370923259</v>
      </c>
      <c r="AV113" s="212">
        <f>(Implements[[#This Row],[Purchase Price (2020)]]+Implements[[#This Row],[Trade-in ($)]]+Implements[[#This Row],[Annual Depreciation]])/2*'Data tables'!$AD$58/Implements[[#This Row],[Acres/year]]</f>
        <v>1.2197553072682596</v>
      </c>
      <c r="AW113" s="212">
        <f>Implements[[#This Row],[Annual Repairs ($)]]/Implements[[#This Row],[Acres/year]]</f>
        <v>1.2992669955658753</v>
      </c>
      <c r="AX113" s="212">
        <f>(Implements[[#This Row],[Purchase Price (2020)]]+Implements[[#This Row],[Trade-in ($)]]+Implements[[#This Row],[Annual Depreciation]])/2*'Data tables'!$AD$70/Implements[[#This Row],[Acres/year]]</f>
        <v>0.15246941340853246</v>
      </c>
      <c r="AY113" s="201">
        <f>(Implements[[#This Row],[Purchase Price (2020)]]+Implements[[#This Row],[Trade-in ($)]]+Implements[[#This Row],[Annual Depreciation]])/2*'Data tables'!$AD$59/Implements[[#This Row],[Acres/year]]</f>
        <v>0.25919800279450522</v>
      </c>
      <c r="AZ113" s="201">
        <f>(Implements[[#This Row],[Tractor (hr/impl)]]*Implements[[#This Row],[Labor (hr/trac)]])/Implements[[#This Row],[Acres/hour]]</f>
        <v>0.10901785714285715</v>
      </c>
      <c r="BA113" s="201">
        <f>'Data tables'!$AD$62*Implements[[#This Row],[Shed (ft^2)]]/Implements[[#This Row],[Acres/year]]</f>
        <v>7.6152918534398775E-2</v>
      </c>
      <c r="BP113" s="19"/>
      <c r="BW113"/>
    </row>
    <row r="114" spans="13:87" x14ac:dyDescent="0.25">
      <c r="M114" s="201" t="s">
        <v>5379</v>
      </c>
      <c r="N114" s="202" t="s">
        <v>5408</v>
      </c>
      <c r="O114" s="203">
        <v>22</v>
      </c>
      <c r="P114" s="204" t="s">
        <v>5355</v>
      </c>
      <c r="Q114" s="205">
        <v>12</v>
      </c>
      <c r="R114" s="204" t="s">
        <v>5367</v>
      </c>
      <c r="S114" s="205" t="str">
        <f>CONCATENATE(N114&amp;"; "&amp;IF(Implements[[#This Row],[Size2]]&lt;&gt;"",Implements[[#This Row],[Size2]]&amp;" "&amp;Implements[[#This Row],[Unit2]]&amp;"; ","")&amp;IF(Implements[[#This Row],[Size1]]&gt;0,ROUND(Implements[[#This Row],[Size1]],1)&amp;" "&amp;Implements[[#This Row],[Unit1]]," "))</f>
        <v>Combine Corn Hd; 12 Row; 22 Ft</v>
      </c>
      <c r="T114" s="206" t="s">
        <v>5407</v>
      </c>
      <c r="U114" s="207">
        <v>99500</v>
      </c>
      <c r="V114" s="208">
        <v>0.2</v>
      </c>
      <c r="W114" s="208">
        <f>Implements[[#This Row],[Purchase Price (2020)]]/(1-Implements[[#This Row],[List Discount]])</f>
        <v>124375</v>
      </c>
      <c r="X114" s="203">
        <v>12</v>
      </c>
      <c r="Y114" s="209">
        <v>200</v>
      </c>
      <c r="Z114" s="210" t="s">
        <v>5442</v>
      </c>
      <c r="AA114" s="203">
        <v>4</v>
      </c>
      <c r="AB114" s="208">
        <v>0.7</v>
      </c>
      <c r="AC114" s="208">
        <v>1</v>
      </c>
      <c r="AD114" s="208">
        <v>1.1100000000000001</v>
      </c>
      <c r="AE114" s="203" t="s">
        <v>5494</v>
      </c>
      <c r="AF114" s="203">
        <v>160</v>
      </c>
      <c r="AG114" s="208">
        <f>_xlfn.XLOOKUP(Implements[[#This Row],[Defaulty ASABE Category]],ASABECoefficients[ASABE Category],ASABECoefficients[RF1])</f>
        <v>0.04</v>
      </c>
      <c r="AH114" s="208">
        <f>_xlfn.XLOOKUP(Implements[[#This Row],[Defaulty ASABE Category]],ASABECoefficients[ASABE Category],ASABECoefficients[RF2])</f>
        <v>2.1</v>
      </c>
      <c r="AI114" s="208">
        <f>_xlfn.XLOOKUP(Implements[[#This Row],[Defaulty ASABE Category]],ASABECoefficients[ASABE Category],ASABECoefficients[RV1])</f>
        <v>1.0136101798876398</v>
      </c>
      <c r="AJ114" s="208">
        <f>_xlfn.XLOOKUP(Implements[[#This Row],[Defaulty ASABE Category]],ASABECoefficients[ASABE Category],ASABECoefficients[RV2])</f>
        <v>0.174199608497973</v>
      </c>
      <c r="AK114" s="208">
        <f>_xlfn.XLOOKUP(Implements[[#This Row],[Defaulty ASABE Category]],ASABECoefficients[ASABE Category],ASABECoefficients[RV3])</f>
        <v>7.6964422098118896E-3</v>
      </c>
      <c r="AL114" s="208">
        <f>_xlfn.XLOOKUP(Implements[[#This Row],[Defaulty ASABE Category]],ASABECoefficients[ASABE Category],ASABECoefficients[RV4])</f>
        <v>7.4905071015698174E-4</v>
      </c>
      <c r="AM114" s="208">
        <f>_xlfn.XLOOKUP(Implements[[#This Row],[Defaulty ASABE Category]],ASABECoefficients[ASABE Category],ASABECoefficients[RV5])</f>
        <v>0</v>
      </c>
      <c r="AN114" s="208">
        <f>(Implements[[#This Row],[RV1]]-Implements[[#This Row],[RV2]]*Implements[[#This Row],[Expected Life (years)]]^0.5-Implements[[#This Row],[RV3]]*Implements[[#This Row],[Expected Use (hr/yr)]]^0.5+Implements[[#This Row],[RV4]]*'Data tables'!$AD$67)^2+0.25*Implements[[#This Row],[RV5]]</f>
        <v>0.12768260074857449</v>
      </c>
      <c r="AO114" s="208">
        <f>Implements[[#This Row],[Trade-in (%)]]*Implements[[#This Row],[List Price]]</f>
        <v>15880.523468103951</v>
      </c>
      <c r="AP114" s="208">
        <f>(Implements[[#This Row],[Purchase Price (2020)]]-Implements[[#This Row],[Trade-in ($)]])/Implements[[#This Row],[Expected Life (years)]]</f>
        <v>6968.2897109913365</v>
      </c>
      <c r="AQ114" s="208">
        <f>Implements[[#This Row],[List Price]]*(Implements[[#This Row],[RF1]]*(Implements[[#This Row],[Expected Life (years)]]*Implements[[#This Row],[Expected Use (hr/yr)]]/1000)^Implements[[#This Row],[RF2]])</f>
        <v>31277.835604506457</v>
      </c>
      <c r="AR114" s="208">
        <f>Implements[[#This Row],[Accumulated Repairs ($)]]/Implements[[#This Row],[Expected Life (years)]]</f>
        <v>2606.4863003755381</v>
      </c>
      <c r="AS114" s="212">
        <f>Implements[[#This Row],[Size1]]*Implements[[#This Row],[Field Speed (m/h)]]*Implements[[#This Row],[Field Efficiency]]/'Data tables'!$AD$68</f>
        <v>7.4666666666666659</v>
      </c>
      <c r="AT114" s="212">
        <f>Implements[[#This Row],[Acres/hour]]*Implements[[#This Row],[Expected Use (hr/yr)]]</f>
        <v>1493.3333333333333</v>
      </c>
      <c r="AU114" s="212">
        <f>Implements[[#This Row],[Annual Depreciation]]/Implements[[#This Row],[Acres/year]]</f>
        <v>4.666265431467413</v>
      </c>
      <c r="AV114" s="212">
        <f>(Implements[[#This Row],[Purchase Price (2020)]]+Implements[[#This Row],[Trade-in ($)]]+Implements[[#This Row],[Annual Depreciation]])/2*'Data tables'!$AD$58/Implements[[#This Row],[Acres/year]]</f>
        <v>1.6386001765057405</v>
      </c>
      <c r="AW114" s="212">
        <f>Implements[[#This Row],[Annual Repairs ($)]]/Implements[[#This Row],[Acres/year]]</f>
        <v>1.7454149332871909</v>
      </c>
      <c r="AX114" s="212">
        <f>(Implements[[#This Row],[Purchase Price (2020)]]+Implements[[#This Row],[Trade-in ($)]]+Implements[[#This Row],[Annual Depreciation]])/2*'Data tables'!$AD$70/Implements[[#This Row],[Acres/year]]</f>
        <v>0.20482502206321757</v>
      </c>
      <c r="AY114" s="201">
        <f>(Implements[[#This Row],[Purchase Price (2020)]]+Implements[[#This Row],[Trade-in ($)]]+Implements[[#This Row],[Annual Depreciation]])/2*'Data tables'!$AD$59/Implements[[#This Row],[Acres/year]]</f>
        <v>0.34820253750746988</v>
      </c>
      <c r="AZ114" s="201">
        <f>(Implements[[#This Row],[Tractor (hr/impl)]]*Implements[[#This Row],[Labor (hr/trac)]])/Implements[[#This Row],[Acres/hour]]</f>
        <v>0.14866071428571431</v>
      </c>
      <c r="BA114" s="201">
        <f>'Data tables'!$AD$62*Implements[[#This Row],[Shed (ft^2)]]/Implements[[#This Row],[Acres/year]]</f>
        <v>0.10384488891054378</v>
      </c>
      <c r="BP114" s="19"/>
      <c r="BW114"/>
    </row>
    <row r="115" spans="13:87" x14ac:dyDescent="0.25">
      <c r="M115" s="201" t="s">
        <v>5379</v>
      </c>
      <c r="N115" s="202" t="s">
        <v>5409</v>
      </c>
      <c r="O115" s="203">
        <v>30</v>
      </c>
      <c r="P115" s="204" t="s">
        <v>5355</v>
      </c>
      <c r="Q115" s="205">
        <v>12</v>
      </c>
      <c r="R115" s="204" t="s">
        <v>5367</v>
      </c>
      <c r="S115" s="205" t="str">
        <f>CONCATENATE(N115&amp;"; "&amp;IF(Implements[[#This Row],[Size2]]&lt;&gt;"",Implements[[#This Row],[Size2]]&amp;" "&amp;Implements[[#This Row],[Unit2]]&amp;"; ","")&amp;IF(Implements[[#This Row],[Size1]]&gt;0,ROUND(Implements[[#This Row],[Size1]],1)&amp;" "&amp;Implements[[#This Row],[Unit1]]," "))</f>
        <v>Combine Chopping Corn Hd; 12 Row; 30 Ft</v>
      </c>
      <c r="T115" s="206" t="s">
        <v>5410</v>
      </c>
      <c r="U115" s="207">
        <v>133000</v>
      </c>
      <c r="V115" s="208">
        <v>0.2</v>
      </c>
      <c r="W115" s="208">
        <f>Implements[[#This Row],[Purchase Price (2020)]]/(1-Implements[[#This Row],[List Discount]])</f>
        <v>166250</v>
      </c>
      <c r="X115" s="203">
        <v>12</v>
      </c>
      <c r="Y115" s="209">
        <v>200</v>
      </c>
      <c r="Z115" s="210" t="s">
        <v>5378</v>
      </c>
      <c r="AA115" s="203">
        <v>4</v>
      </c>
      <c r="AB115" s="208">
        <v>0.7</v>
      </c>
      <c r="AC115" s="208">
        <v>1</v>
      </c>
      <c r="AD115" s="208">
        <v>1.1100000000000001</v>
      </c>
      <c r="AE115" s="203" t="s">
        <v>5494</v>
      </c>
      <c r="AF115" s="203">
        <v>160</v>
      </c>
      <c r="AG115" s="208">
        <f>_xlfn.XLOOKUP(Implements[[#This Row],[Defaulty ASABE Category]],ASABECoefficients[ASABE Category],ASABECoefficients[RF1])</f>
        <v>0.28000000000000003</v>
      </c>
      <c r="AH115" s="208">
        <f>_xlfn.XLOOKUP(Implements[[#This Row],[Defaulty ASABE Category]],ASABECoefficients[ASABE Category],ASABECoefficients[RF2])</f>
        <v>1.4</v>
      </c>
      <c r="AI115" s="208">
        <f>_xlfn.XLOOKUP(Implements[[#This Row],[Defaulty ASABE Category]],ASABECoefficients[ASABE Category],ASABECoefficients[RV1])</f>
        <v>0.71940000000000004</v>
      </c>
      <c r="AJ115" s="208">
        <f>_xlfn.XLOOKUP(Implements[[#This Row],[Defaulty ASABE Category]],ASABECoefficients[ASABE Category],ASABECoefficients[RV2])</f>
        <v>0.11020000000000001</v>
      </c>
      <c r="AK115" s="208">
        <f>_xlfn.XLOOKUP(Implements[[#This Row],[Defaulty ASABE Category]],ASABECoefficients[ASABE Category],ASABECoefficients[RV3])</f>
        <v>0</v>
      </c>
      <c r="AL115" s="208">
        <f>_xlfn.XLOOKUP(Implements[[#This Row],[Defaulty ASABE Category]],ASABECoefficients[ASABE Category],ASABECoefficients[RV4])</f>
        <v>3.0000000000000001E-3</v>
      </c>
      <c r="AM115" s="208">
        <f>_xlfn.XLOOKUP(Implements[[#This Row],[Defaulty ASABE Category]],ASABECoefficients[ASABE Category],ASABECoefficients[RV5])</f>
        <v>0.12130000000000001</v>
      </c>
      <c r="AN115" s="208">
        <f>(Implements[[#This Row],[RV1]]-Implements[[#This Row],[RV2]]*Implements[[#This Row],[Expected Life (years)]]^0.5-Implements[[#This Row],[RV3]]*Implements[[#This Row],[Expected Use (hr/yr)]]^0.5+Implements[[#This Row],[RV4]]*'Data tables'!$AD$67)^2+0.25*Implements[[#This Row],[RV5]]</f>
        <v>0.34612896594255843</v>
      </c>
      <c r="AO115" s="208">
        <f>Implements[[#This Row],[Trade-in (%)]]*Implements[[#This Row],[List Price]]</f>
        <v>57543.940587950339</v>
      </c>
      <c r="AP115" s="208">
        <f>(Implements[[#This Row],[Purchase Price (2020)]]-Implements[[#This Row],[Trade-in ($)]])/Implements[[#This Row],[Expected Life (years)]]</f>
        <v>6288.0049510041381</v>
      </c>
      <c r="AQ115" s="208">
        <f>Implements[[#This Row],[List Price]]*(Implements[[#This Row],[RF1]]*(Implements[[#This Row],[Expected Life (years)]]*Implements[[#This Row],[Expected Use (hr/yr)]]/1000)^Implements[[#This Row],[RF2]])</f>
        <v>158567.95443118527</v>
      </c>
      <c r="AR115" s="208">
        <f>Implements[[#This Row],[Accumulated Repairs ($)]]/Implements[[#This Row],[Expected Life (years)]]</f>
        <v>13213.996202598772</v>
      </c>
      <c r="AS115" s="212">
        <f>Implements[[#This Row],[Size1]]*Implements[[#This Row],[Field Speed (m/h)]]*Implements[[#This Row],[Field Efficiency]]/'Data tables'!$AD$68</f>
        <v>10.181818181818182</v>
      </c>
      <c r="AT115" s="212">
        <f>Implements[[#This Row],[Acres/hour]]*Implements[[#This Row],[Expected Use (hr/yr)]]</f>
        <v>2036.3636363636363</v>
      </c>
      <c r="AU115" s="212">
        <f>Implements[[#This Row],[Annual Depreciation]]/Implements[[#This Row],[Acres/year]]</f>
        <v>3.0878595741538182</v>
      </c>
      <c r="AV115" s="212">
        <f>(Implements[[#This Row],[Purchase Price (2020)]]+Implements[[#This Row],[Trade-in ($)]]+Implements[[#This Row],[Annual Depreciation]])/2*'Data tables'!$AD$58/Implements[[#This Row],[Acres/year]]</f>
        <v>1.9331708936861602</v>
      </c>
      <c r="AW115" s="212">
        <f>Implements[[#This Row],[Annual Repairs ($)]]/Implements[[#This Row],[Acres/year]]</f>
        <v>6.4890159923476114</v>
      </c>
      <c r="AX115" s="212">
        <f>(Implements[[#This Row],[Purchase Price (2020)]]+Implements[[#This Row],[Trade-in ($)]]+Implements[[#This Row],[Annual Depreciation]])/2*'Data tables'!$AD$70/Implements[[#This Row],[Acres/year]]</f>
        <v>0.24164636171077003</v>
      </c>
      <c r="AY115" s="201">
        <f>(Implements[[#This Row],[Purchase Price (2020)]]+Implements[[#This Row],[Trade-in ($)]]+Implements[[#This Row],[Annual Depreciation]])/2*'Data tables'!$AD$59/Implements[[#This Row],[Acres/year]]</f>
        <v>0.41079881490830911</v>
      </c>
      <c r="AZ115" s="201">
        <f>(Implements[[#This Row],[Tractor (hr/impl)]]*Implements[[#This Row],[Labor (hr/trac)]])/Implements[[#This Row],[Acres/hour]]</f>
        <v>0.10901785714285715</v>
      </c>
      <c r="BA115" s="201">
        <f>'Data tables'!$AD$62*Implements[[#This Row],[Shed (ft^2)]]/Implements[[#This Row],[Acres/year]]</f>
        <v>7.6152918534398775E-2</v>
      </c>
      <c r="BP115" s="19"/>
      <c r="BW115"/>
    </row>
    <row r="116" spans="13:87" x14ac:dyDescent="0.25">
      <c r="M116" s="201" t="s">
        <v>5379</v>
      </c>
      <c r="N116" s="202" t="s">
        <v>5409</v>
      </c>
      <c r="O116" s="203">
        <v>22</v>
      </c>
      <c r="P116" s="204" t="s">
        <v>5355</v>
      </c>
      <c r="Q116" s="205">
        <v>12</v>
      </c>
      <c r="R116" s="204" t="s">
        <v>5367</v>
      </c>
      <c r="S116" s="205" t="str">
        <f>CONCATENATE(N116&amp;"; "&amp;IF(Implements[[#This Row],[Size2]]&lt;&gt;"",Implements[[#This Row],[Size2]]&amp;" "&amp;Implements[[#This Row],[Unit2]]&amp;"; ","")&amp;IF(Implements[[#This Row],[Size1]]&gt;0,ROUND(Implements[[#This Row],[Size1]],1)&amp;" "&amp;Implements[[#This Row],[Unit1]]," "))</f>
        <v>Combine Chopping Corn Hd; 12 Row; 22 Ft</v>
      </c>
      <c r="T116" s="206" t="s">
        <v>5410</v>
      </c>
      <c r="U116" s="207">
        <v>131500</v>
      </c>
      <c r="V116" s="208">
        <v>0.2</v>
      </c>
      <c r="W116" s="208">
        <f>Implements[[#This Row],[Purchase Price (2020)]]/(1-Implements[[#This Row],[List Discount]])</f>
        <v>164375</v>
      </c>
      <c r="X116" s="203">
        <v>12</v>
      </c>
      <c r="Y116" s="209">
        <v>200</v>
      </c>
      <c r="Z116" s="210" t="s">
        <v>5378</v>
      </c>
      <c r="AA116" s="203">
        <v>4</v>
      </c>
      <c r="AB116" s="208">
        <v>0.7</v>
      </c>
      <c r="AC116" s="208">
        <v>1</v>
      </c>
      <c r="AD116" s="208">
        <v>1.1100000000000001</v>
      </c>
      <c r="AE116" s="203" t="s">
        <v>5494</v>
      </c>
      <c r="AF116" s="203">
        <v>160</v>
      </c>
      <c r="AG116" s="208">
        <f>_xlfn.XLOOKUP(Implements[[#This Row],[Defaulty ASABE Category]],ASABECoefficients[ASABE Category],ASABECoefficients[RF1])</f>
        <v>0.28000000000000003</v>
      </c>
      <c r="AH116" s="208">
        <f>_xlfn.XLOOKUP(Implements[[#This Row],[Defaulty ASABE Category]],ASABECoefficients[ASABE Category],ASABECoefficients[RF2])</f>
        <v>1.4</v>
      </c>
      <c r="AI116" s="208">
        <f>_xlfn.XLOOKUP(Implements[[#This Row],[Defaulty ASABE Category]],ASABECoefficients[ASABE Category],ASABECoefficients[RV1])</f>
        <v>0.71940000000000004</v>
      </c>
      <c r="AJ116" s="208">
        <f>_xlfn.XLOOKUP(Implements[[#This Row],[Defaulty ASABE Category]],ASABECoefficients[ASABE Category],ASABECoefficients[RV2])</f>
        <v>0.11020000000000001</v>
      </c>
      <c r="AK116" s="208">
        <f>_xlfn.XLOOKUP(Implements[[#This Row],[Defaulty ASABE Category]],ASABECoefficients[ASABE Category],ASABECoefficients[RV3])</f>
        <v>0</v>
      </c>
      <c r="AL116" s="208">
        <f>_xlfn.XLOOKUP(Implements[[#This Row],[Defaulty ASABE Category]],ASABECoefficients[ASABE Category],ASABECoefficients[RV4])</f>
        <v>3.0000000000000001E-3</v>
      </c>
      <c r="AM116" s="208">
        <f>_xlfn.XLOOKUP(Implements[[#This Row],[Defaulty ASABE Category]],ASABECoefficients[ASABE Category],ASABECoefficients[RV5])</f>
        <v>0.12130000000000001</v>
      </c>
      <c r="AN116" s="208">
        <f>(Implements[[#This Row],[RV1]]-Implements[[#This Row],[RV2]]*Implements[[#This Row],[Expected Life (years)]]^0.5-Implements[[#This Row],[RV3]]*Implements[[#This Row],[Expected Use (hr/yr)]]^0.5+Implements[[#This Row],[RV4]]*'Data tables'!$AD$67)^2+0.25*Implements[[#This Row],[RV5]]</f>
        <v>0.34612896594255843</v>
      </c>
      <c r="AO116" s="208">
        <f>Implements[[#This Row],[Trade-in (%)]]*Implements[[#This Row],[List Price]]</f>
        <v>56894.948776808043</v>
      </c>
      <c r="AP116" s="208">
        <f>(Implements[[#This Row],[Purchase Price (2020)]]-Implements[[#This Row],[Trade-in ($)]])/Implements[[#This Row],[Expected Life (years)]]</f>
        <v>6217.0876019326633</v>
      </c>
      <c r="AQ116" s="208">
        <f>Implements[[#This Row],[List Price]]*(Implements[[#This Row],[RF1]]*(Implements[[#This Row],[Expected Life (years)]]*Implements[[#This Row],[Expected Use (hr/yr)]]/1000)^Implements[[#This Row],[RF2]])</f>
        <v>156779.59404286364</v>
      </c>
      <c r="AR116" s="208">
        <f>Implements[[#This Row],[Accumulated Repairs ($)]]/Implements[[#This Row],[Expected Life (years)]]</f>
        <v>13064.966170238637</v>
      </c>
      <c r="AS116" s="212">
        <f>Implements[[#This Row],[Size1]]*Implements[[#This Row],[Field Speed (m/h)]]*Implements[[#This Row],[Field Efficiency]]/'Data tables'!$AD$68</f>
        <v>7.4666666666666659</v>
      </c>
      <c r="AT116" s="212">
        <f>Implements[[#This Row],[Acres/hour]]*Implements[[#This Row],[Expected Use (hr/yr)]]</f>
        <v>1493.3333333333333</v>
      </c>
      <c r="AU116" s="212">
        <f>Implements[[#This Row],[Annual Depreciation]]/Implements[[#This Row],[Acres/year]]</f>
        <v>4.1632283048656227</v>
      </c>
      <c r="AV116" s="212">
        <f>(Implements[[#This Row],[Purchase Price (2020)]]+Implements[[#This Row],[Trade-in ($)]]+Implements[[#This Row],[Annual Depreciation]])/2*'Data tables'!$AD$58/Implements[[#This Row],[Acres/year]]</f>
        <v>2.6064112015009919</v>
      </c>
      <c r="AW116" s="212">
        <f>Implements[[#This Row],[Annual Repairs ($)]]/Implements[[#This Row],[Acres/year]]</f>
        <v>8.7488612747133736</v>
      </c>
      <c r="AX116" s="212">
        <f>(Implements[[#This Row],[Purchase Price (2020)]]+Implements[[#This Row],[Trade-in ($)]]+Implements[[#This Row],[Annual Depreciation]])/2*'Data tables'!$AD$70/Implements[[#This Row],[Acres/year]]</f>
        <v>0.32580140018762399</v>
      </c>
      <c r="AY116" s="201">
        <f>(Implements[[#This Row],[Purchase Price (2020)]]+Implements[[#This Row],[Trade-in ($)]]+Implements[[#This Row],[Annual Depreciation]])/2*'Data tables'!$AD$59/Implements[[#This Row],[Acres/year]]</f>
        <v>0.55386238031896085</v>
      </c>
      <c r="AZ116" s="201">
        <f>(Implements[[#This Row],[Tractor (hr/impl)]]*Implements[[#This Row],[Labor (hr/trac)]])/Implements[[#This Row],[Acres/hour]]</f>
        <v>0.14866071428571431</v>
      </c>
      <c r="BA116" s="201">
        <f>'Data tables'!$AD$62*Implements[[#This Row],[Shed (ft^2)]]/Implements[[#This Row],[Acres/year]]</f>
        <v>0.10384488891054378</v>
      </c>
      <c r="BP116" s="19"/>
      <c r="BW116"/>
    </row>
    <row r="117" spans="13:87" x14ac:dyDescent="0.25">
      <c r="M117" s="201" t="s">
        <v>5379</v>
      </c>
      <c r="N117" s="202" t="s">
        <v>5411</v>
      </c>
      <c r="O117" s="203">
        <v>23</v>
      </c>
      <c r="P117" s="204" t="s">
        <v>5355</v>
      </c>
      <c r="Q117" s="205"/>
      <c r="R117" s="204"/>
      <c r="S117" s="205" t="str">
        <f>CONCATENATE(N117&amp;"; "&amp;IF(Implements[[#This Row],[Size2]]&lt;&gt;"",Implements[[#This Row],[Size2]]&amp;" "&amp;Implements[[#This Row],[Unit2]]&amp;"; ","")&amp;IF(Implements[[#This Row],[Size1]]&gt;0,ROUND(Implements[[#This Row],[Size1]],1)&amp;" "&amp;Implements[[#This Row],[Unit1]]," "))</f>
        <v>Combine Belt Pickup Hd; 23 Ft</v>
      </c>
      <c r="T117" s="206" t="s">
        <v>5406</v>
      </c>
      <c r="U117" s="207">
        <v>44000</v>
      </c>
      <c r="V117" s="208">
        <v>0.2</v>
      </c>
      <c r="W117" s="208">
        <f>Implements[[#This Row],[Purchase Price (2020)]]/(1-Implements[[#This Row],[List Discount]])</f>
        <v>55000</v>
      </c>
      <c r="X117" s="203">
        <v>12</v>
      </c>
      <c r="Y117" s="217">
        <v>106.52173913043478</v>
      </c>
      <c r="Z117" s="210" t="s">
        <v>5442</v>
      </c>
      <c r="AA117" s="203">
        <v>4</v>
      </c>
      <c r="AB117" s="208">
        <v>0.7</v>
      </c>
      <c r="AC117" s="208">
        <v>1</v>
      </c>
      <c r="AD117" s="208">
        <v>1.1100000000000001</v>
      </c>
      <c r="AE117" s="203" t="s">
        <v>5494</v>
      </c>
      <c r="AF117" s="203">
        <v>75</v>
      </c>
      <c r="AG117" s="208">
        <f>_xlfn.XLOOKUP(Implements[[#This Row],[Defaulty ASABE Category]],ASABECoefficients[ASABE Category],ASABECoefficients[RF1])</f>
        <v>0.04</v>
      </c>
      <c r="AH117" s="208">
        <f>_xlfn.XLOOKUP(Implements[[#This Row],[Defaulty ASABE Category]],ASABECoefficients[ASABE Category],ASABECoefficients[RF2])</f>
        <v>2.1</v>
      </c>
      <c r="AI117" s="208">
        <f>_xlfn.XLOOKUP(Implements[[#This Row],[Defaulty ASABE Category]],ASABECoefficients[ASABE Category],ASABECoefficients[RV1])</f>
        <v>1.0136101798876398</v>
      </c>
      <c r="AJ117" s="208">
        <f>_xlfn.XLOOKUP(Implements[[#This Row],[Defaulty ASABE Category]],ASABECoefficients[ASABE Category],ASABECoefficients[RV2])</f>
        <v>0.174199608497973</v>
      </c>
      <c r="AK117" s="208">
        <f>_xlfn.XLOOKUP(Implements[[#This Row],[Defaulty ASABE Category]],ASABECoefficients[ASABE Category],ASABECoefficients[RV3])</f>
        <v>7.6964422098118896E-3</v>
      </c>
      <c r="AL117" s="208">
        <f>_xlfn.XLOOKUP(Implements[[#This Row],[Defaulty ASABE Category]],ASABECoefficients[ASABE Category],ASABECoefficients[RV4])</f>
        <v>7.4905071015698174E-4</v>
      </c>
      <c r="AM117" s="208">
        <f>_xlfn.XLOOKUP(Implements[[#This Row],[Defaulty ASABE Category]],ASABECoefficients[ASABE Category],ASABECoefficients[RV5])</f>
        <v>0</v>
      </c>
      <c r="AN117" s="208">
        <f>(Implements[[#This Row],[RV1]]-Implements[[#This Row],[RV2]]*Implements[[#This Row],[Expected Life (years)]]^0.5-Implements[[#This Row],[RV3]]*Implements[[#This Row],[Expected Use (hr/yr)]]^0.5+Implements[[#This Row],[RV4]]*'Data tables'!$AD$67)^2+0.25*Implements[[#This Row],[RV5]]</f>
        <v>0.14956524190467213</v>
      </c>
      <c r="AO117" s="208">
        <f>Implements[[#This Row],[Trade-in (%)]]*Implements[[#This Row],[List Price]]</f>
        <v>8226.0883047569678</v>
      </c>
      <c r="AP117" s="208">
        <f>(Implements[[#This Row],[Purchase Price (2020)]]-Implements[[#This Row],[Trade-in ($)]])/Implements[[#This Row],[Expected Life (years)]]</f>
        <v>2981.1593079369195</v>
      </c>
      <c r="AQ117" s="208">
        <f>Implements[[#This Row],[List Price]]*(Implements[[#This Row],[RF1]]*(Implements[[#This Row],[Expected Life (years)]]*Implements[[#This Row],[Expected Use (hr/yr)]]/1000)^Implements[[#This Row],[RF2]])</f>
        <v>3684.0339100635711</v>
      </c>
      <c r="AR117" s="208">
        <f>Implements[[#This Row],[Accumulated Repairs ($)]]/Implements[[#This Row],[Expected Life (years)]]</f>
        <v>307.00282583863094</v>
      </c>
      <c r="AS117" s="212">
        <f>Implements[[#This Row],[Size1]]*Implements[[#This Row],[Field Speed (m/h)]]*Implements[[#This Row],[Field Efficiency]]/'Data tables'!$AD$68</f>
        <v>7.8060606060606048</v>
      </c>
      <c r="AT117" s="212">
        <f>Implements[[#This Row],[Acres/hour]]*Implements[[#This Row],[Expected Use (hr/yr)]]</f>
        <v>831.51515151515139</v>
      </c>
      <c r="AU117" s="212">
        <f>Implements[[#This Row],[Annual Depreciation]]/Implements[[#This Row],[Acres/year]]</f>
        <v>3.5852134534226807</v>
      </c>
      <c r="AV117" s="212">
        <f>(Implements[[#This Row],[Purchase Price (2020)]]+Implements[[#This Row],[Trade-in ($)]]+Implements[[#This Row],[Annual Depreciation]])/2*'Data tables'!$AD$58/Implements[[#This Row],[Acres/year]]</f>
        <v>1.32787111604876</v>
      </c>
      <c r="AW117" s="212">
        <f>Implements[[#This Row],[Annual Repairs ($)]]/Implements[[#This Row],[Acres/year]]</f>
        <v>0.36920893777969471</v>
      </c>
      <c r="AX117" s="212">
        <f>(Implements[[#This Row],[Purchase Price (2020)]]+Implements[[#This Row],[Trade-in ($)]]+Implements[[#This Row],[Annual Depreciation]])/2*'Data tables'!$AD$70/Implements[[#This Row],[Acres/year]]</f>
        <v>0.16598388950609499</v>
      </c>
      <c r="AY117" s="201">
        <f>(Implements[[#This Row],[Purchase Price (2020)]]+Implements[[#This Row],[Trade-in ($)]]+Implements[[#This Row],[Annual Depreciation]])/2*'Data tables'!$AD$59/Implements[[#This Row],[Acres/year]]</f>
        <v>0.28217261216036149</v>
      </c>
      <c r="AZ117" s="201">
        <f>(Implements[[#This Row],[Tractor (hr/impl)]]*Implements[[#This Row],[Labor (hr/trac)]])/Implements[[#This Row],[Acres/hour]]</f>
        <v>0.14219720496894414</v>
      </c>
      <c r="BA117" s="201">
        <f>'Data tables'!$AD$62*Implements[[#This Row],[Shed (ft^2)]]/Implements[[#This Row],[Acres/year]]</f>
        <v>8.7420442195100631E-2</v>
      </c>
      <c r="BP117" s="19"/>
      <c r="BW117"/>
    </row>
    <row r="118" spans="13:87" x14ac:dyDescent="0.25">
      <c r="M118" s="201" t="s">
        <v>5379</v>
      </c>
      <c r="N118" s="202" t="s">
        <v>5412</v>
      </c>
      <c r="O118" s="203">
        <v>30</v>
      </c>
      <c r="P118" s="204" t="s">
        <v>5355</v>
      </c>
      <c r="Q118" s="205"/>
      <c r="R118" s="204"/>
      <c r="S118" s="205" t="str">
        <f>CONCATENATE(N118&amp;"; "&amp;IF(Implements[[#This Row],[Size2]]&lt;&gt;"",Implements[[#This Row],[Size2]]&amp;" "&amp;Implements[[#This Row],[Unit2]]&amp;"; ","")&amp;IF(Implements[[#This Row],[Size1]]&gt;0,ROUND(Implements[[#This Row],[Size1]],1)&amp;" "&amp;Implements[[#This Row],[Unit1]]," "))</f>
        <v>Grain Cart; 30 Ft</v>
      </c>
      <c r="T118" s="206" t="s">
        <v>5471</v>
      </c>
      <c r="U118" s="207">
        <v>123000</v>
      </c>
      <c r="V118" s="208">
        <v>0.1</v>
      </c>
      <c r="W118" s="208">
        <f>Implements[[#This Row],[Purchase Price (2020)]]/(1-Implements[[#This Row],[List Discount]])</f>
        <v>136666.66666666666</v>
      </c>
      <c r="X118" s="203">
        <v>12</v>
      </c>
      <c r="Y118" s="209">
        <v>200</v>
      </c>
      <c r="Z118" s="210" t="s">
        <v>5413</v>
      </c>
      <c r="AA118" s="203">
        <v>3</v>
      </c>
      <c r="AB118" s="208">
        <v>0.63</v>
      </c>
      <c r="AC118" s="208">
        <v>1</v>
      </c>
      <c r="AD118" s="208">
        <v>1.1100000000000001</v>
      </c>
      <c r="AE118" s="203" t="s">
        <v>5495</v>
      </c>
      <c r="AF118" s="203">
        <v>0</v>
      </c>
      <c r="AG118" s="218">
        <f>_xlfn.XLOOKUP(Implements[[#This Row],[Defaulty ASABE Category]],ASABECoefficients[ASABE Category],ASABECoefficients[RF1])</f>
        <v>0.19</v>
      </c>
      <c r="AH118" s="218">
        <f>_xlfn.XLOOKUP(Implements[[#This Row],[Defaulty ASABE Category]],ASABECoefficients[ASABE Category],ASABECoefficients[RF2])</f>
        <v>1.3</v>
      </c>
      <c r="AI118" s="218">
        <f>_xlfn.XLOOKUP(Implements[[#This Row],[Defaulty ASABE Category]],ASABECoefficients[ASABE Category],ASABECoefficients[RV1])</f>
        <v>0.80910000000000004</v>
      </c>
      <c r="AJ118" s="218">
        <f>_xlfn.XLOOKUP(Implements[[#This Row],[Defaulty ASABE Category]],ASABECoefficients[ASABE Category],ASABECoefficients[RV2])</f>
        <v>0.1109</v>
      </c>
      <c r="AK118" s="218">
        <f>_xlfn.XLOOKUP(Implements[[#This Row],[Defaulty ASABE Category]],ASABECoefficients[ASABE Category],ASABECoefficients[RV3])</f>
        <v>0</v>
      </c>
      <c r="AL118" s="218">
        <f>_xlfn.XLOOKUP(Implements[[#This Row],[Defaulty ASABE Category]],ASABECoefficients[ASABE Category],ASABECoefficients[RV4])</f>
        <v>1.4E-3</v>
      </c>
      <c r="AM118" s="218">
        <f>_xlfn.XLOOKUP(Implements[[#This Row],[Defaulty ASABE Category]],ASABECoefficients[ASABE Category],ASABECoefficients[RV5])</f>
        <v>0.12670000000000001</v>
      </c>
      <c r="AN118" s="218">
        <f>(Implements[[#This Row],[RV1]]-Implements[[#This Row],[RV2]]*Implements[[#This Row],[Expected Life (years)]]^0.5-Implements[[#This Row],[RV3]]*Implements[[#This Row],[Expected Use (hr/yr)]]^0.5+Implements[[#This Row],[RV4]]*'Data tables'!$AD$67)^2+0.25*Implements[[#This Row],[RV5]]</f>
        <v>0.31216003043323148</v>
      </c>
      <c r="AO118" s="218">
        <f>Implements[[#This Row],[Trade-in (%)]]*Implements[[#This Row],[List Price]]</f>
        <v>42661.870825874968</v>
      </c>
      <c r="AP118" s="218">
        <f>(Implements[[#This Row],[Purchase Price (2020)]]-Implements[[#This Row],[Trade-in ($)]])/Implements[[#This Row],[Expected Life (years)]]</f>
        <v>6694.8440978437529</v>
      </c>
      <c r="AQ118" s="218">
        <f>Implements[[#This Row],[List Price]]*(Implements[[#This Row],[RF1]]*(Implements[[#This Row],[Expected Life (years)]]*Implements[[#This Row],[Expected Use (hr/yr)]]/1000)^Implements[[#This Row],[RF2]])</f>
        <v>81038.392411545196</v>
      </c>
      <c r="AR118" s="218">
        <f>Implements[[#This Row],[Accumulated Repairs ($)]]/Implements[[#This Row],[Expected Life (years)]]</f>
        <v>6753.1993676287666</v>
      </c>
      <c r="AS118" s="212">
        <f>Implements[[#This Row],[Size1]]*Implements[[#This Row],[Field Speed (m/h)]]*Implements[[#This Row],[Field Efficiency]]/'Data tables'!$AD$68</f>
        <v>6.872727272727273</v>
      </c>
      <c r="AT118" s="212">
        <f>Implements[[#This Row],[Acres/hour]]*Implements[[#This Row],[Expected Use (hr/yr)]]</f>
        <v>1374.5454545454545</v>
      </c>
      <c r="AU118" s="212">
        <f>Implements[[#This Row],[Annual Depreciation]]/Implements[[#This Row],[Acres/year]]</f>
        <v>4.8705876373201908</v>
      </c>
      <c r="AV118" s="212">
        <f>(Implements[[#This Row],[Purchase Price (2020)]]+Implements[[#This Row],[Trade-in ($)]]+Implements[[#This Row],[Annual Depreciation]])/2*'Data tables'!$AD$58/Implements[[#This Row],[Acres/year]]</f>
        <v>2.5078357991546372</v>
      </c>
      <c r="AW118" s="212">
        <f>Implements[[#This Row],[Annual Repairs ($)]]/Implements[[#This Row],[Acres/year]]</f>
        <v>4.9130418679838908</v>
      </c>
      <c r="AX118" s="212">
        <f>(Implements[[#This Row],[Purchase Price (2020)]]+Implements[[#This Row],[Trade-in ($)]]+Implements[[#This Row],[Annual Depreciation]])/2*'Data tables'!$AD$70/Implements[[#This Row],[Acres/year]]</f>
        <v>0.31347947489432965</v>
      </c>
      <c r="AY118" s="201">
        <f>(Implements[[#This Row],[Purchase Price (2020)]]+Implements[[#This Row],[Trade-in ($)]]+Implements[[#This Row],[Annual Depreciation]])/2*'Data tables'!$AD$59/Implements[[#This Row],[Acres/year]]</f>
        <v>0.53291510732036051</v>
      </c>
      <c r="AZ118" s="201">
        <f>(Implements[[#This Row],[Tractor (hr/impl)]]*Implements[[#This Row],[Labor (hr/trac)]])/Implements[[#This Row],[Acres/hour]]</f>
        <v>0.16150793650793652</v>
      </c>
      <c r="BA118" s="201">
        <f>'Data tables'!$AD$62*Implements[[#This Row],[Shed (ft^2)]]/Implements[[#This Row],[Acres/year]]</f>
        <v>0</v>
      </c>
      <c r="BP118" s="19"/>
      <c r="BW118"/>
    </row>
    <row r="124" spans="13:87" x14ac:dyDescent="0.25">
      <c r="BE124" s="97" t="s">
        <v>5503</v>
      </c>
      <c r="BF124" t="s">
        <v>5569</v>
      </c>
      <c r="BG124" s="94"/>
      <c r="BH124" s="94"/>
      <c r="BI124" s="94"/>
      <c r="BJ124" s="94"/>
      <c r="BK124" s="94"/>
      <c r="BL124" s="94"/>
      <c r="BM124" s="93"/>
      <c r="BN124" s="96"/>
      <c r="BO124" s="96"/>
      <c r="BQ124"/>
      <c r="BR124"/>
      <c r="BS124"/>
      <c r="BT124"/>
      <c r="BU124"/>
      <c r="BV124"/>
      <c r="BX124" s="19"/>
      <c r="BY124" s="19"/>
      <c r="BZ124" s="19"/>
      <c r="CA124" s="19"/>
      <c r="CB124" s="19"/>
      <c r="CC124" s="19"/>
    </row>
    <row r="125" spans="13:87" s="2" customFormat="1" ht="30.75" customHeight="1" x14ac:dyDescent="0.25">
      <c r="V125"/>
      <c r="W125"/>
      <c r="BE125" s="219" t="s">
        <v>5298</v>
      </c>
      <c r="BF125" s="219" t="s">
        <v>5418</v>
      </c>
      <c r="BG125" s="196" t="s">
        <v>5546</v>
      </c>
      <c r="BH125" s="219" t="s">
        <v>5536</v>
      </c>
      <c r="BI125" s="219" t="s">
        <v>5535</v>
      </c>
      <c r="BJ125" s="219" t="s">
        <v>5539</v>
      </c>
      <c r="BK125" s="219" t="s">
        <v>5537</v>
      </c>
      <c r="BL125" s="219" t="s">
        <v>5538</v>
      </c>
      <c r="BM125" s="219" t="s">
        <v>5534</v>
      </c>
      <c r="BN125" s="219" t="s">
        <v>5533</v>
      </c>
      <c r="BO125" s="219" t="s">
        <v>5532</v>
      </c>
      <c r="BP125" s="219" t="s">
        <v>5432</v>
      </c>
      <c r="BQ125" s="219" t="s">
        <v>5433</v>
      </c>
      <c r="BR125" s="219" t="s">
        <v>5434</v>
      </c>
      <c r="BS125" s="219" t="s">
        <v>5435</v>
      </c>
      <c r="BT125" s="219" t="s">
        <v>5436</v>
      </c>
      <c r="BU125" s="219" t="s">
        <v>5437</v>
      </c>
      <c r="BV125" s="219" t="s">
        <v>5466</v>
      </c>
      <c r="BW125" s="220" t="s">
        <v>5540</v>
      </c>
      <c r="BX125" s="220" t="s">
        <v>5541</v>
      </c>
      <c r="BY125" s="220" t="s">
        <v>5542</v>
      </c>
      <c r="BZ125" s="220" t="s">
        <v>5544</v>
      </c>
      <c r="CA125" s="220" t="s">
        <v>5543</v>
      </c>
      <c r="CB125" s="220" t="s">
        <v>5564</v>
      </c>
      <c r="CC125" s="220" t="s">
        <v>5565</v>
      </c>
      <c r="CD125" s="220" t="s">
        <v>5566</v>
      </c>
      <c r="CE125" s="220" t="s">
        <v>5567</v>
      </c>
      <c r="CF125" s="219" t="s">
        <v>5568</v>
      </c>
      <c r="CG125" s="219" t="s">
        <v>5571</v>
      </c>
      <c r="CH125" s="219" t="s">
        <v>5573</v>
      </c>
      <c r="CI125" s="98"/>
    </row>
    <row r="126" spans="13:87" x14ac:dyDescent="0.25">
      <c r="BE126" s="203" t="s">
        <v>5467</v>
      </c>
      <c r="BF126" s="221">
        <v>40</v>
      </c>
      <c r="BG126" s="222" t="str">
        <f t="shared" ref="BG126:BG145" si="7">CONCATENATE(BF126&amp;" "&amp;BE126)</f>
        <v>40 HP Tractor</v>
      </c>
      <c r="BH126" s="223">
        <v>26000</v>
      </c>
      <c r="BI126" s="208">
        <v>0</v>
      </c>
      <c r="BJ126" s="208">
        <f>Power[[#This Row],[Purchase Price (2020)]]/(1-Power[[#This Row],[List Discount]])</f>
        <v>26000</v>
      </c>
      <c r="BK126" s="203">
        <v>12</v>
      </c>
      <c r="BL126" s="203">
        <v>400</v>
      </c>
      <c r="BM126" s="203">
        <v>4.3999999999999997E-2</v>
      </c>
      <c r="BN126" s="203">
        <v>92</v>
      </c>
      <c r="BO126" s="224" t="s">
        <v>5419</v>
      </c>
      <c r="BP126" s="211">
        <f>_xlfn.XLOOKUP(Power[[#This Row],[Default ASABE Category]],ASABECoefficients[ASABE Category],ASABECoefficients[RF1])</f>
        <v>7.0000000000000001E-3</v>
      </c>
      <c r="BQ126" s="211">
        <f>_xlfn.XLOOKUP(Power[[#This Row],[Default ASABE Category]],ASABECoefficients[ASABE Category],ASABECoefficients[RF2])</f>
        <v>2</v>
      </c>
      <c r="BR126" s="211">
        <f>_xlfn.XLOOKUP(Power[[#This Row],[Default ASABE Category]],ASABECoefficients[ASABE Category],ASABECoefficients[RV1])</f>
        <v>0.84930000000000005</v>
      </c>
      <c r="BS126" s="211">
        <f>_xlfn.XLOOKUP(Power[[#This Row],[Default ASABE Category]],ASABECoefficients[ASABE Category],ASABECoefficients[RV2])</f>
        <v>9.6600000000000005E-2</v>
      </c>
      <c r="BT126" s="211">
        <f>_xlfn.XLOOKUP(Power[[#This Row],[Default ASABE Category]],ASABECoefficients[ASABE Category],ASABECoefficients[RV3])</f>
        <v>5.8999999999999999E-3</v>
      </c>
      <c r="BU126" s="211">
        <f>_xlfn.XLOOKUP(Power[[#This Row],[Default ASABE Category]],ASABECoefficients[ASABE Category],ASABECoefficients[RV4])</f>
        <v>3.8E-3</v>
      </c>
      <c r="BV126" s="211">
        <f>_xlfn.XLOOKUP(Power[[#This Row],[Default ASABE Category]],ASABECoefficients[ASABE Category],ASABECoefficients[RV5])</f>
        <v>0.1062</v>
      </c>
      <c r="BW126" s="211">
        <f>(Power[[#This Row],[RV1]]-Power[[#This Row],[RV2]]*Power[[#This Row],[Expected Life (years)]]^0.5-Power[[#This Row],[RV3]]*Power[[#This Row],[Expected Use (Hr/yr)]]^0.5+Power[[#This Row],[RV4]]*'Data tables'!$AD$67)^2+0.25*Power[[#This Row],[RV5]]</f>
        <v>0.49002738124372885</v>
      </c>
      <c r="BX126" s="211">
        <f>Power[[#This Row],[Trade-in (%)]]*Power[[#This Row],[List Price]]</f>
        <v>12740.71191233695</v>
      </c>
      <c r="BY126" s="211">
        <f>(Power[[#This Row],[Purchase Price (2020)]]-Power[[#This Row],[Trade-in ($)]])/Power[[#This Row],[Expected Life (years)]]</f>
        <v>1104.9406739719209</v>
      </c>
      <c r="BZ126" s="211">
        <f>Power[[#This Row],[List Price]]*(Power[[#This Row],[RF1]]*(Power[[#This Row],[Expected Life (years)]]*Power[[#This Row],[Expected Use (Hr/yr)]]/1000)^Power[[#This Row],[RF2]])</f>
        <v>4193.28</v>
      </c>
      <c r="CA126" s="211">
        <f>Power[[#This Row],[Accumulated Repairs ($)]]/Power[[#This Row],[Expected Life (years)]]</f>
        <v>349.44</v>
      </c>
      <c r="CB126" s="211">
        <f>Power[[#This Row],[Annual Depreciation]]/Power[[#This Row],[Expected Use (Hr/yr)]]</f>
        <v>2.7623516849298024</v>
      </c>
      <c r="CC126" s="211">
        <f>(Power[[#This Row],[Purchase Price (2020)]]+Power[[#This Row],[Trade-in ($)]]+Power[[#This Row],[Annual Depreciation]])/2*'Data tables'!$AD$58/Power[[#This Row],[Expected Use (Hr/yr)]]</f>
        <v>1.9922826293154434</v>
      </c>
      <c r="CD126" s="211">
        <f>Power[[#This Row],[Annual Repairs ($)]]/Power[[#This Row],[Expected Use (Hr/yr)]]</f>
        <v>0.87360000000000004</v>
      </c>
      <c r="CE126" s="211">
        <f>(Power[[#This Row],[Purchase Price (2020)]]+Power[[#This Row],[Trade-in ($)]]+Power[[#This Row],[Annual Depreciation]])/2*'Data tables'!$AD$70/Power[[#This Row],[Expected Use (Hr/yr)]]</f>
        <v>0.24903532866443043</v>
      </c>
      <c r="CF126" s="211">
        <f>(Power[[#This Row],[Purchase Price (2020)]]+Power[[#This Row],[Trade-in ($)]]+Power[[#This Row],[Annual Depreciation]])/2*'Data tables'!$AD$59/Power[[#This Row],[Expected Use (Hr/yr)]]</f>
        <v>0.42336005872953175</v>
      </c>
      <c r="CG126" s="211">
        <f>Power[[#This Row],[HP]]*Power[[#This Row],[Fuel Use (gal/PTO hp/hr)]]</f>
        <v>1.7599999999999998</v>
      </c>
      <c r="CH126" s="211">
        <f>'Data tables'!$AD$62*Power[[#This Row],[Shed (ft^2)]]/Power[[#This Row],[Expected Use (Hr/yr)]]</f>
        <v>0.22292036152796729</v>
      </c>
      <c r="CI126" s="130"/>
    </row>
    <row r="127" spans="13:87" x14ac:dyDescent="0.25">
      <c r="BE127" s="203" t="s">
        <v>5467</v>
      </c>
      <c r="BF127" s="221">
        <v>60</v>
      </c>
      <c r="BG127" s="222" t="str">
        <f t="shared" si="7"/>
        <v>60 HP Tractor</v>
      </c>
      <c r="BH127" s="223">
        <v>33000</v>
      </c>
      <c r="BI127" s="208">
        <v>0</v>
      </c>
      <c r="BJ127" s="208">
        <f>Power[[#This Row],[Purchase Price (2020)]]/(1-Power[[#This Row],[List Discount]])</f>
        <v>33000</v>
      </c>
      <c r="BK127" s="203">
        <v>12</v>
      </c>
      <c r="BL127" s="203">
        <v>400</v>
      </c>
      <c r="BM127" s="203">
        <v>4.3999999999999997E-2</v>
      </c>
      <c r="BN127" s="203">
        <v>104</v>
      </c>
      <c r="BO127" s="224" t="s">
        <v>5419</v>
      </c>
      <c r="BP127" s="203">
        <f>_xlfn.XLOOKUP(Power[[#This Row],[Default ASABE Category]],ASABECoefficients[ASABE Category],ASABECoefficients[RF1])</f>
        <v>7.0000000000000001E-3</v>
      </c>
      <c r="BQ127" s="203">
        <f>_xlfn.XLOOKUP(Power[[#This Row],[Default ASABE Category]],ASABECoefficients[ASABE Category],ASABECoefficients[RF2])</f>
        <v>2</v>
      </c>
      <c r="BR127" s="203">
        <f>_xlfn.XLOOKUP(Power[[#This Row],[Default ASABE Category]],ASABECoefficients[ASABE Category],ASABECoefficients[RV1])</f>
        <v>0.84930000000000005</v>
      </c>
      <c r="BS127" s="203">
        <f>_xlfn.XLOOKUP(Power[[#This Row],[Default ASABE Category]],ASABECoefficients[ASABE Category],ASABECoefficients[RV2])</f>
        <v>9.6600000000000005E-2</v>
      </c>
      <c r="BT127" s="203">
        <f>_xlfn.XLOOKUP(Power[[#This Row],[Default ASABE Category]],ASABECoefficients[ASABE Category],ASABECoefficients[RV3])</f>
        <v>5.8999999999999999E-3</v>
      </c>
      <c r="BU127" s="203">
        <f>_xlfn.XLOOKUP(Power[[#This Row],[Default ASABE Category]],ASABECoefficients[ASABE Category],ASABECoefficients[RV4])</f>
        <v>3.8E-3</v>
      </c>
      <c r="BV127" s="203">
        <f>_xlfn.XLOOKUP(Power[[#This Row],[Default ASABE Category]],ASABECoefficients[ASABE Category],ASABECoefficients[RV5])</f>
        <v>0.1062</v>
      </c>
      <c r="BW127" s="203">
        <f>(Power[[#This Row],[RV1]]-Power[[#This Row],[RV2]]*Power[[#This Row],[Expected Life (years)]]^0.5-Power[[#This Row],[RV3]]*Power[[#This Row],[Expected Use (Hr/yr)]]^0.5+Power[[#This Row],[RV4]]*'Data tables'!$AD$67)^2+0.25*Power[[#This Row],[RV5]]</f>
        <v>0.49002738124372885</v>
      </c>
      <c r="BX127" s="203">
        <f>Power[[#This Row],[Trade-in (%)]]*Power[[#This Row],[List Price]]</f>
        <v>16170.903581043052</v>
      </c>
      <c r="BY127" s="203">
        <f>(Power[[#This Row],[Purchase Price (2020)]]-Power[[#This Row],[Trade-in ($)]])/Power[[#This Row],[Expected Life (years)]]</f>
        <v>1402.4247015797457</v>
      </c>
      <c r="BZ127" s="203">
        <f>Power[[#This Row],[List Price]]*(Power[[#This Row],[RF1]]*(Power[[#This Row],[Expected Life (years)]]*Power[[#This Row],[Expected Use (Hr/yr)]]/1000)^Power[[#This Row],[RF2]])</f>
        <v>5322.24</v>
      </c>
      <c r="CA127" s="203">
        <f>Power[[#This Row],[Accumulated Repairs ($)]]/Power[[#This Row],[Expected Life (years)]]</f>
        <v>443.52</v>
      </c>
      <c r="CB127" s="203">
        <f>Power[[#This Row],[Annual Depreciation]]/Power[[#This Row],[Expected Use (Hr/yr)]]</f>
        <v>3.5060617539493641</v>
      </c>
      <c r="CC127" s="203">
        <f>(Power[[#This Row],[Purchase Price (2020)]]+Power[[#This Row],[Trade-in ($)]]+Power[[#This Row],[Annual Depreciation]])/2*'Data tables'!$AD$58/Power[[#This Row],[Expected Use (Hr/yr)]]</f>
        <v>2.5286664141311395</v>
      </c>
      <c r="CD127" s="203">
        <f>Power[[#This Row],[Annual Repairs ($)]]/Power[[#This Row],[Expected Use (Hr/yr)]]</f>
        <v>1.1088</v>
      </c>
      <c r="CE127" s="203">
        <f>(Power[[#This Row],[Purchase Price (2020)]]+Power[[#This Row],[Trade-in ($)]]+Power[[#This Row],[Annual Depreciation]])/2*'Data tables'!$AD$70/Power[[#This Row],[Expected Use (Hr/yr)]]</f>
        <v>0.31608330176639243</v>
      </c>
      <c r="CF127" s="203">
        <f>(Power[[#This Row],[Purchase Price (2020)]]+Power[[#This Row],[Trade-in ($)]]+Power[[#This Row],[Annual Depreciation]])/2*'Data tables'!$AD$59/Power[[#This Row],[Expected Use (Hr/yr)]]</f>
        <v>0.5373416130028672</v>
      </c>
      <c r="CG127" s="203">
        <f>Power[[#This Row],[HP]]*Power[[#This Row],[Fuel Use (gal/PTO hp/hr)]]</f>
        <v>2.6399999999999997</v>
      </c>
      <c r="CH127" s="203">
        <f>'Data tables'!$AD$62*Power[[#This Row],[Shed (ft^2)]]/Power[[#This Row],[Expected Use (Hr/yr)]]</f>
        <v>0.25199693042291954</v>
      </c>
      <c r="CI127" s="130"/>
    </row>
    <row r="128" spans="13:87" x14ac:dyDescent="0.25">
      <c r="BE128" s="203" t="s">
        <v>5467</v>
      </c>
      <c r="BF128" s="221">
        <v>75</v>
      </c>
      <c r="BG128" s="222" t="str">
        <f t="shared" si="7"/>
        <v>75 HP Tractor</v>
      </c>
      <c r="BH128" s="223">
        <v>54000</v>
      </c>
      <c r="BI128" s="208">
        <v>0.05</v>
      </c>
      <c r="BJ128" s="208">
        <f>Power[[#This Row],[Purchase Price (2020)]]/(1-Power[[#This Row],[List Discount]])</f>
        <v>56842.1052631579</v>
      </c>
      <c r="BK128" s="203">
        <v>12</v>
      </c>
      <c r="BL128" s="203">
        <v>400</v>
      </c>
      <c r="BM128" s="203">
        <v>4.3999999999999997E-2</v>
      </c>
      <c r="BN128" s="203">
        <v>115</v>
      </c>
      <c r="BO128" s="224" t="s">
        <v>5419</v>
      </c>
      <c r="BP128" s="203">
        <f>_xlfn.XLOOKUP(Power[[#This Row],[Default ASABE Category]],ASABECoefficients[ASABE Category],ASABECoefficients[RF1])</f>
        <v>7.0000000000000001E-3</v>
      </c>
      <c r="BQ128" s="203">
        <f>_xlfn.XLOOKUP(Power[[#This Row],[Default ASABE Category]],ASABECoefficients[ASABE Category],ASABECoefficients[RF2])</f>
        <v>2</v>
      </c>
      <c r="BR128" s="203">
        <f>_xlfn.XLOOKUP(Power[[#This Row],[Default ASABE Category]],ASABECoefficients[ASABE Category],ASABECoefficients[RV1])</f>
        <v>0.84930000000000005</v>
      </c>
      <c r="BS128" s="203">
        <f>_xlfn.XLOOKUP(Power[[#This Row],[Default ASABE Category]],ASABECoefficients[ASABE Category],ASABECoefficients[RV2])</f>
        <v>9.6600000000000005E-2</v>
      </c>
      <c r="BT128" s="203">
        <f>_xlfn.XLOOKUP(Power[[#This Row],[Default ASABE Category]],ASABECoefficients[ASABE Category],ASABECoefficients[RV3])</f>
        <v>5.8999999999999999E-3</v>
      </c>
      <c r="BU128" s="203">
        <f>_xlfn.XLOOKUP(Power[[#This Row],[Default ASABE Category]],ASABECoefficients[ASABE Category],ASABECoefficients[RV4])</f>
        <v>3.8E-3</v>
      </c>
      <c r="BV128" s="203">
        <f>_xlfn.XLOOKUP(Power[[#This Row],[Default ASABE Category]],ASABECoefficients[ASABE Category],ASABECoefficients[RV5])</f>
        <v>0.1062</v>
      </c>
      <c r="BW128" s="203">
        <f>(Power[[#This Row],[RV1]]-Power[[#This Row],[RV2]]*Power[[#This Row],[Expected Life (years)]]^0.5-Power[[#This Row],[RV3]]*Power[[#This Row],[Expected Use (Hr/yr)]]^0.5+Power[[#This Row],[RV4]]*'Data tables'!$AD$67)^2+0.25*Power[[#This Row],[RV5]]</f>
        <v>0.49002738124372885</v>
      </c>
      <c r="BX128" s="203">
        <f>Power[[#This Row],[Trade-in (%)]]*Power[[#This Row],[List Price]]</f>
        <v>27854.187986485642</v>
      </c>
      <c r="BY128" s="203">
        <f>(Power[[#This Row],[Purchase Price (2020)]]-Power[[#This Row],[Trade-in ($)]])/Power[[#This Row],[Expected Life (years)]]</f>
        <v>2178.8176677928632</v>
      </c>
      <c r="BZ128" s="203">
        <f>Power[[#This Row],[List Price]]*(Power[[#This Row],[RF1]]*(Power[[#This Row],[Expected Life (years)]]*Power[[#This Row],[Expected Use (Hr/yr)]]/1000)^Power[[#This Row],[RF2]])</f>
        <v>9167.4947368421072</v>
      </c>
      <c r="CA128" s="203">
        <f>Power[[#This Row],[Accumulated Repairs ($)]]/Power[[#This Row],[Expected Life (years)]]</f>
        <v>763.95789473684226</v>
      </c>
      <c r="CB128" s="203">
        <f>Power[[#This Row],[Annual Depreciation]]/Power[[#This Row],[Expected Use (Hr/yr)]]</f>
        <v>5.4470441694821581</v>
      </c>
      <c r="CC128" s="203">
        <f>(Power[[#This Row],[Purchase Price (2020)]]+Power[[#This Row],[Trade-in ($)]]+Power[[#This Row],[Annual Depreciation]])/2*'Data tables'!$AD$58/Power[[#This Row],[Expected Use (Hr/yr)]]</f>
        <v>4.201650282713925</v>
      </c>
      <c r="CD128" s="203">
        <f>Power[[#This Row],[Annual Repairs ($)]]/Power[[#This Row],[Expected Use (Hr/yr)]]</f>
        <v>1.9098947368421058</v>
      </c>
      <c r="CE128" s="203">
        <f>(Power[[#This Row],[Purchase Price (2020)]]+Power[[#This Row],[Trade-in ($)]]+Power[[#This Row],[Annual Depreciation]])/2*'Data tables'!$AD$70/Power[[#This Row],[Expected Use (Hr/yr)]]</f>
        <v>0.52520628533924063</v>
      </c>
      <c r="CF128" s="203">
        <f>(Power[[#This Row],[Purchase Price (2020)]]+Power[[#This Row],[Trade-in ($)]]+Power[[#This Row],[Annual Depreciation]])/2*'Data tables'!$AD$59/Power[[#This Row],[Expected Use (Hr/yr)]]</f>
        <v>0.89285068507670917</v>
      </c>
      <c r="CG128" s="203">
        <f>Power[[#This Row],[HP]]*Power[[#This Row],[Fuel Use (gal/PTO hp/hr)]]</f>
        <v>3.3</v>
      </c>
      <c r="CH128" s="203">
        <f>'Data tables'!$AD$62*Power[[#This Row],[Shed (ft^2)]]/Power[[#This Row],[Expected Use (Hr/yr)]]</f>
        <v>0.27865045190995913</v>
      </c>
      <c r="CI128" s="130"/>
    </row>
    <row r="129" spans="14:87" x14ac:dyDescent="0.25">
      <c r="BE129" s="203" t="s">
        <v>5468</v>
      </c>
      <c r="BF129" s="221">
        <v>105</v>
      </c>
      <c r="BG129" s="222" t="str">
        <f t="shared" si="7"/>
        <v>105 HP MFWD Tractor</v>
      </c>
      <c r="BH129" s="223">
        <v>145000</v>
      </c>
      <c r="BI129" s="208">
        <v>0.1</v>
      </c>
      <c r="BJ129" s="208">
        <f>Power[[#This Row],[Purchase Price (2020)]]/(1-Power[[#This Row],[List Discount]])</f>
        <v>161111.11111111109</v>
      </c>
      <c r="BK129" s="203">
        <v>12</v>
      </c>
      <c r="BL129" s="203">
        <v>450</v>
      </c>
      <c r="BM129" s="203">
        <v>4.3999999999999997E-2</v>
      </c>
      <c r="BN129" s="203">
        <v>127</v>
      </c>
      <c r="BO129" s="224" t="s">
        <v>5420</v>
      </c>
      <c r="BP129" s="203">
        <f>_xlfn.XLOOKUP(Power[[#This Row],[Default ASABE Category]],ASABECoefficients[ASABE Category],ASABECoefficients[RF1])</f>
        <v>5.0000000000000001E-3</v>
      </c>
      <c r="BQ129" s="203">
        <f>_xlfn.XLOOKUP(Power[[#This Row],[Default ASABE Category]],ASABECoefficients[ASABE Category],ASABECoefficients[RF2])</f>
        <v>2</v>
      </c>
      <c r="BR129" s="203">
        <f>_xlfn.XLOOKUP(Power[[#This Row],[Default ASABE Category]],ASABECoefficients[ASABE Category],ASABECoefficients[RV1])</f>
        <v>0.86409999999999998</v>
      </c>
      <c r="BS129" s="203">
        <f>_xlfn.XLOOKUP(Power[[#This Row],[Default ASABE Category]],ASABECoefficients[ASABE Category],ASABECoefficients[RV2])</f>
        <v>0.15640000000000001</v>
      </c>
      <c r="BT129" s="203">
        <f>_xlfn.XLOOKUP(Power[[#This Row],[Default ASABE Category]],ASABECoefficients[ASABE Category],ASABECoefficients[RV3])</f>
        <v>3.3999999999999998E-3</v>
      </c>
      <c r="BU129" s="203">
        <f>_xlfn.XLOOKUP(Power[[#This Row],[Default ASABE Category]],ASABECoefficients[ASABE Category],ASABECoefficients[RV4])</f>
        <v>4.5999999999999999E-3</v>
      </c>
      <c r="BV129" s="203">
        <f>_xlfn.XLOOKUP(Power[[#This Row],[Default ASABE Category]],ASABECoefficients[ASABE Category],ASABECoefficients[RV5])</f>
        <v>8.5999999999999993E-2</v>
      </c>
      <c r="BW129" s="203">
        <f>(Power[[#This Row],[RV1]]-Power[[#This Row],[RV2]]*Power[[#This Row],[Expected Life (years)]]^0.5-Power[[#This Row],[RV3]]*Power[[#This Row],[Expected Use (Hr/yr)]]^0.5+Power[[#This Row],[RV4]]*'Data tables'!$AD$67)^2+0.25*Power[[#This Row],[RV5]]</f>
        <v>0.37448942400146373</v>
      </c>
      <c r="BX129" s="203">
        <f>Power[[#This Row],[Trade-in (%)]]*Power[[#This Row],[List Price]]</f>
        <v>60334.407200235815</v>
      </c>
      <c r="BY129" s="203">
        <f>(Power[[#This Row],[Purchase Price (2020)]]-Power[[#This Row],[Trade-in ($)]])/Power[[#This Row],[Expected Life (years)]]</f>
        <v>7055.4660666470154</v>
      </c>
      <c r="BZ129" s="203">
        <f>Power[[#This Row],[List Price]]*(Power[[#This Row],[RF1]]*(Power[[#This Row],[Expected Life (years)]]*Power[[#This Row],[Expected Use (Hr/yr)]]/1000)^Power[[#This Row],[RF2]])</f>
        <v>23490</v>
      </c>
      <c r="CA129" s="203">
        <f>Power[[#This Row],[Accumulated Repairs ($)]]/Power[[#This Row],[Expected Life (years)]]</f>
        <v>1957.5</v>
      </c>
      <c r="CB129" s="203">
        <f>Power[[#This Row],[Annual Depreciation]]/Power[[#This Row],[Expected Use (Hr/yr)]]</f>
        <v>15.678813481437812</v>
      </c>
      <c r="CC129" s="203">
        <f>(Power[[#This Row],[Purchase Price (2020)]]+Power[[#This Row],[Trade-in ($)]]+Power[[#This Row],[Annual Depreciation]])/2*'Data tables'!$AD$58/Power[[#This Row],[Expected Use (Hr/yr)]]</f>
        <v>9.4395499229725708</v>
      </c>
      <c r="CD129" s="203">
        <f>Power[[#This Row],[Annual Repairs ($)]]/Power[[#This Row],[Expected Use (Hr/yr)]]</f>
        <v>4.3499999999999996</v>
      </c>
      <c r="CE129" s="203">
        <f>(Power[[#This Row],[Purchase Price (2020)]]+Power[[#This Row],[Trade-in ($)]]+Power[[#This Row],[Annual Depreciation]])/2*'Data tables'!$AD$70/Power[[#This Row],[Expected Use (Hr/yr)]]</f>
        <v>1.1799437403715713</v>
      </c>
      <c r="CF129" s="203">
        <f>(Power[[#This Row],[Purchase Price (2020)]]+Power[[#This Row],[Trade-in ($)]]+Power[[#This Row],[Annual Depreciation]])/2*'Data tables'!$AD$59/Power[[#This Row],[Expected Use (Hr/yr)]]</f>
        <v>2.0059043586316716</v>
      </c>
      <c r="CG129" s="203">
        <f>Power[[#This Row],[HP]]*Power[[#This Row],[Fuel Use (gal/PTO hp/hr)]]</f>
        <v>4.62</v>
      </c>
      <c r="CH129" s="203">
        <f>'Data tables'!$AD$62*Power[[#This Row],[Shed (ft^2)]]/Power[[#This Row],[Expected Use (Hr/yr)]]</f>
        <v>0.27353512960436566</v>
      </c>
      <c r="CI129" s="130"/>
    </row>
    <row r="130" spans="14:87" x14ac:dyDescent="0.25">
      <c r="O130" s="102"/>
      <c r="Q130" s="101"/>
      <c r="R130" s="102"/>
      <c r="S130" s="103"/>
      <c r="U130" s="94"/>
      <c r="X130" s="102"/>
      <c r="Y130" s="102"/>
      <c r="Z130" s="101"/>
      <c r="AA130" s="101"/>
      <c r="BE130" s="203" t="s">
        <v>5468</v>
      </c>
      <c r="BF130" s="221">
        <v>130</v>
      </c>
      <c r="BG130" s="222" t="str">
        <f t="shared" si="7"/>
        <v>130 HP MFWD Tractor</v>
      </c>
      <c r="BH130" s="223">
        <v>176000</v>
      </c>
      <c r="BI130" s="208">
        <v>0.1</v>
      </c>
      <c r="BJ130" s="208">
        <f>Power[[#This Row],[Purchase Price (2020)]]/(1-Power[[#This Row],[List Discount]])</f>
        <v>195555.55555555556</v>
      </c>
      <c r="BK130" s="203">
        <v>12</v>
      </c>
      <c r="BL130" s="203">
        <v>450</v>
      </c>
      <c r="BM130" s="203">
        <v>4.3999999999999997E-2</v>
      </c>
      <c r="BN130" s="203">
        <v>130</v>
      </c>
      <c r="BO130" s="224" t="s">
        <v>5420</v>
      </c>
      <c r="BP130" s="203">
        <f>_xlfn.XLOOKUP(Power[[#This Row],[Default ASABE Category]],ASABECoefficients[ASABE Category],ASABECoefficients[RF1])</f>
        <v>5.0000000000000001E-3</v>
      </c>
      <c r="BQ130" s="203">
        <f>_xlfn.XLOOKUP(Power[[#This Row],[Default ASABE Category]],ASABECoefficients[ASABE Category],ASABECoefficients[RF2])</f>
        <v>2</v>
      </c>
      <c r="BR130" s="203">
        <f>_xlfn.XLOOKUP(Power[[#This Row],[Default ASABE Category]],ASABECoefficients[ASABE Category],ASABECoefficients[RV1])</f>
        <v>0.86409999999999998</v>
      </c>
      <c r="BS130" s="203">
        <f>_xlfn.XLOOKUP(Power[[#This Row],[Default ASABE Category]],ASABECoefficients[ASABE Category],ASABECoefficients[RV2])</f>
        <v>0.15640000000000001</v>
      </c>
      <c r="BT130" s="203">
        <f>_xlfn.XLOOKUP(Power[[#This Row],[Default ASABE Category]],ASABECoefficients[ASABE Category],ASABECoefficients[RV3])</f>
        <v>3.3999999999999998E-3</v>
      </c>
      <c r="BU130" s="203">
        <f>_xlfn.XLOOKUP(Power[[#This Row],[Default ASABE Category]],ASABECoefficients[ASABE Category],ASABECoefficients[RV4])</f>
        <v>4.5999999999999999E-3</v>
      </c>
      <c r="BV130" s="203">
        <f>_xlfn.XLOOKUP(Power[[#This Row],[Default ASABE Category]],ASABECoefficients[ASABE Category],ASABECoefficients[RV5])</f>
        <v>8.5999999999999993E-2</v>
      </c>
      <c r="BW130" s="203">
        <f>(Power[[#This Row],[RV1]]-Power[[#This Row],[RV2]]*Power[[#This Row],[Expected Life (years)]]^0.5-Power[[#This Row],[RV3]]*Power[[#This Row],[Expected Use (Hr/yr)]]^0.5+Power[[#This Row],[RV4]]*'Data tables'!$AD$67)^2+0.25*Power[[#This Row],[RV5]]</f>
        <v>0.37448942400146373</v>
      </c>
      <c r="BX130" s="203">
        <f>Power[[#This Row],[Trade-in (%)]]*Power[[#This Row],[List Price]]</f>
        <v>73233.48736028625</v>
      </c>
      <c r="BY130" s="203">
        <f>(Power[[#This Row],[Purchase Price (2020)]]-Power[[#This Row],[Trade-in ($)]])/Power[[#This Row],[Expected Life (years)]]</f>
        <v>8563.8760533094792</v>
      </c>
      <c r="BZ130" s="203">
        <f>Power[[#This Row],[List Price]]*(Power[[#This Row],[RF1]]*(Power[[#This Row],[Expected Life (years)]]*Power[[#This Row],[Expected Use (Hr/yr)]]/1000)^Power[[#This Row],[RF2]])</f>
        <v>28512.000000000004</v>
      </c>
      <c r="CA130" s="203">
        <f>Power[[#This Row],[Accumulated Repairs ($)]]/Power[[#This Row],[Expected Life (years)]]</f>
        <v>2376.0000000000005</v>
      </c>
      <c r="CB130" s="203">
        <f>Power[[#This Row],[Annual Depreciation]]/Power[[#This Row],[Expected Use (Hr/yr)]]</f>
        <v>19.030835674021066</v>
      </c>
      <c r="CC130" s="203">
        <f>(Power[[#This Row],[Purchase Price (2020)]]+Power[[#This Row],[Trade-in ($)]]+Power[[#This Row],[Annual Depreciation]])/2*'Data tables'!$AD$58/Power[[#This Row],[Expected Use (Hr/yr)]]</f>
        <v>11.45766059615981</v>
      </c>
      <c r="CD130" s="203">
        <f>Power[[#This Row],[Annual Repairs ($)]]/Power[[#This Row],[Expected Use (Hr/yr)]]</f>
        <v>5.2800000000000011</v>
      </c>
      <c r="CE130" s="203">
        <f>(Power[[#This Row],[Purchase Price (2020)]]+Power[[#This Row],[Trade-in ($)]]+Power[[#This Row],[Annual Depreciation]])/2*'Data tables'!$AD$70/Power[[#This Row],[Expected Use (Hr/yr)]]</f>
        <v>1.4322075745199763</v>
      </c>
      <c r="CF130" s="203">
        <f>(Power[[#This Row],[Purchase Price (2020)]]+Power[[#This Row],[Trade-in ($)]]+Power[[#This Row],[Annual Depreciation]])/2*'Data tables'!$AD$59/Power[[#This Row],[Expected Use (Hr/yr)]]</f>
        <v>2.4347528766839597</v>
      </c>
      <c r="CG130" s="203">
        <f>Power[[#This Row],[HP]]*Power[[#This Row],[Fuel Use (gal/PTO hp/hr)]]</f>
        <v>5.72</v>
      </c>
      <c r="CH130" s="203">
        <f>'Data tables'!$AD$62*Power[[#This Row],[Shed (ft^2)]]/Power[[#This Row],[Expected Use (Hr/yr)]]</f>
        <v>0.27999658935879951</v>
      </c>
      <c r="CI130" s="130"/>
    </row>
    <row r="131" spans="14:87" x14ac:dyDescent="0.25">
      <c r="O131" s="94"/>
      <c r="Q131" s="94"/>
      <c r="R131" s="94"/>
      <c r="S131" s="94"/>
      <c r="U131" s="94"/>
      <c r="X131" s="94"/>
      <c r="Y131" s="94"/>
      <c r="Z131" s="94"/>
      <c r="AA131" s="94"/>
      <c r="BE131" s="203" t="s">
        <v>5468</v>
      </c>
      <c r="BF131" s="221">
        <v>160</v>
      </c>
      <c r="BG131" s="222" t="str">
        <f t="shared" si="7"/>
        <v>160 HP MFWD Tractor</v>
      </c>
      <c r="BH131" s="223">
        <v>215000</v>
      </c>
      <c r="BI131" s="208">
        <v>0.1</v>
      </c>
      <c r="BJ131" s="208">
        <f>Power[[#This Row],[Purchase Price (2020)]]/(1-Power[[#This Row],[List Discount]])</f>
        <v>238888.88888888888</v>
      </c>
      <c r="BK131" s="203">
        <v>12</v>
      </c>
      <c r="BL131" s="203">
        <v>500</v>
      </c>
      <c r="BM131" s="203">
        <v>4.3999999999999997E-2</v>
      </c>
      <c r="BN131" s="203">
        <v>200</v>
      </c>
      <c r="BO131" s="224" t="s">
        <v>5420</v>
      </c>
      <c r="BP131" s="203">
        <f>_xlfn.XLOOKUP(Power[[#This Row],[Default ASABE Category]],ASABECoefficients[ASABE Category],ASABECoefficients[RF1])</f>
        <v>5.0000000000000001E-3</v>
      </c>
      <c r="BQ131" s="203">
        <f>_xlfn.XLOOKUP(Power[[#This Row],[Default ASABE Category]],ASABECoefficients[ASABE Category],ASABECoefficients[RF2])</f>
        <v>2</v>
      </c>
      <c r="BR131" s="203">
        <f>_xlfn.XLOOKUP(Power[[#This Row],[Default ASABE Category]],ASABECoefficients[ASABE Category],ASABECoefficients[RV1])</f>
        <v>0.86409999999999998</v>
      </c>
      <c r="BS131" s="203">
        <f>_xlfn.XLOOKUP(Power[[#This Row],[Default ASABE Category]],ASABECoefficients[ASABE Category],ASABECoefficients[RV2])</f>
        <v>0.15640000000000001</v>
      </c>
      <c r="BT131" s="203">
        <f>_xlfn.XLOOKUP(Power[[#This Row],[Default ASABE Category]],ASABECoefficients[ASABE Category],ASABECoefficients[RV3])</f>
        <v>3.3999999999999998E-3</v>
      </c>
      <c r="BU131" s="203">
        <f>_xlfn.XLOOKUP(Power[[#This Row],[Default ASABE Category]],ASABECoefficients[ASABE Category],ASABECoefficients[RV4])</f>
        <v>4.5999999999999999E-3</v>
      </c>
      <c r="BV131" s="203">
        <f>_xlfn.XLOOKUP(Power[[#This Row],[Default ASABE Category]],ASABECoefficients[ASABE Category],ASABECoefficients[RV5])</f>
        <v>8.5999999999999993E-2</v>
      </c>
      <c r="BW131" s="203">
        <f>(Power[[#This Row],[RV1]]-Power[[#This Row],[RV2]]*Power[[#This Row],[Expected Life (years)]]^0.5-Power[[#This Row],[RV3]]*Power[[#This Row],[Expected Use (Hr/yr)]]^0.5+Power[[#This Row],[RV4]]*'Data tables'!$AD$67)^2+0.25*Power[[#This Row],[RV5]]</f>
        <v>0.36986875105945144</v>
      </c>
      <c r="BX131" s="203">
        <f>Power[[#This Row],[Trade-in (%)]]*Power[[#This Row],[List Price]]</f>
        <v>88357.534975313392</v>
      </c>
      <c r="BY131" s="203">
        <f>(Power[[#This Row],[Purchase Price (2020)]]-Power[[#This Row],[Trade-in ($)]])/Power[[#This Row],[Expected Life (years)]]</f>
        <v>10553.538752057217</v>
      </c>
      <c r="BZ131" s="203">
        <f>Power[[#This Row],[List Price]]*(Power[[#This Row],[RF1]]*(Power[[#This Row],[Expected Life (years)]]*Power[[#This Row],[Expected Use (Hr/yr)]]/1000)^Power[[#This Row],[RF2]])</f>
        <v>42999.999999999993</v>
      </c>
      <c r="CA131" s="203">
        <f>Power[[#This Row],[Accumulated Repairs ($)]]/Power[[#This Row],[Expected Life (years)]]</f>
        <v>3583.3333333333326</v>
      </c>
      <c r="CB131" s="203">
        <f>Power[[#This Row],[Annual Depreciation]]/Power[[#This Row],[Expected Use (Hr/yr)]]</f>
        <v>21.107077504114432</v>
      </c>
      <c r="CC131" s="203">
        <f>(Power[[#This Row],[Purchase Price (2020)]]+Power[[#This Row],[Trade-in ($)]]+Power[[#This Row],[Annual Depreciation]])/2*'Data tables'!$AD$58/Power[[#This Row],[Expected Use (Hr/yr)]]</f>
        <v>12.556442949094826</v>
      </c>
      <c r="CD131" s="203">
        <f>Power[[#This Row],[Annual Repairs ($)]]/Power[[#This Row],[Expected Use (Hr/yr)]]</f>
        <v>7.1666666666666652</v>
      </c>
      <c r="CE131" s="203">
        <f>(Power[[#This Row],[Purchase Price (2020)]]+Power[[#This Row],[Trade-in ($)]]+Power[[#This Row],[Annual Depreciation]])/2*'Data tables'!$AD$70/Power[[#This Row],[Expected Use (Hr/yr)]]</f>
        <v>1.5695553686368533</v>
      </c>
      <c r="CF131" s="203">
        <f>(Power[[#This Row],[Purchase Price (2020)]]+Power[[#This Row],[Trade-in ($)]]+Power[[#This Row],[Annual Depreciation]])/2*'Data tables'!$AD$59/Power[[#This Row],[Expected Use (Hr/yr)]]</f>
        <v>2.6682441266826507</v>
      </c>
      <c r="CG131" s="203">
        <f>Power[[#This Row],[HP]]*Power[[#This Row],[Fuel Use (gal/PTO hp/hr)]]</f>
        <v>7.0399999999999991</v>
      </c>
      <c r="CH131" s="203">
        <f>'Data tables'!$AD$62*Power[[#This Row],[Shed (ft^2)]]/Power[[#This Row],[Expected Use (Hr/yr)]]</f>
        <v>0.38768758526603003</v>
      </c>
      <c r="CI131" s="130"/>
    </row>
    <row r="132" spans="14:87" x14ac:dyDescent="0.25">
      <c r="U132" s="104"/>
      <c r="X132" s="94"/>
      <c r="Y132" s="94"/>
      <c r="BE132" s="203" t="s">
        <v>5468</v>
      </c>
      <c r="BF132" s="221">
        <v>200</v>
      </c>
      <c r="BG132" s="222" t="str">
        <f t="shared" si="7"/>
        <v>200 HP MFWD Tractor</v>
      </c>
      <c r="BH132" s="223">
        <v>277000</v>
      </c>
      <c r="BI132" s="208">
        <v>0.1</v>
      </c>
      <c r="BJ132" s="208">
        <f>Power[[#This Row],[Purchase Price (2020)]]/(1-Power[[#This Row],[List Discount]])</f>
        <v>307777.77777777775</v>
      </c>
      <c r="BK132" s="203">
        <v>12</v>
      </c>
      <c r="BL132" s="203">
        <v>500</v>
      </c>
      <c r="BM132" s="203">
        <v>4.3999999999999997E-2</v>
      </c>
      <c r="BN132" s="203">
        <v>210</v>
      </c>
      <c r="BO132" s="224" t="s">
        <v>5420</v>
      </c>
      <c r="BP132" s="203">
        <f>_xlfn.XLOOKUP(Power[[#This Row],[Default ASABE Category]],ASABECoefficients[ASABE Category],ASABECoefficients[RF1])</f>
        <v>5.0000000000000001E-3</v>
      </c>
      <c r="BQ132" s="203">
        <f>_xlfn.XLOOKUP(Power[[#This Row],[Default ASABE Category]],ASABECoefficients[ASABE Category],ASABECoefficients[RF2])</f>
        <v>2</v>
      </c>
      <c r="BR132" s="203">
        <f>_xlfn.XLOOKUP(Power[[#This Row],[Default ASABE Category]],ASABECoefficients[ASABE Category],ASABECoefficients[RV1])</f>
        <v>0.86409999999999998</v>
      </c>
      <c r="BS132" s="203">
        <f>_xlfn.XLOOKUP(Power[[#This Row],[Default ASABE Category]],ASABECoefficients[ASABE Category],ASABECoefficients[RV2])</f>
        <v>0.15640000000000001</v>
      </c>
      <c r="BT132" s="203">
        <f>_xlfn.XLOOKUP(Power[[#This Row],[Default ASABE Category]],ASABECoefficients[ASABE Category],ASABECoefficients[RV3])</f>
        <v>3.3999999999999998E-3</v>
      </c>
      <c r="BU132" s="203">
        <f>_xlfn.XLOOKUP(Power[[#This Row],[Default ASABE Category]],ASABECoefficients[ASABE Category],ASABECoefficients[RV4])</f>
        <v>4.5999999999999999E-3</v>
      </c>
      <c r="BV132" s="203">
        <f>_xlfn.XLOOKUP(Power[[#This Row],[Default ASABE Category]],ASABECoefficients[ASABE Category],ASABECoefficients[RV5])</f>
        <v>8.5999999999999993E-2</v>
      </c>
      <c r="BW132" s="203">
        <f>(Power[[#This Row],[RV1]]-Power[[#This Row],[RV2]]*Power[[#This Row],[Expected Life (years)]]^0.5-Power[[#This Row],[RV3]]*Power[[#This Row],[Expected Use (Hr/yr)]]^0.5+Power[[#This Row],[RV4]]*'Data tables'!$AD$67)^2+0.25*Power[[#This Row],[RV5]]</f>
        <v>0.36986875105945144</v>
      </c>
      <c r="BX132" s="203">
        <f>Power[[#This Row],[Trade-in (%)]]*Power[[#This Row],[List Price]]</f>
        <v>113837.38227052004</v>
      </c>
      <c r="BY132" s="203">
        <f>(Power[[#This Row],[Purchase Price (2020)]]-Power[[#This Row],[Trade-in ($)]])/Power[[#This Row],[Expected Life (years)]]</f>
        <v>13596.884810789998</v>
      </c>
      <c r="BZ132" s="203">
        <f>Power[[#This Row],[List Price]]*(Power[[#This Row],[RF1]]*(Power[[#This Row],[Expected Life (years)]]*Power[[#This Row],[Expected Use (Hr/yr)]]/1000)^Power[[#This Row],[RF2]])</f>
        <v>55399.999999999993</v>
      </c>
      <c r="CA132" s="203">
        <f>Power[[#This Row],[Accumulated Repairs ($)]]/Power[[#This Row],[Expected Life (years)]]</f>
        <v>4616.6666666666661</v>
      </c>
      <c r="CB132" s="203">
        <f>Power[[#This Row],[Annual Depreciation]]/Power[[#This Row],[Expected Use (Hr/yr)]]</f>
        <v>27.193769621579996</v>
      </c>
      <c r="CC132" s="203">
        <f>(Power[[#This Row],[Purchase Price (2020)]]+Power[[#This Row],[Trade-in ($)]]+Power[[#This Row],[Annual Depreciation]])/2*'Data tables'!$AD$58/Power[[#This Row],[Expected Use (Hr/yr)]]</f>
        <v>16.177370683252402</v>
      </c>
      <c r="CD132" s="203">
        <f>Power[[#This Row],[Annual Repairs ($)]]/Power[[#This Row],[Expected Use (Hr/yr)]]</f>
        <v>9.2333333333333325</v>
      </c>
      <c r="CE132" s="203">
        <f>(Power[[#This Row],[Purchase Price (2020)]]+Power[[#This Row],[Trade-in ($)]]+Power[[#This Row],[Annual Depreciation]])/2*'Data tables'!$AD$70/Power[[#This Row],[Expected Use (Hr/yr)]]</f>
        <v>2.0221713354065503</v>
      </c>
      <c r="CF132" s="203">
        <f>(Power[[#This Row],[Purchase Price (2020)]]+Power[[#This Row],[Trade-in ($)]]+Power[[#This Row],[Annual Depreciation]])/2*'Data tables'!$AD$59/Power[[#This Row],[Expected Use (Hr/yr)]]</f>
        <v>3.4376912701911357</v>
      </c>
      <c r="CG132" s="203">
        <f>Power[[#This Row],[HP]]*Power[[#This Row],[Fuel Use (gal/PTO hp/hr)]]</f>
        <v>8.7999999999999989</v>
      </c>
      <c r="CH132" s="203">
        <f>'Data tables'!$AD$62*Power[[#This Row],[Shed (ft^2)]]/Power[[#This Row],[Expected Use (Hr/yr)]]</f>
        <v>0.40707196452933159</v>
      </c>
      <c r="CI132" s="130"/>
    </row>
    <row r="133" spans="14:87" x14ac:dyDescent="0.25">
      <c r="O133" s="2"/>
      <c r="Q133" s="2"/>
      <c r="R133" s="2"/>
      <c r="S133" s="2"/>
      <c r="U133" s="105"/>
      <c r="X133" s="2"/>
      <c r="Y133" s="2"/>
      <c r="Z133" s="2"/>
      <c r="AA133" s="2"/>
      <c r="BE133" s="203" t="s">
        <v>5468</v>
      </c>
      <c r="BF133" s="221">
        <v>225</v>
      </c>
      <c r="BG133" s="222" t="str">
        <f t="shared" si="7"/>
        <v>225 HP MFWD Tractor</v>
      </c>
      <c r="BH133" s="223">
        <v>301000</v>
      </c>
      <c r="BI133" s="208">
        <v>0.1</v>
      </c>
      <c r="BJ133" s="208">
        <f>Power[[#This Row],[Purchase Price (2020)]]/(1-Power[[#This Row],[List Discount]])</f>
        <v>334444.44444444444</v>
      </c>
      <c r="BK133" s="203">
        <v>12</v>
      </c>
      <c r="BL133" s="203">
        <v>400</v>
      </c>
      <c r="BM133" s="203">
        <v>4.3999999999999997E-2</v>
      </c>
      <c r="BN133" s="203">
        <v>250</v>
      </c>
      <c r="BO133" s="224" t="s">
        <v>5420</v>
      </c>
      <c r="BP133" s="203">
        <f>_xlfn.XLOOKUP(Power[[#This Row],[Default ASABE Category]],ASABECoefficients[ASABE Category],ASABECoefficients[RF1])</f>
        <v>5.0000000000000001E-3</v>
      </c>
      <c r="BQ133" s="203">
        <f>_xlfn.XLOOKUP(Power[[#This Row],[Default ASABE Category]],ASABECoefficients[ASABE Category],ASABECoefficients[RF2])</f>
        <v>2</v>
      </c>
      <c r="BR133" s="203">
        <f>_xlfn.XLOOKUP(Power[[#This Row],[Default ASABE Category]],ASABECoefficients[ASABE Category],ASABECoefficients[RV1])</f>
        <v>0.86409999999999998</v>
      </c>
      <c r="BS133" s="203">
        <f>_xlfn.XLOOKUP(Power[[#This Row],[Default ASABE Category]],ASABECoefficients[ASABE Category],ASABECoefficients[RV2])</f>
        <v>0.15640000000000001</v>
      </c>
      <c r="BT133" s="203">
        <f>_xlfn.XLOOKUP(Power[[#This Row],[Default ASABE Category]],ASABECoefficients[ASABE Category],ASABECoefficients[RV3])</f>
        <v>3.3999999999999998E-3</v>
      </c>
      <c r="BU133" s="203">
        <f>_xlfn.XLOOKUP(Power[[#This Row],[Default ASABE Category]],ASABECoefficients[ASABE Category],ASABECoefficients[RV4])</f>
        <v>4.5999999999999999E-3</v>
      </c>
      <c r="BV133" s="203">
        <f>_xlfn.XLOOKUP(Power[[#This Row],[Default ASABE Category]],ASABECoefficients[ASABE Category],ASABECoefficients[RV5])</f>
        <v>8.5999999999999993E-2</v>
      </c>
      <c r="BW133" s="203">
        <f>(Power[[#This Row],[RV1]]-Power[[#This Row],[RV2]]*Power[[#This Row],[Expected Life (years)]]^0.5-Power[[#This Row],[RV3]]*Power[[#This Row],[Expected Use (Hr/yr)]]^0.5+Power[[#This Row],[RV4]]*'Data tables'!$AD$67)^2+0.25*Power[[#This Row],[RV5]]</f>
        <v>0.37940787535058823</v>
      </c>
      <c r="BX133" s="203">
        <f>Power[[#This Row],[Trade-in (%)]]*Power[[#This Row],[List Price]]</f>
        <v>126890.8560894745</v>
      </c>
      <c r="BY133" s="203">
        <f>(Power[[#This Row],[Purchase Price (2020)]]-Power[[#This Row],[Trade-in ($)]])/Power[[#This Row],[Expected Life (years)]]</f>
        <v>14509.095325877124</v>
      </c>
      <c r="BZ133" s="203">
        <f>Power[[#This Row],[List Price]]*(Power[[#This Row],[RF1]]*(Power[[#This Row],[Expected Life (years)]]*Power[[#This Row],[Expected Use (Hr/yr)]]/1000)^Power[[#This Row],[RF2]])</f>
        <v>38528</v>
      </c>
      <c r="CA133" s="203">
        <f>Power[[#This Row],[Accumulated Repairs ($)]]/Power[[#This Row],[Expected Life (years)]]</f>
        <v>3210.6666666666665</v>
      </c>
      <c r="CB133" s="203">
        <f>Power[[#This Row],[Annual Depreciation]]/Power[[#This Row],[Expected Use (Hr/yr)]]</f>
        <v>36.272738314692809</v>
      </c>
      <c r="CC133" s="203">
        <f>(Power[[#This Row],[Purchase Price (2020)]]+Power[[#This Row],[Trade-in ($)]]+Power[[#This Row],[Annual Depreciation]])/2*'Data tables'!$AD$58/Power[[#This Row],[Expected Use (Hr/yr)]]</f>
        <v>22.11999757076758</v>
      </c>
      <c r="CD133" s="203">
        <f>Power[[#This Row],[Annual Repairs ($)]]/Power[[#This Row],[Expected Use (Hr/yr)]]</f>
        <v>8.0266666666666655</v>
      </c>
      <c r="CE133" s="203">
        <f>(Power[[#This Row],[Purchase Price (2020)]]+Power[[#This Row],[Trade-in ($)]]+Power[[#This Row],[Annual Depreciation]])/2*'Data tables'!$AD$70/Power[[#This Row],[Expected Use (Hr/yr)]]</f>
        <v>2.7649996963459476</v>
      </c>
      <c r="CF133" s="203">
        <f>(Power[[#This Row],[Purchase Price (2020)]]+Power[[#This Row],[Trade-in ($)]]+Power[[#This Row],[Annual Depreciation]])/2*'Data tables'!$AD$59/Power[[#This Row],[Expected Use (Hr/yr)]]</f>
        <v>4.7004994837881116</v>
      </c>
      <c r="CG133" s="203">
        <f>Power[[#This Row],[HP]]*Power[[#This Row],[Fuel Use (gal/PTO hp/hr)]]</f>
        <v>9.8999999999999986</v>
      </c>
      <c r="CH133" s="203">
        <f>'Data tables'!$AD$62*Power[[#This Row],[Shed (ft^2)]]/Power[[#This Row],[Expected Use (Hr/yr)]]</f>
        <v>0.60576185197817201</v>
      </c>
      <c r="CI133" s="130"/>
    </row>
    <row r="134" spans="14:87" x14ac:dyDescent="0.25">
      <c r="N134" s="95"/>
      <c r="O134" s="99"/>
      <c r="Q134" s="99"/>
      <c r="R134" s="99"/>
      <c r="S134" s="107"/>
      <c r="U134" s="106"/>
      <c r="X134" s="99"/>
      <c r="Y134" s="99"/>
      <c r="Z134" s="99"/>
      <c r="AA134" s="99"/>
      <c r="BE134" s="203" t="s">
        <v>5468</v>
      </c>
      <c r="BF134" s="221">
        <v>260</v>
      </c>
      <c r="BG134" s="222" t="str">
        <f t="shared" si="7"/>
        <v>260 HP MFWD Tractor</v>
      </c>
      <c r="BH134" s="223">
        <v>345000</v>
      </c>
      <c r="BI134" s="208">
        <v>0.1</v>
      </c>
      <c r="BJ134" s="208">
        <f>Power[[#This Row],[Purchase Price (2020)]]/(1-Power[[#This Row],[List Discount]])</f>
        <v>383333.33333333331</v>
      </c>
      <c r="BK134" s="203">
        <v>12</v>
      </c>
      <c r="BL134" s="203">
        <v>400</v>
      </c>
      <c r="BM134" s="203">
        <v>4.3999999999999997E-2</v>
      </c>
      <c r="BN134" s="203">
        <v>250</v>
      </c>
      <c r="BO134" s="224" t="s">
        <v>5421</v>
      </c>
      <c r="BP134" s="203">
        <f>_xlfn.XLOOKUP(Power[[#This Row],[Default ASABE Category]],ASABECoefficients[ASABE Category],ASABECoefficients[RF1])</f>
        <v>3.0000000000000001E-3</v>
      </c>
      <c r="BQ134" s="203">
        <f>_xlfn.XLOOKUP(Power[[#This Row],[Default ASABE Category]],ASABECoefficients[ASABE Category],ASABECoefficients[RF2])</f>
        <v>2</v>
      </c>
      <c r="BR134" s="203">
        <f>_xlfn.XLOOKUP(Power[[#This Row],[Default ASABE Category]],ASABECoefficients[ASABE Category],ASABECoefficients[RV1])</f>
        <v>0.86409999999999998</v>
      </c>
      <c r="BS134" s="203">
        <f>_xlfn.XLOOKUP(Power[[#This Row],[Default ASABE Category]],ASABECoefficients[ASABE Category],ASABECoefficients[RV2])</f>
        <v>0.15640000000000001</v>
      </c>
      <c r="BT134" s="203">
        <f>_xlfn.XLOOKUP(Power[[#This Row],[Default ASABE Category]],ASABECoefficients[ASABE Category],ASABECoefficients[RV3])</f>
        <v>3.3999999999999998E-3</v>
      </c>
      <c r="BU134" s="203">
        <f>_xlfn.XLOOKUP(Power[[#This Row],[Default ASABE Category]],ASABECoefficients[ASABE Category],ASABECoefficients[RV4])</f>
        <v>4.5999999999999999E-3</v>
      </c>
      <c r="BV134" s="203">
        <f>_xlfn.XLOOKUP(Power[[#This Row],[Default ASABE Category]],ASABECoefficients[ASABE Category],ASABECoefficients[RV5])</f>
        <v>8.5999999999999993E-2</v>
      </c>
      <c r="BW134" s="203">
        <f>(Power[[#This Row],[RV1]]-Power[[#This Row],[RV2]]*Power[[#This Row],[Expected Life (years)]]^0.5-Power[[#This Row],[RV3]]*Power[[#This Row],[Expected Use (Hr/yr)]]^0.5+Power[[#This Row],[RV4]]*'Data tables'!$AD$67)^2+0.25*Power[[#This Row],[RV5]]</f>
        <v>0.37940787535058823</v>
      </c>
      <c r="BX134" s="203">
        <f>Power[[#This Row],[Trade-in (%)]]*Power[[#This Row],[List Price]]</f>
        <v>145439.68555105882</v>
      </c>
      <c r="BY134" s="203">
        <f>(Power[[#This Row],[Purchase Price (2020)]]-Power[[#This Row],[Trade-in ($)]])/Power[[#This Row],[Expected Life (years)]]</f>
        <v>16630.026204078433</v>
      </c>
      <c r="BZ134" s="203">
        <f>Power[[#This Row],[List Price]]*(Power[[#This Row],[RF1]]*(Power[[#This Row],[Expected Life (years)]]*Power[[#This Row],[Expected Use (Hr/yr)]]/1000)^Power[[#This Row],[RF2]])</f>
        <v>26496</v>
      </c>
      <c r="CA134" s="203">
        <f>Power[[#This Row],[Accumulated Repairs ($)]]/Power[[#This Row],[Expected Life (years)]]</f>
        <v>2208</v>
      </c>
      <c r="CB134" s="203">
        <f>Power[[#This Row],[Annual Depreciation]]/Power[[#This Row],[Expected Use (Hr/yr)]]</f>
        <v>41.575065510196083</v>
      </c>
      <c r="CC134" s="203">
        <f>(Power[[#This Row],[Purchase Price (2020)]]+Power[[#This Row],[Trade-in ($)]]+Power[[#This Row],[Annual Depreciation]])/2*'Data tables'!$AD$58/Power[[#This Row],[Expected Use (Hr/yr)]]</f>
        <v>25.353485587756868</v>
      </c>
      <c r="CD134" s="203">
        <f>Power[[#This Row],[Annual Repairs ($)]]/Power[[#This Row],[Expected Use (Hr/yr)]]</f>
        <v>5.52</v>
      </c>
      <c r="CE134" s="203">
        <f>(Power[[#This Row],[Purchase Price (2020)]]+Power[[#This Row],[Trade-in ($)]]+Power[[#This Row],[Annual Depreciation]])/2*'Data tables'!$AD$70/Power[[#This Row],[Expected Use (Hr/yr)]]</f>
        <v>3.1691856984696085</v>
      </c>
      <c r="CF134" s="203">
        <f>(Power[[#This Row],[Purchase Price (2020)]]+Power[[#This Row],[Trade-in ($)]]+Power[[#This Row],[Annual Depreciation]])/2*'Data tables'!$AD$59/Power[[#This Row],[Expected Use (Hr/yr)]]</f>
        <v>5.387615687398335</v>
      </c>
      <c r="CG134" s="203">
        <f>Power[[#This Row],[HP]]*Power[[#This Row],[Fuel Use (gal/PTO hp/hr)]]</f>
        <v>11.44</v>
      </c>
      <c r="CH134" s="203">
        <f>'Data tables'!$AD$62*Power[[#This Row],[Shed (ft^2)]]/Power[[#This Row],[Expected Use (Hr/yr)]]</f>
        <v>0.60576185197817201</v>
      </c>
      <c r="CI134" s="130"/>
    </row>
    <row r="135" spans="14:87" x14ac:dyDescent="0.25">
      <c r="N135" s="95"/>
      <c r="O135" s="99"/>
      <c r="Q135" s="99"/>
      <c r="R135" s="99"/>
      <c r="U135" s="106"/>
      <c r="X135" s="99"/>
      <c r="Y135" s="99"/>
      <c r="Z135" s="99"/>
      <c r="AA135" s="99"/>
      <c r="BE135" s="203" t="s">
        <v>5469</v>
      </c>
      <c r="BF135" s="221">
        <v>310</v>
      </c>
      <c r="BG135" s="222" t="str">
        <f t="shared" si="7"/>
        <v>310 HP 4WD Tractor</v>
      </c>
      <c r="BH135" s="223">
        <v>420000</v>
      </c>
      <c r="BI135" s="208">
        <v>0.1</v>
      </c>
      <c r="BJ135" s="208">
        <f>Power[[#This Row],[Purchase Price (2020)]]/(1-Power[[#This Row],[List Discount]])</f>
        <v>466666.66666666663</v>
      </c>
      <c r="BK135" s="203">
        <v>12</v>
      </c>
      <c r="BL135" s="203">
        <v>400</v>
      </c>
      <c r="BM135" s="203">
        <v>4.3999999999999997E-2</v>
      </c>
      <c r="BN135" s="203">
        <v>250</v>
      </c>
      <c r="BO135" s="224" t="s">
        <v>5421</v>
      </c>
      <c r="BP135" s="203">
        <f>_xlfn.XLOOKUP(Power[[#This Row],[Default ASABE Category]],ASABECoefficients[ASABE Category],ASABECoefficients[RF1])</f>
        <v>3.0000000000000001E-3</v>
      </c>
      <c r="BQ135" s="203">
        <f>_xlfn.XLOOKUP(Power[[#This Row],[Default ASABE Category]],ASABECoefficients[ASABE Category],ASABECoefficients[RF2])</f>
        <v>2</v>
      </c>
      <c r="BR135" s="203">
        <f>_xlfn.XLOOKUP(Power[[#This Row],[Default ASABE Category]],ASABECoefficients[ASABE Category],ASABECoefficients[RV1])</f>
        <v>0.86409999999999998</v>
      </c>
      <c r="BS135" s="203">
        <f>_xlfn.XLOOKUP(Power[[#This Row],[Default ASABE Category]],ASABECoefficients[ASABE Category],ASABECoefficients[RV2])</f>
        <v>0.15640000000000001</v>
      </c>
      <c r="BT135" s="203">
        <f>_xlfn.XLOOKUP(Power[[#This Row],[Default ASABE Category]],ASABECoefficients[ASABE Category],ASABECoefficients[RV3])</f>
        <v>3.3999999999999998E-3</v>
      </c>
      <c r="BU135" s="203">
        <f>_xlfn.XLOOKUP(Power[[#This Row],[Default ASABE Category]],ASABECoefficients[ASABE Category],ASABECoefficients[RV4])</f>
        <v>4.5999999999999999E-3</v>
      </c>
      <c r="BV135" s="203">
        <f>_xlfn.XLOOKUP(Power[[#This Row],[Default ASABE Category]],ASABECoefficients[ASABE Category],ASABECoefficients[RV5])</f>
        <v>8.5999999999999993E-2</v>
      </c>
      <c r="BW135" s="203">
        <f>(Power[[#This Row],[RV1]]-Power[[#This Row],[RV2]]*Power[[#This Row],[Expected Life (years)]]^0.5-Power[[#This Row],[RV3]]*Power[[#This Row],[Expected Use (Hr/yr)]]^0.5+Power[[#This Row],[RV4]]*'Data tables'!$AD$67)^2+0.25*Power[[#This Row],[RV5]]</f>
        <v>0.37940787535058823</v>
      </c>
      <c r="BX135" s="203">
        <f>Power[[#This Row],[Trade-in (%)]]*Power[[#This Row],[List Price]]</f>
        <v>177057.00849694115</v>
      </c>
      <c r="BY135" s="203">
        <f>(Power[[#This Row],[Purchase Price (2020)]]-Power[[#This Row],[Trade-in ($)]])/Power[[#This Row],[Expected Life (years)]]</f>
        <v>20245.249291921569</v>
      </c>
      <c r="BZ135" s="203">
        <f>Power[[#This Row],[List Price]]*(Power[[#This Row],[RF1]]*(Power[[#This Row],[Expected Life (years)]]*Power[[#This Row],[Expected Use (Hr/yr)]]/1000)^Power[[#This Row],[RF2]])</f>
        <v>32255.999999999996</v>
      </c>
      <c r="CA135" s="203">
        <f>Power[[#This Row],[Accumulated Repairs ($)]]/Power[[#This Row],[Expected Life (years)]]</f>
        <v>2687.9999999999995</v>
      </c>
      <c r="CB135" s="203">
        <f>Power[[#This Row],[Annual Depreciation]]/Power[[#This Row],[Expected Use (Hr/yr)]]</f>
        <v>50.613123229803925</v>
      </c>
      <c r="CC135" s="203">
        <f>(Power[[#This Row],[Purchase Price (2020)]]+Power[[#This Row],[Trade-in ($)]]+Power[[#This Row],[Annual Depreciation]])/2*'Data tables'!$AD$58/Power[[#This Row],[Expected Use (Hr/yr)]]</f>
        <v>30.865112889443139</v>
      </c>
      <c r="CD135" s="203">
        <f>Power[[#This Row],[Annual Repairs ($)]]/Power[[#This Row],[Expected Use (Hr/yr)]]</f>
        <v>6.7199999999999989</v>
      </c>
      <c r="CE135" s="203">
        <f>(Power[[#This Row],[Purchase Price (2020)]]+Power[[#This Row],[Trade-in ($)]]+Power[[#This Row],[Annual Depreciation]])/2*'Data tables'!$AD$70/Power[[#This Row],[Expected Use (Hr/yr)]]</f>
        <v>3.8581391111803924</v>
      </c>
      <c r="CF135" s="203">
        <f>(Power[[#This Row],[Purchase Price (2020)]]+Power[[#This Row],[Trade-in ($)]]+Power[[#This Row],[Annual Depreciation]])/2*'Data tables'!$AD$59/Power[[#This Row],[Expected Use (Hr/yr)]]</f>
        <v>6.5588364890066684</v>
      </c>
      <c r="CG135" s="203">
        <f>Power[[#This Row],[HP]]*Power[[#This Row],[Fuel Use (gal/PTO hp/hr)]]</f>
        <v>13.639999999999999</v>
      </c>
      <c r="CH135" s="203">
        <f>'Data tables'!$AD$62*Power[[#This Row],[Shed (ft^2)]]/Power[[#This Row],[Expected Use (Hr/yr)]]</f>
        <v>0.60576185197817201</v>
      </c>
      <c r="CI135" s="130"/>
    </row>
    <row r="136" spans="14:87" x14ac:dyDescent="0.25">
      <c r="N136" s="95"/>
      <c r="O136" s="99"/>
      <c r="Q136" s="99"/>
      <c r="R136" s="99"/>
      <c r="U136" s="106"/>
      <c r="X136" s="99"/>
      <c r="Y136" s="99"/>
      <c r="Z136" s="99"/>
      <c r="AA136" s="99"/>
      <c r="BE136" s="203" t="s">
        <v>5469</v>
      </c>
      <c r="BF136" s="221">
        <v>360</v>
      </c>
      <c r="BG136" s="222" t="str">
        <f t="shared" si="7"/>
        <v>360 HP 4WD Tractor</v>
      </c>
      <c r="BH136" s="223">
        <v>379000</v>
      </c>
      <c r="BI136" s="208">
        <v>0.1</v>
      </c>
      <c r="BJ136" s="208">
        <f>Power[[#This Row],[Purchase Price (2020)]]/(1-Power[[#This Row],[List Discount]])</f>
        <v>421111.11111111112</v>
      </c>
      <c r="BK136" s="203">
        <v>12</v>
      </c>
      <c r="BL136" s="203">
        <v>400</v>
      </c>
      <c r="BM136" s="203">
        <v>4.3999999999999997E-2</v>
      </c>
      <c r="BN136" s="203">
        <v>250</v>
      </c>
      <c r="BO136" s="224" t="s">
        <v>5421</v>
      </c>
      <c r="BP136" s="203">
        <f>_xlfn.XLOOKUP(Power[[#This Row],[Default ASABE Category]],ASABECoefficients[ASABE Category],ASABECoefficients[RF1])</f>
        <v>3.0000000000000001E-3</v>
      </c>
      <c r="BQ136" s="203">
        <f>_xlfn.XLOOKUP(Power[[#This Row],[Default ASABE Category]],ASABECoefficients[ASABE Category],ASABECoefficients[RF2])</f>
        <v>2</v>
      </c>
      <c r="BR136" s="203">
        <f>_xlfn.XLOOKUP(Power[[#This Row],[Default ASABE Category]],ASABECoefficients[ASABE Category],ASABECoefficients[RV1])</f>
        <v>0.86409999999999998</v>
      </c>
      <c r="BS136" s="203">
        <f>_xlfn.XLOOKUP(Power[[#This Row],[Default ASABE Category]],ASABECoefficients[ASABE Category],ASABECoefficients[RV2])</f>
        <v>0.15640000000000001</v>
      </c>
      <c r="BT136" s="203">
        <f>_xlfn.XLOOKUP(Power[[#This Row],[Default ASABE Category]],ASABECoefficients[ASABE Category],ASABECoefficients[RV3])</f>
        <v>3.3999999999999998E-3</v>
      </c>
      <c r="BU136" s="203">
        <f>_xlfn.XLOOKUP(Power[[#This Row],[Default ASABE Category]],ASABECoefficients[ASABE Category],ASABECoefficients[RV4])</f>
        <v>4.5999999999999999E-3</v>
      </c>
      <c r="BV136" s="203">
        <f>_xlfn.XLOOKUP(Power[[#This Row],[Default ASABE Category]],ASABECoefficients[ASABE Category],ASABECoefficients[RV5])</f>
        <v>8.5999999999999993E-2</v>
      </c>
      <c r="BW136" s="203">
        <f>(Power[[#This Row],[RV1]]-Power[[#This Row],[RV2]]*Power[[#This Row],[Expected Life (years)]]^0.5-Power[[#This Row],[RV3]]*Power[[#This Row],[Expected Use (Hr/yr)]]^0.5+Power[[#This Row],[RV4]]*'Data tables'!$AD$67)^2+0.25*Power[[#This Row],[RV5]]</f>
        <v>0.37940787535058823</v>
      </c>
      <c r="BX136" s="203">
        <f>Power[[#This Row],[Trade-in (%)]]*Power[[#This Row],[List Price]]</f>
        <v>159772.87195319217</v>
      </c>
      <c r="BY136" s="203">
        <f>(Power[[#This Row],[Purchase Price (2020)]]-Power[[#This Row],[Trade-in ($)]])/Power[[#This Row],[Expected Life (years)]]</f>
        <v>18268.927337233985</v>
      </c>
      <c r="BZ136" s="203">
        <f>Power[[#This Row],[List Price]]*(Power[[#This Row],[RF1]]*(Power[[#This Row],[Expected Life (years)]]*Power[[#This Row],[Expected Use (Hr/yr)]]/1000)^Power[[#This Row],[RF2]])</f>
        <v>29107.200000000001</v>
      </c>
      <c r="CA136" s="203">
        <f>Power[[#This Row],[Accumulated Repairs ($)]]/Power[[#This Row],[Expected Life (years)]]</f>
        <v>2425.6</v>
      </c>
      <c r="CB136" s="203">
        <f>Power[[#This Row],[Annual Depreciation]]/Power[[#This Row],[Expected Use (Hr/yr)]]</f>
        <v>45.67231834308496</v>
      </c>
      <c r="CC136" s="203">
        <f>(Power[[#This Row],[Purchase Price (2020)]]+Power[[#This Row],[Trade-in ($)]]+Power[[#This Row],[Annual Depreciation]])/2*'Data tables'!$AD$58/Power[[#This Row],[Expected Use (Hr/yr)]]</f>
        <v>27.852089964521312</v>
      </c>
      <c r="CD136" s="203">
        <f>Power[[#This Row],[Annual Repairs ($)]]/Power[[#This Row],[Expected Use (Hr/yr)]]</f>
        <v>6.0640000000000001</v>
      </c>
      <c r="CE136" s="203">
        <f>(Power[[#This Row],[Purchase Price (2020)]]+Power[[#This Row],[Trade-in ($)]]+Power[[#This Row],[Annual Depreciation]])/2*'Data tables'!$AD$70/Power[[#This Row],[Expected Use (Hr/yr)]]</f>
        <v>3.481511245565164</v>
      </c>
      <c r="CF136" s="203">
        <f>(Power[[#This Row],[Purchase Price (2020)]]+Power[[#This Row],[Trade-in ($)]]+Power[[#This Row],[Annual Depreciation]])/2*'Data tables'!$AD$59/Power[[#This Row],[Expected Use (Hr/yr)]]</f>
        <v>5.9185691174607795</v>
      </c>
      <c r="CG136" s="203">
        <f>Power[[#This Row],[HP]]*Power[[#This Row],[Fuel Use (gal/PTO hp/hr)]]</f>
        <v>15.84</v>
      </c>
      <c r="CH136" s="203">
        <f>'Data tables'!$AD$62*Power[[#This Row],[Shed (ft^2)]]/Power[[#This Row],[Expected Use (Hr/yr)]]</f>
        <v>0.60576185197817201</v>
      </c>
      <c r="CI136" s="130"/>
    </row>
    <row r="137" spans="14:87" x14ac:dyDescent="0.25">
      <c r="N137" s="94"/>
      <c r="O137" s="94"/>
      <c r="Q137" s="94"/>
      <c r="R137" s="94"/>
      <c r="U137" s="94"/>
      <c r="X137" s="94"/>
      <c r="Y137" s="94"/>
      <c r="Z137" s="94"/>
      <c r="AA137" s="94"/>
      <c r="BE137" s="203" t="s">
        <v>5469</v>
      </c>
      <c r="BF137" s="221">
        <v>425</v>
      </c>
      <c r="BG137" s="222" t="str">
        <f t="shared" si="7"/>
        <v>425 HP 4WD Tractor</v>
      </c>
      <c r="BH137" s="223">
        <v>452000</v>
      </c>
      <c r="BI137" s="208">
        <v>0.1</v>
      </c>
      <c r="BJ137" s="208">
        <f>Power[[#This Row],[Purchase Price (2020)]]/(1-Power[[#This Row],[List Discount]])</f>
        <v>502222.22222222219</v>
      </c>
      <c r="BK137" s="203">
        <v>12</v>
      </c>
      <c r="BL137" s="203">
        <v>400</v>
      </c>
      <c r="BM137" s="203">
        <v>4.3999999999999997E-2</v>
      </c>
      <c r="BN137" s="203">
        <v>250</v>
      </c>
      <c r="BO137" s="224" t="s">
        <v>5421</v>
      </c>
      <c r="BP137" s="203">
        <f>_xlfn.XLOOKUP(Power[[#This Row],[Default ASABE Category]],ASABECoefficients[ASABE Category],ASABECoefficients[RF1])</f>
        <v>3.0000000000000001E-3</v>
      </c>
      <c r="BQ137" s="203">
        <f>_xlfn.XLOOKUP(Power[[#This Row],[Default ASABE Category]],ASABECoefficients[ASABE Category],ASABECoefficients[RF2])</f>
        <v>2</v>
      </c>
      <c r="BR137" s="203">
        <f>_xlfn.XLOOKUP(Power[[#This Row],[Default ASABE Category]],ASABECoefficients[ASABE Category],ASABECoefficients[RV1])</f>
        <v>0.86409999999999998</v>
      </c>
      <c r="BS137" s="203">
        <f>_xlfn.XLOOKUP(Power[[#This Row],[Default ASABE Category]],ASABECoefficients[ASABE Category],ASABECoefficients[RV2])</f>
        <v>0.15640000000000001</v>
      </c>
      <c r="BT137" s="203">
        <f>_xlfn.XLOOKUP(Power[[#This Row],[Default ASABE Category]],ASABECoefficients[ASABE Category],ASABECoefficients[RV3])</f>
        <v>3.3999999999999998E-3</v>
      </c>
      <c r="BU137" s="203">
        <f>_xlfn.XLOOKUP(Power[[#This Row],[Default ASABE Category]],ASABECoefficients[ASABE Category],ASABECoefficients[RV4])</f>
        <v>4.5999999999999999E-3</v>
      </c>
      <c r="BV137" s="203">
        <f>_xlfn.XLOOKUP(Power[[#This Row],[Default ASABE Category]],ASABECoefficients[ASABE Category],ASABECoefficients[RV5])</f>
        <v>8.5999999999999993E-2</v>
      </c>
      <c r="BW137" s="203">
        <f>(Power[[#This Row],[RV1]]-Power[[#This Row],[RV2]]*Power[[#This Row],[Expected Life (years)]]^0.5-Power[[#This Row],[RV3]]*Power[[#This Row],[Expected Use (Hr/yr)]]^0.5+Power[[#This Row],[RV4]]*'Data tables'!$AD$67)^2+0.25*Power[[#This Row],[RV5]]</f>
        <v>0.37940787535058823</v>
      </c>
      <c r="BX137" s="203">
        <f>Power[[#This Row],[Trade-in (%)]]*Power[[#This Row],[List Price]]</f>
        <v>190547.06628718431</v>
      </c>
      <c r="BY137" s="203">
        <f>(Power[[#This Row],[Purchase Price (2020)]]-Power[[#This Row],[Trade-in ($)]])/Power[[#This Row],[Expected Life (years)]]</f>
        <v>21787.744476067975</v>
      </c>
      <c r="BZ137" s="203">
        <f>Power[[#This Row],[List Price]]*(Power[[#This Row],[RF1]]*(Power[[#This Row],[Expected Life (years)]]*Power[[#This Row],[Expected Use (Hr/yr)]]/1000)^Power[[#This Row],[RF2]])</f>
        <v>34713.599999999999</v>
      </c>
      <c r="CA137" s="203">
        <f>Power[[#This Row],[Accumulated Repairs ($)]]/Power[[#This Row],[Expected Life (years)]]</f>
        <v>2892.7999999999997</v>
      </c>
      <c r="CB137" s="203">
        <f>Power[[#This Row],[Annual Depreciation]]/Power[[#This Row],[Expected Use (Hr/yr)]]</f>
        <v>54.469361190169941</v>
      </c>
      <c r="CC137" s="203">
        <f>(Power[[#This Row],[Purchase Price (2020)]]+Power[[#This Row],[Trade-in ($)]]+Power[[#This Row],[Annual Depreciation]])/2*'Data tables'!$AD$58/Power[[#This Row],[Expected Use (Hr/yr)]]</f>
        <v>33.216740538162618</v>
      </c>
      <c r="CD137" s="203">
        <f>Power[[#This Row],[Annual Repairs ($)]]/Power[[#This Row],[Expected Use (Hr/yr)]]</f>
        <v>7.2319999999999993</v>
      </c>
      <c r="CE137" s="203">
        <f>(Power[[#This Row],[Purchase Price (2020)]]+Power[[#This Row],[Trade-in ($)]]+Power[[#This Row],[Annual Depreciation]])/2*'Data tables'!$AD$70/Power[[#This Row],[Expected Use (Hr/yr)]]</f>
        <v>4.1520925672703273</v>
      </c>
      <c r="CF137" s="203">
        <f>(Power[[#This Row],[Purchase Price (2020)]]+Power[[#This Row],[Trade-in ($)]]+Power[[#This Row],[Annual Depreciation]])/2*'Data tables'!$AD$59/Power[[#This Row],[Expected Use (Hr/yr)]]</f>
        <v>7.0585573643595572</v>
      </c>
      <c r="CG137" s="203">
        <f>Power[[#This Row],[HP]]*Power[[#This Row],[Fuel Use (gal/PTO hp/hr)]]</f>
        <v>18.7</v>
      </c>
      <c r="CH137" s="203">
        <f>'Data tables'!$AD$62*Power[[#This Row],[Shed (ft^2)]]/Power[[#This Row],[Expected Use (Hr/yr)]]</f>
        <v>0.60576185197817201</v>
      </c>
      <c r="CI137" s="130"/>
    </row>
    <row r="138" spans="14:87" x14ac:dyDescent="0.25">
      <c r="N138" s="94"/>
      <c r="O138" s="94"/>
      <c r="Q138" s="94"/>
      <c r="R138" s="94"/>
      <c r="U138" s="94"/>
      <c r="X138" s="94"/>
      <c r="Y138" s="94"/>
      <c r="Z138" s="94"/>
      <c r="AA138" s="94"/>
      <c r="BE138" s="225" t="s">
        <v>5422</v>
      </c>
      <c r="BF138" s="221">
        <v>260</v>
      </c>
      <c r="BG138" s="222" t="str">
        <f t="shared" si="7"/>
        <v>260 HP Tracked Tractor</v>
      </c>
      <c r="BH138" s="223">
        <v>342000</v>
      </c>
      <c r="BI138" s="208">
        <v>0.1</v>
      </c>
      <c r="BJ138" s="208">
        <f>Power[[#This Row],[Purchase Price (2020)]]/(1-Power[[#This Row],[List Discount]])</f>
        <v>380000</v>
      </c>
      <c r="BK138" s="203">
        <v>12</v>
      </c>
      <c r="BL138" s="203">
        <v>400</v>
      </c>
      <c r="BM138" s="203">
        <v>4.3999999999999997E-2</v>
      </c>
      <c r="BN138" s="203">
        <v>250</v>
      </c>
      <c r="BO138" s="224" t="s">
        <v>5421</v>
      </c>
      <c r="BP138" s="203">
        <f>_xlfn.XLOOKUP(Power[[#This Row],[Default ASABE Category]],ASABECoefficients[ASABE Category],ASABECoefficients[RF1])</f>
        <v>3.0000000000000001E-3</v>
      </c>
      <c r="BQ138" s="203">
        <f>_xlfn.XLOOKUP(Power[[#This Row],[Default ASABE Category]],ASABECoefficients[ASABE Category],ASABECoefficients[RF2])</f>
        <v>2</v>
      </c>
      <c r="BR138" s="203">
        <f>_xlfn.XLOOKUP(Power[[#This Row],[Default ASABE Category]],ASABECoefficients[ASABE Category],ASABECoefficients[RV1])</f>
        <v>0.86409999999999998</v>
      </c>
      <c r="BS138" s="203">
        <f>_xlfn.XLOOKUP(Power[[#This Row],[Default ASABE Category]],ASABECoefficients[ASABE Category],ASABECoefficients[RV2])</f>
        <v>0.15640000000000001</v>
      </c>
      <c r="BT138" s="203">
        <f>_xlfn.XLOOKUP(Power[[#This Row],[Default ASABE Category]],ASABECoefficients[ASABE Category],ASABECoefficients[RV3])</f>
        <v>3.3999999999999998E-3</v>
      </c>
      <c r="BU138" s="203">
        <f>_xlfn.XLOOKUP(Power[[#This Row],[Default ASABE Category]],ASABECoefficients[ASABE Category],ASABECoefficients[RV4])</f>
        <v>4.5999999999999999E-3</v>
      </c>
      <c r="BV138" s="203">
        <f>_xlfn.XLOOKUP(Power[[#This Row],[Default ASABE Category]],ASABECoefficients[ASABE Category],ASABECoefficients[RV5])</f>
        <v>8.5999999999999993E-2</v>
      </c>
      <c r="BW138" s="203">
        <f>(Power[[#This Row],[RV1]]-Power[[#This Row],[RV2]]*Power[[#This Row],[Expected Life (years)]]^0.5-Power[[#This Row],[RV3]]*Power[[#This Row],[Expected Use (Hr/yr)]]^0.5+Power[[#This Row],[RV4]]*'Data tables'!$AD$67)^2+0.25*Power[[#This Row],[RV5]]</f>
        <v>0.37940787535058823</v>
      </c>
      <c r="BX138" s="203">
        <f>Power[[#This Row],[Trade-in (%)]]*Power[[#This Row],[List Price]]</f>
        <v>144174.99263322353</v>
      </c>
      <c r="BY138" s="203">
        <f>(Power[[#This Row],[Purchase Price (2020)]]-Power[[#This Row],[Trade-in ($)]])/Power[[#This Row],[Expected Life (years)]]</f>
        <v>16485.417280564707</v>
      </c>
      <c r="BZ138" s="203">
        <f>Power[[#This Row],[List Price]]*(Power[[#This Row],[RF1]]*(Power[[#This Row],[Expected Life (years)]]*Power[[#This Row],[Expected Use (Hr/yr)]]/1000)^Power[[#This Row],[RF2]])</f>
        <v>26265.599999999999</v>
      </c>
      <c r="CA138" s="203">
        <f>Power[[#This Row],[Accumulated Repairs ($)]]/Power[[#This Row],[Expected Life (years)]]</f>
        <v>2188.7999999999997</v>
      </c>
      <c r="CB138" s="203">
        <f>Power[[#This Row],[Annual Depreciation]]/Power[[#This Row],[Expected Use (Hr/yr)]]</f>
        <v>41.213543201411767</v>
      </c>
      <c r="CC138" s="203">
        <f>(Power[[#This Row],[Purchase Price (2020)]]+Power[[#This Row],[Trade-in ($)]]+Power[[#This Row],[Annual Depreciation]])/2*'Data tables'!$AD$58/Power[[#This Row],[Expected Use (Hr/yr)]]</f>
        <v>25.133020495689411</v>
      </c>
      <c r="CD138" s="203">
        <f>Power[[#This Row],[Annual Repairs ($)]]/Power[[#This Row],[Expected Use (Hr/yr)]]</f>
        <v>5.4719999999999995</v>
      </c>
      <c r="CE138" s="203">
        <f>(Power[[#This Row],[Purchase Price (2020)]]+Power[[#This Row],[Trade-in ($)]]+Power[[#This Row],[Annual Depreciation]])/2*'Data tables'!$AD$70/Power[[#This Row],[Expected Use (Hr/yr)]]</f>
        <v>3.1416275619611764</v>
      </c>
      <c r="CF138" s="203">
        <f>(Power[[#This Row],[Purchase Price (2020)]]+Power[[#This Row],[Trade-in ($)]]+Power[[#This Row],[Annual Depreciation]])/2*'Data tables'!$AD$59/Power[[#This Row],[Expected Use (Hr/yr)]]</f>
        <v>5.3407668553340013</v>
      </c>
      <c r="CG138" s="203">
        <f>Power[[#This Row],[HP]]*Power[[#This Row],[Fuel Use (gal/PTO hp/hr)]]</f>
        <v>11.44</v>
      </c>
      <c r="CH138" s="203">
        <f>'Data tables'!$AD$62*Power[[#This Row],[Shed (ft^2)]]/Power[[#This Row],[Expected Use (Hr/yr)]]</f>
        <v>0.60576185197817201</v>
      </c>
      <c r="CI138" s="130"/>
    </row>
    <row r="139" spans="14:87" x14ac:dyDescent="0.25">
      <c r="N139" s="94"/>
      <c r="O139" s="94"/>
      <c r="Q139" s="94"/>
      <c r="R139" s="94"/>
      <c r="U139" s="94"/>
      <c r="X139" s="94"/>
      <c r="Y139" s="94"/>
      <c r="Z139" s="94"/>
      <c r="AA139" s="94"/>
      <c r="BE139" s="225" t="s">
        <v>5422</v>
      </c>
      <c r="BF139" s="221">
        <v>350</v>
      </c>
      <c r="BG139" s="222" t="str">
        <f t="shared" si="7"/>
        <v>350 HP Tracked Tractor</v>
      </c>
      <c r="BH139" s="223">
        <v>460000</v>
      </c>
      <c r="BI139" s="208">
        <v>0.1</v>
      </c>
      <c r="BJ139" s="208">
        <f>Power[[#This Row],[Purchase Price (2020)]]/(1-Power[[#This Row],[List Discount]])</f>
        <v>511111.11111111112</v>
      </c>
      <c r="BK139" s="203">
        <v>12</v>
      </c>
      <c r="BL139" s="203">
        <v>400</v>
      </c>
      <c r="BM139" s="203">
        <v>4.3999999999999997E-2</v>
      </c>
      <c r="BN139" s="203">
        <v>250</v>
      </c>
      <c r="BO139" s="224" t="s">
        <v>5421</v>
      </c>
      <c r="BP139" s="203">
        <f>_xlfn.XLOOKUP(Power[[#This Row],[Default ASABE Category]],ASABECoefficients[ASABE Category],ASABECoefficients[RF1])</f>
        <v>3.0000000000000001E-3</v>
      </c>
      <c r="BQ139" s="203">
        <f>_xlfn.XLOOKUP(Power[[#This Row],[Default ASABE Category]],ASABECoefficients[ASABE Category],ASABECoefficients[RF2])</f>
        <v>2</v>
      </c>
      <c r="BR139" s="203">
        <f>_xlfn.XLOOKUP(Power[[#This Row],[Default ASABE Category]],ASABECoefficients[ASABE Category],ASABECoefficients[RV1])</f>
        <v>0.86409999999999998</v>
      </c>
      <c r="BS139" s="203">
        <f>_xlfn.XLOOKUP(Power[[#This Row],[Default ASABE Category]],ASABECoefficients[ASABE Category],ASABECoefficients[RV2])</f>
        <v>0.15640000000000001</v>
      </c>
      <c r="BT139" s="203">
        <f>_xlfn.XLOOKUP(Power[[#This Row],[Default ASABE Category]],ASABECoefficients[ASABE Category],ASABECoefficients[RV3])</f>
        <v>3.3999999999999998E-3</v>
      </c>
      <c r="BU139" s="203">
        <f>_xlfn.XLOOKUP(Power[[#This Row],[Default ASABE Category]],ASABECoefficients[ASABE Category],ASABECoefficients[RV4])</f>
        <v>4.5999999999999999E-3</v>
      </c>
      <c r="BV139" s="203">
        <f>_xlfn.XLOOKUP(Power[[#This Row],[Default ASABE Category]],ASABECoefficients[ASABE Category],ASABECoefficients[RV5])</f>
        <v>8.5999999999999993E-2</v>
      </c>
      <c r="BW139" s="203">
        <f>(Power[[#This Row],[RV1]]-Power[[#This Row],[RV2]]*Power[[#This Row],[Expected Life (years)]]^0.5-Power[[#This Row],[RV3]]*Power[[#This Row],[Expected Use (Hr/yr)]]^0.5+Power[[#This Row],[RV4]]*'Data tables'!$AD$67)^2+0.25*Power[[#This Row],[RV5]]</f>
        <v>0.37940787535058823</v>
      </c>
      <c r="BX139" s="203">
        <f>Power[[#This Row],[Trade-in (%)]]*Power[[#This Row],[List Price]]</f>
        <v>193919.5807347451</v>
      </c>
      <c r="BY139" s="203">
        <f>(Power[[#This Row],[Purchase Price (2020)]]-Power[[#This Row],[Trade-in ($)]])/Power[[#This Row],[Expected Life (years)]]</f>
        <v>22173.368272104573</v>
      </c>
      <c r="BZ139" s="203">
        <f>Power[[#This Row],[List Price]]*(Power[[#This Row],[RF1]]*(Power[[#This Row],[Expected Life (years)]]*Power[[#This Row],[Expected Use (Hr/yr)]]/1000)^Power[[#This Row],[RF2]])</f>
        <v>35328</v>
      </c>
      <c r="CA139" s="203">
        <f>Power[[#This Row],[Accumulated Repairs ($)]]/Power[[#This Row],[Expected Life (years)]]</f>
        <v>2944</v>
      </c>
      <c r="CB139" s="203">
        <f>Power[[#This Row],[Annual Depreciation]]/Power[[#This Row],[Expected Use (Hr/yr)]]</f>
        <v>55.433420680261435</v>
      </c>
      <c r="CC139" s="203">
        <f>(Power[[#This Row],[Purchase Price (2020)]]+Power[[#This Row],[Trade-in ($)]]+Power[[#This Row],[Annual Depreciation]])/2*'Data tables'!$AD$58/Power[[#This Row],[Expected Use (Hr/yr)]]</f>
        <v>33.804647450342486</v>
      </c>
      <c r="CD139" s="203">
        <f>Power[[#This Row],[Annual Repairs ($)]]/Power[[#This Row],[Expected Use (Hr/yr)]]</f>
        <v>7.36</v>
      </c>
      <c r="CE139" s="203">
        <f>(Power[[#This Row],[Purchase Price (2020)]]+Power[[#This Row],[Trade-in ($)]]+Power[[#This Row],[Annual Depreciation]])/2*'Data tables'!$AD$70/Power[[#This Row],[Expected Use (Hr/yr)]]</f>
        <v>4.2255809312928108</v>
      </c>
      <c r="CF139" s="203">
        <f>(Power[[#This Row],[Purchase Price (2020)]]+Power[[#This Row],[Trade-in ($)]]+Power[[#This Row],[Annual Depreciation]])/2*'Data tables'!$AD$59/Power[[#This Row],[Expected Use (Hr/yr)]]</f>
        <v>7.1834875831977785</v>
      </c>
      <c r="CG139" s="203">
        <f>Power[[#This Row],[HP]]*Power[[#This Row],[Fuel Use (gal/PTO hp/hr)]]</f>
        <v>15.399999999999999</v>
      </c>
      <c r="CH139" s="203">
        <f>'Data tables'!$AD$62*Power[[#This Row],[Shed (ft^2)]]/Power[[#This Row],[Expected Use (Hr/yr)]]</f>
        <v>0.60576185197817201</v>
      </c>
      <c r="CI139" s="130"/>
    </row>
    <row r="140" spans="14:87" x14ac:dyDescent="0.25">
      <c r="N140" s="94"/>
      <c r="O140" s="94"/>
      <c r="Q140" s="94"/>
      <c r="R140" s="94"/>
      <c r="U140" s="94"/>
      <c r="X140" s="94"/>
      <c r="Y140" s="94"/>
      <c r="Z140" s="94"/>
      <c r="AA140" s="94"/>
      <c r="BE140" s="203" t="s">
        <v>5423</v>
      </c>
      <c r="BF140" s="221">
        <v>275</v>
      </c>
      <c r="BG140" s="222" t="str">
        <f t="shared" si="7"/>
        <v>275 HP Combine</v>
      </c>
      <c r="BH140" s="223">
        <v>362000</v>
      </c>
      <c r="BI140" s="208">
        <v>0.2</v>
      </c>
      <c r="BJ140" s="208">
        <f>Power[[#This Row],[Purchase Price (2020)]]/(1-Power[[#This Row],[List Discount]])</f>
        <v>452500</v>
      </c>
      <c r="BK140" s="203">
        <v>12</v>
      </c>
      <c r="BL140" s="203">
        <v>400</v>
      </c>
      <c r="BM140" s="203">
        <v>4.3999999999999997E-2</v>
      </c>
      <c r="BN140" s="203">
        <v>400</v>
      </c>
      <c r="BO140" s="224" t="s">
        <v>5442</v>
      </c>
      <c r="BP140" s="203">
        <f>_xlfn.XLOOKUP(Power[[#This Row],[Default ASABE Category]],ASABECoefficients[ASABE Category],ASABECoefficients[RF1])</f>
        <v>0.04</v>
      </c>
      <c r="BQ140" s="203">
        <f>_xlfn.XLOOKUP(Power[[#This Row],[Default ASABE Category]],ASABECoefficients[ASABE Category],ASABECoefficients[RF2])</f>
        <v>2.1</v>
      </c>
      <c r="BR140" s="203">
        <f>_xlfn.XLOOKUP(Power[[#This Row],[Default ASABE Category]],ASABECoefficients[ASABE Category],ASABECoefficients[RV1])</f>
        <v>1.0136101798876398</v>
      </c>
      <c r="BS140" s="203">
        <f>_xlfn.XLOOKUP(Power[[#This Row],[Default ASABE Category]],ASABECoefficients[ASABE Category],ASABECoefficients[RV2])</f>
        <v>0.174199608497973</v>
      </c>
      <c r="BT140" s="203">
        <f>_xlfn.XLOOKUP(Power[[#This Row],[Default ASABE Category]],ASABECoefficients[ASABE Category],ASABECoefficients[RV3])</f>
        <v>7.6964422098118896E-3</v>
      </c>
      <c r="BU140" s="203">
        <f>_xlfn.XLOOKUP(Power[[#This Row],[Default ASABE Category]],ASABECoefficients[ASABE Category],ASABECoefficients[RV4])</f>
        <v>7.4905071015698174E-4</v>
      </c>
      <c r="BV140" s="203">
        <f>_xlfn.XLOOKUP(Power[[#This Row],[Default ASABE Category]],ASABECoefficients[ASABE Category],ASABECoefficients[RV5])</f>
        <v>0</v>
      </c>
      <c r="BW140" s="203">
        <f>(Power[[#This Row],[RV1]]-Power[[#This Row],[RV2]]*Power[[#This Row],[Expected Life (years)]]^0.5-Power[[#This Row],[RV3]]*Power[[#This Row],[Expected Use (Hr/yr)]]^0.5+Power[[#This Row],[RV4]]*'Data tables'!$AD$67)^2+0.25*Power[[#This Row],[RV5]]</f>
        <v>9.7495258587379008E-2</v>
      </c>
      <c r="BX140" s="203">
        <f>Power[[#This Row],[Trade-in (%)]]*Power[[#This Row],[List Price]]</f>
        <v>44116.604510789002</v>
      </c>
      <c r="BY140" s="203">
        <f>(Power[[#This Row],[Purchase Price (2020)]]-Power[[#This Row],[Trade-in ($)]])/Power[[#This Row],[Expected Life (years)]]</f>
        <v>26490.28295743425</v>
      </c>
      <c r="BZ140" s="203">
        <f>Power[[#This Row],[List Price]]*(Power[[#This Row],[RF1]]*(Power[[#This Row],[Expected Life (years)]]*Power[[#This Row],[Expected Use (Hr/yr)]]/1000)^Power[[#This Row],[RF2]])</f>
        <v>487848.72395042359</v>
      </c>
      <c r="CA140" s="203">
        <f>Power[[#This Row],[Accumulated Repairs ($)]]/Power[[#This Row],[Expected Life (years)]]</f>
        <v>40654.060329201966</v>
      </c>
      <c r="CB140" s="203">
        <f>Power[[#This Row],[Annual Depreciation]]/Power[[#This Row],[Expected Use (Hr/yr)]]</f>
        <v>66.225707393585623</v>
      </c>
      <c r="CC140" s="203">
        <f>(Power[[#This Row],[Purchase Price (2020)]]+Power[[#This Row],[Trade-in ($)]]+Power[[#This Row],[Annual Depreciation]])/2*'Data tables'!$AD$58/Power[[#This Row],[Expected Use (Hr/yr)]]</f>
        <v>21.630344373411162</v>
      </c>
      <c r="CD140" s="203">
        <f>Power[[#This Row],[Annual Repairs ($)]]/Power[[#This Row],[Expected Use (Hr/yr)]]</f>
        <v>101.63515082300492</v>
      </c>
      <c r="CE140" s="203">
        <f>(Power[[#This Row],[Purchase Price (2020)]]+Power[[#This Row],[Trade-in ($)]]+Power[[#This Row],[Annual Depreciation]])/2*'Data tables'!$AD$70/Power[[#This Row],[Expected Use (Hr/yr)]]</f>
        <v>2.7037930466763953</v>
      </c>
      <c r="CF140" s="203">
        <f>(Power[[#This Row],[Purchase Price (2020)]]+Power[[#This Row],[Trade-in ($)]]+Power[[#This Row],[Annual Depreciation]])/2*'Data tables'!$AD$59/Power[[#This Row],[Expected Use (Hr/yr)]]</f>
        <v>4.5964481793498724</v>
      </c>
      <c r="CG140" s="203">
        <f>Power[[#This Row],[HP]]*Power[[#This Row],[Fuel Use (gal/PTO hp/hr)]]</f>
        <v>12.1</v>
      </c>
      <c r="CH140" s="203">
        <f>'Data tables'!$AD$62*Power[[#This Row],[Shed (ft^2)]]/Power[[#This Row],[Expected Use (Hr/yr)]]</f>
        <v>0.96921896316507516</v>
      </c>
      <c r="CI140" s="130"/>
    </row>
    <row r="141" spans="14:87" x14ac:dyDescent="0.25">
      <c r="N141" s="94"/>
      <c r="O141" s="94"/>
      <c r="Q141" s="94"/>
      <c r="R141" s="94"/>
      <c r="U141" s="94"/>
      <c r="X141" s="94"/>
      <c r="Y141" s="94"/>
      <c r="Z141" s="94"/>
      <c r="AA141" s="94"/>
      <c r="BE141" s="203" t="s">
        <v>5423</v>
      </c>
      <c r="BF141" s="221">
        <v>375</v>
      </c>
      <c r="BG141" s="222" t="str">
        <f t="shared" si="7"/>
        <v>375 HP Combine</v>
      </c>
      <c r="BH141" s="223">
        <v>418000</v>
      </c>
      <c r="BI141" s="208">
        <v>0.2</v>
      </c>
      <c r="BJ141" s="208">
        <f>Power[[#This Row],[Purchase Price (2020)]]/(1-Power[[#This Row],[List Discount]])</f>
        <v>522500</v>
      </c>
      <c r="BK141" s="203">
        <v>12</v>
      </c>
      <c r="BL141" s="203">
        <v>400</v>
      </c>
      <c r="BM141" s="203">
        <v>4.3999999999999997E-2</v>
      </c>
      <c r="BN141" s="203">
        <v>500</v>
      </c>
      <c r="BO141" s="224" t="s">
        <v>5442</v>
      </c>
      <c r="BP141" s="203">
        <f>_xlfn.XLOOKUP(Power[[#This Row],[Default ASABE Category]],ASABECoefficients[ASABE Category],ASABECoefficients[RF1])</f>
        <v>0.04</v>
      </c>
      <c r="BQ141" s="203">
        <f>_xlfn.XLOOKUP(Power[[#This Row],[Default ASABE Category]],ASABECoefficients[ASABE Category],ASABECoefficients[RF2])</f>
        <v>2.1</v>
      </c>
      <c r="BR141" s="203">
        <f>_xlfn.XLOOKUP(Power[[#This Row],[Default ASABE Category]],ASABECoefficients[ASABE Category],ASABECoefficients[RV1])</f>
        <v>1.0136101798876398</v>
      </c>
      <c r="BS141" s="203">
        <f>_xlfn.XLOOKUP(Power[[#This Row],[Default ASABE Category]],ASABECoefficients[ASABE Category],ASABECoefficients[RV2])</f>
        <v>0.174199608497973</v>
      </c>
      <c r="BT141" s="203">
        <f>_xlfn.XLOOKUP(Power[[#This Row],[Default ASABE Category]],ASABECoefficients[ASABE Category],ASABECoefficients[RV3])</f>
        <v>7.6964422098118896E-3</v>
      </c>
      <c r="BU141" s="203">
        <f>_xlfn.XLOOKUP(Power[[#This Row],[Default ASABE Category]],ASABECoefficients[ASABE Category],ASABECoefficients[RV4])</f>
        <v>7.4905071015698174E-4</v>
      </c>
      <c r="BV141" s="203">
        <f>_xlfn.XLOOKUP(Power[[#This Row],[Default ASABE Category]],ASABECoefficients[ASABE Category],ASABECoefficients[RV5])</f>
        <v>0</v>
      </c>
      <c r="BW141" s="203">
        <f>(Power[[#This Row],[RV1]]-Power[[#This Row],[RV2]]*Power[[#This Row],[Expected Life (years)]]^0.5-Power[[#This Row],[RV3]]*Power[[#This Row],[Expected Use (Hr/yr)]]^0.5+Power[[#This Row],[RV4]]*'Data tables'!$AD$67)^2+0.25*Power[[#This Row],[RV5]]</f>
        <v>9.7495258587379008E-2</v>
      </c>
      <c r="BX141" s="203">
        <f>Power[[#This Row],[Trade-in (%)]]*Power[[#This Row],[List Price]]</f>
        <v>50941.27261190553</v>
      </c>
      <c r="BY141" s="203">
        <f>(Power[[#This Row],[Purchase Price (2020)]]-Power[[#This Row],[Trade-in ($)]])/Power[[#This Row],[Expected Life (years)]]</f>
        <v>30588.227282341206</v>
      </c>
      <c r="BZ141" s="203">
        <f>Power[[#This Row],[List Price]]*(Power[[#This Row],[RF1]]*(Power[[#This Row],[Expected Life (years)]]*Power[[#This Row],[Expected Use (Hr/yr)]]/1000)^Power[[#This Row],[RF2]])</f>
        <v>563317.03483778192</v>
      </c>
      <c r="CA141" s="203">
        <f>Power[[#This Row],[Accumulated Repairs ($)]]/Power[[#This Row],[Expected Life (years)]]</f>
        <v>46943.086236481824</v>
      </c>
      <c r="CB141" s="203">
        <f>Power[[#This Row],[Annual Depreciation]]/Power[[#This Row],[Expected Use (Hr/yr)]]</f>
        <v>76.470568205853013</v>
      </c>
      <c r="CC141" s="203">
        <f>(Power[[#This Row],[Purchase Price (2020)]]+Power[[#This Row],[Trade-in ($)]]+Power[[#This Row],[Annual Depreciation]])/2*'Data tables'!$AD$58/Power[[#This Row],[Expected Use (Hr/yr)]]</f>
        <v>24.976474994712341</v>
      </c>
      <c r="CD141" s="203">
        <f>Power[[#This Row],[Annual Repairs ($)]]/Power[[#This Row],[Expected Use (Hr/yr)]]</f>
        <v>117.35771559120457</v>
      </c>
      <c r="CE141" s="203">
        <f>(Power[[#This Row],[Purchase Price (2020)]]+Power[[#This Row],[Trade-in ($)]]+Power[[#This Row],[Annual Depreciation]])/2*'Data tables'!$AD$70/Power[[#This Row],[Expected Use (Hr/yr)]]</f>
        <v>3.1220593743390426</v>
      </c>
      <c r="CF141" s="203">
        <f>(Power[[#This Row],[Purchase Price (2020)]]+Power[[#This Row],[Trade-in ($)]]+Power[[#This Row],[Annual Depreciation]])/2*'Data tables'!$AD$59/Power[[#This Row],[Expected Use (Hr/yr)]]</f>
        <v>5.3075009363763721</v>
      </c>
      <c r="CG141" s="203">
        <f>Power[[#This Row],[HP]]*Power[[#This Row],[Fuel Use (gal/PTO hp/hr)]]</f>
        <v>16.5</v>
      </c>
      <c r="CH141" s="203">
        <f>'Data tables'!$AD$62*Power[[#This Row],[Shed (ft^2)]]/Power[[#This Row],[Expected Use (Hr/yr)]]</f>
        <v>1.211523703956344</v>
      </c>
      <c r="CI141" s="130"/>
    </row>
    <row r="142" spans="14:87" x14ac:dyDescent="0.25">
      <c r="BE142" s="203" t="s">
        <v>5423</v>
      </c>
      <c r="BF142" s="221">
        <v>440</v>
      </c>
      <c r="BG142" s="222" t="str">
        <f t="shared" si="7"/>
        <v>440 HP Combine</v>
      </c>
      <c r="BH142" s="223">
        <v>443000</v>
      </c>
      <c r="BI142" s="208">
        <v>0.2</v>
      </c>
      <c r="BJ142" s="208">
        <f>Power[[#This Row],[Purchase Price (2020)]]/(1-Power[[#This Row],[List Discount]])</f>
        <v>553750</v>
      </c>
      <c r="BK142" s="203">
        <v>12</v>
      </c>
      <c r="BL142" s="203">
        <v>400</v>
      </c>
      <c r="BM142" s="223">
        <f>0.044*370/425</f>
        <v>3.8305882352941169E-2</v>
      </c>
      <c r="BN142" s="203">
        <v>500</v>
      </c>
      <c r="BO142" s="224" t="s">
        <v>5442</v>
      </c>
      <c r="BP142" s="203">
        <f>_xlfn.XLOOKUP(Power[[#This Row],[Default ASABE Category]],ASABECoefficients[ASABE Category],ASABECoefficients[RF1])</f>
        <v>0.04</v>
      </c>
      <c r="BQ142" s="203">
        <f>_xlfn.XLOOKUP(Power[[#This Row],[Default ASABE Category]],ASABECoefficients[ASABE Category],ASABECoefficients[RF2])</f>
        <v>2.1</v>
      </c>
      <c r="BR142" s="203">
        <f>_xlfn.XLOOKUP(Power[[#This Row],[Default ASABE Category]],ASABECoefficients[ASABE Category],ASABECoefficients[RV1])</f>
        <v>1.0136101798876398</v>
      </c>
      <c r="BS142" s="203">
        <f>_xlfn.XLOOKUP(Power[[#This Row],[Default ASABE Category]],ASABECoefficients[ASABE Category],ASABECoefficients[RV2])</f>
        <v>0.174199608497973</v>
      </c>
      <c r="BT142" s="203">
        <f>_xlfn.XLOOKUP(Power[[#This Row],[Default ASABE Category]],ASABECoefficients[ASABE Category],ASABECoefficients[RV3])</f>
        <v>7.6964422098118896E-3</v>
      </c>
      <c r="BU142" s="203">
        <f>_xlfn.XLOOKUP(Power[[#This Row],[Default ASABE Category]],ASABECoefficients[ASABE Category],ASABECoefficients[RV4])</f>
        <v>7.4905071015698174E-4</v>
      </c>
      <c r="BV142" s="203">
        <f>_xlfn.XLOOKUP(Power[[#This Row],[Default ASABE Category]],ASABECoefficients[ASABE Category],ASABECoefficients[RV5])</f>
        <v>0</v>
      </c>
      <c r="BW142" s="203">
        <f>(Power[[#This Row],[RV1]]-Power[[#This Row],[RV2]]*Power[[#This Row],[Expected Life (years)]]^0.5-Power[[#This Row],[RV3]]*Power[[#This Row],[Expected Use (Hr/yr)]]^0.5+Power[[#This Row],[RV4]]*'Data tables'!$AD$67)^2+0.25*Power[[#This Row],[RV5]]</f>
        <v>9.7495258587379008E-2</v>
      </c>
      <c r="BX142" s="203">
        <f>Power[[#This Row],[Trade-in (%)]]*Power[[#This Row],[List Price]]</f>
        <v>53987.999442761124</v>
      </c>
      <c r="BY142" s="203">
        <f>(Power[[#This Row],[Purchase Price (2020)]]-Power[[#This Row],[Trade-in ($)]])/Power[[#This Row],[Expected Life (years)]]</f>
        <v>32417.666713103241</v>
      </c>
      <c r="BZ142" s="203">
        <f>Power[[#This Row],[List Price]]*(Power[[#This Row],[RF1]]*(Power[[#This Row],[Expected Life (years)]]*Power[[#This Row],[Expected Use (Hr/yr)]]/1000)^Power[[#This Row],[RF2]])</f>
        <v>597008.24505535257</v>
      </c>
      <c r="CA142" s="203">
        <f>Power[[#This Row],[Accumulated Repairs ($)]]/Power[[#This Row],[Expected Life (years)]]</f>
        <v>49750.687087946048</v>
      </c>
      <c r="CB142" s="203">
        <f>Power[[#This Row],[Annual Depreciation]]/Power[[#This Row],[Expected Use (Hr/yr)]]</f>
        <v>81.044166782758097</v>
      </c>
      <c r="CC142" s="203">
        <f>(Power[[#This Row],[Purchase Price (2020)]]+Power[[#This Row],[Trade-in ($)]]+Power[[#This Row],[Annual Depreciation]])/2*'Data tables'!$AD$58/Power[[#This Row],[Expected Use (Hr/yr)]]</f>
        <v>26.47028330779322</v>
      </c>
      <c r="CD142" s="203">
        <f>Power[[#This Row],[Annual Repairs ($)]]/Power[[#This Row],[Expected Use (Hr/yr)]]</f>
        <v>124.37671771986511</v>
      </c>
      <c r="CE142" s="203">
        <f>(Power[[#This Row],[Purchase Price (2020)]]+Power[[#This Row],[Trade-in ($)]]+Power[[#This Row],[Annual Depreciation]])/2*'Data tables'!$AD$70/Power[[#This Row],[Expected Use (Hr/yr)]]</f>
        <v>3.3087854134741526</v>
      </c>
      <c r="CF142" s="203">
        <f>(Power[[#This Row],[Purchase Price (2020)]]+Power[[#This Row],[Trade-in ($)]]+Power[[#This Row],[Annual Depreciation]])/2*'Data tables'!$AD$59/Power[[#This Row],[Expected Use (Hr/yr)]]</f>
        <v>5.6249352029060598</v>
      </c>
      <c r="CG142" s="203">
        <f>Power[[#This Row],[HP]]*Power[[#This Row],[Fuel Use (gal/PTO hp/hr)]]</f>
        <v>16.854588235294113</v>
      </c>
      <c r="CH142" s="203">
        <f>'Data tables'!$AD$62*Power[[#This Row],[Shed (ft^2)]]/Power[[#This Row],[Expected Use (Hr/yr)]]</f>
        <v>1.211523703956344</v>
      </c>
      <c r="CI142" s="130"/>
    </row>
    <row r="143" spans="14:87" x14ac:dyDescent="0.25">
      <c r="BE143" s="203" t="s">
        <v>5424</v>
      </c>
      <c r="BF143" s="221">
        <v>400</v>
      </c>
      <c r="BG143" s="222" t="str">
        <f t="shared" si="7"/>
        <v>400 HP SP Forage Harvester Base Unit</v>
      </c>
      <c r="BH143" s="223">
        <v>397000</v>
      </c>
      <c r="BI143" s="208">
        <v>0.1</v>
      </c>
      <c r="BJ143" s="208">
        <f>Power[[#This Row],[Purchase Price (2020)]]/(1-Power[[#This Row],[List Discount]])</f>
        <v>441111.11111111112</v>
      </c>
      <c r="BK143" s="203">
        <v>12</v>
      </c>
      <c r="BL143" s="203">
        <v>350</v>
      </c>
      <c r="BM143" s="203">
        <v>2.4E-2</v>
      </c>
      <c r="BN143" s="203">
        <v>500</v>
      </c>
      <c r="BO143" s="224" t="s">
        <v>5401</v>
      </c>
      <c r="BP143" s="203">
        <f>_xlfn.XLOOKUP(Power[[#This Row],[Default ASABE Category]],ASABECoefficients[ASABE Category],ASABECoefficients[RF1])</f>
        <v>0.03</v>
      </c>
      <c r="BQ143" s="203">
        <f>_xlfn.XLOOKUP(Power[[#This Row],[Default ASABE Category]],ASABECoefficients[ASABE Category],ASABECoefficients[RF2])</f>
        <v>2</v>
      </c>
      <c r="BR143" s="203">
        <f>_xlfn.XLOOKUP(Power[[#This Row],[Default ASABE Category]],ASABECoefficients[ASABE Category],ASABECoefficients[RV1])</f>
        <v>0.65290000000000004</v>
      </c>
      <c r="BS143" s="203">
        <f>_xlfn.XLOOKUP(Power[[#This Row],[Default ASABE Category]],ASABECoefficients[ASABE Category],ASABECoefficients[RV2])</f>
        <v>0.15110000000000001</v>
      </c>
      <c r="BT143" s="203">
        <f>_xlfn.XLOOKUP(Power[[#This Row],[Default ASABE Category]],ASABECoefficients[ASABE Category],ASABECoefficients[RV3])</f>
        <v>0</v>
      </c>
      <c r="BU143" s="203">
        <f>_xlfn.XLOOKUP(Power[[#This Row],[Default ASABE Category]],ASABECoefficients[ASABE Category],ASABECoefficients[RV4])</f>
        <v>7.7999999999999996E-3</v>
      </c>
      <c r="BV143" s="203">
        <f>_xlfn.XLOOKUP(Power[[#This Row],[Default ASABE Category]],ASABECoefficients[ASABE Category],ASABECoefficients[RV5])</f>
        <v>0.1235</v>
      </c>
      <c r="BW143" s="203">
        <f>(Power[[#This Row],[RV1]]-Power[[#This Row],[RV2]]*Power[[#This Row],[Expected Life (years)]]^0.5-Power[[#This Row],[RV3]]*Power[[#This Row],[Expected Use (Hr/yr)]]^0.5+Power[[#This Row],[RV4]]*'Data tables'!$AD$67)^2+0.25*Power[[#This Row],[RV5]]</f>
        <v>0.53878212703813477</v>
      </c>
      <c r="BX143" s="203">
        <f>Power[[#This Row],[Trade-in (%)]]*Power[[#This Row],[List Price]]</f>
        <v>237662.78270459946</v>
      </c>
      <c r="BY143" s="203">
        <f>(Power[[#This Row],[Purchase Price (2020)]]-Power[[#This Row],[Trade-in ($)]])/Power[[#This Row],[Expected Life (years)]]</f>
        <v>13278.101441283377</v>
      </c>
      <c r="BZ143" s="203">
        <f>Power[[#This Row],[List Price]]*(Power[[#This Row],[RF1]]*(Power[[#This Row],[Expected Life (years)]]*Power[[#This Row],[Expected Use (Hr/yr)]]/1000)^Power[[#This Row],[RF2]])</f>
        <v>233436</v>
      </c>
      <c r="CA143" s="203">
        <f>Power[[#This Row],[Accumulated Repairs ($)]]/Power[[#This Row],[Expected Life (years)]]</f>
        <v>19453</v>
      </c>
      <c r="CB143" s="203">
        <f>Power[[#This Row],[Annual Depreciation]]/Power[[#This Row],[Expected Use (Hr/yr)]]</f>
        <v>37.937432689381076</v>
      </c>
      <c r="CC143" s="203">
        <f>(Power[[#This Row],[Purchase Price (2020)]]+Power[[#This Row],[Trade-in ($)]]+Power[[#This Row],[Annual Depreciation]])/2*'Data tables'!$AD$58/Power[[#This Row],[Expected Use (Hr/yr)]]</f>
        <v>37.02519337976473</v>
      </c>
      <c r="CD143" s="203">
        <f>Power[[#This Row],[Annual Repairs ($)]]/Power[[#This Row],[Expected Use (Hr/yr)]]</f>
        <v>55.58</v>
      </c>
      <c r="CE143" s="203">
        <f>(Power[[#This Row],[Purchase Price (2020)]]+Power[[#This Row],[Trade-in ($)]]+Power[[#This Row],[Annual Depreciation]])/2*'Data tables'!$AD$70/Power[[#This Row],[Expected Use (Hr/yr)]]</f>
        <v>4.6281491724705912</v>
      </c>
      <c r="CF143" s="203">
        <f>(Power[[#This Row],[Purchase Price (2020)]]+Power[[#This Row],[Trade-in ($)]]+Power[[#This Row],[Annual Depreciation]])/2*'Data tables'!$AD$59/Power[[#This Row],[Expected Use (Hr/yr)]]</f>
        <v>7.8678535932000058</v>
      </c>
      <c r="CG143" s="203">
        <f>Power[[#This Row],[HP]]*Power[[#This Row],[Fuel Use (gal/PTO hp/hr)]]</f>
        <v>9.6</v>
      </c>
      <c r="CH143" s="203">
        <f>'Data tables'!$AD$62*Power[[#This Row],[Shed (ft^2)]]/Power[[#This Row],[Expected Use (Hr/yr)]]</f>
        <v>1.3845985188072503</v>
      </c>
      <c r="CI143" s="130"/>
    </row>
    <row r="144" spans="14:87" x14ac:dyDescent="0.25">
      <c r="BE144" s="203" t="s">
        <v>5424</v>
      </c>
      <c r="BF144" s="221">
        <v>625</v>
      </c>
      <c r="BG144" s="222" t="str">
        <f t="shared" si="7"/>
        <v>625 HP SP Forage Harvester Base Unit</v>
      </c>
      <c r="BH144" s="223">
        <v>559000</v>
      </c>
      <c r="BI144" s="208">
        <v>0.1</v>
      </c>
      <c r="BJ144" s="208">
        <f>Power[[#This Row],[Purchase Price (2020)]]/(1-Power[[#This Row],[List Discount]])</f>
        <v>621111.11111111112</v>
      </c>
      <c r="BK144" s="203">
        <v>12</v>
      </c>
      <c r="BL144" s="203">
        <v>350</v>
      </c>
      <c r="BM144" s="203">
        <v>2.4E-2</v>
      </c>
      <c r="BN144" s="203">
        <v>500</v>
      </c>
      <c r="BO144" s="224" t="s">
        <v>5401</v>
      </c>
      <c r="BP144" s="203">
        <f>_xlfn.XLOOKUP(Power[[#This Row],[Default ASABE Category]],ASABECoefficients[ASABE Category],ASABECoefficients[RF1])</f>
        <v>0.03</v>
      </c>
      <c r="BQ144" s="203">
        <f>_xlfn.XLOOKUP(Power[[#This Row],[Default ASABE Category]],ASABECoefficients[ASABE Category],ASABECoefficients[RF2])</f>
        <v>2</v>
      </c>
      <c r="BR144" s="203">
        <f>_xlfn.XLOOKUP(Power[[#This Row],[Default ASABE Category]],ASABECoefficients[ASABE Category],ASABECoefficients[RV1])</f>
        <v>0.65290000000000004</v>
      </c>
      <c r="BS144" s="203">
        <f>_xlfn.XLOOKUP(Power[[#This Row],[Default ASABE Category]],ASABECoefficients[ASABE Category],ASABECoefficients[RV2])</f>
        <v>0.15110000000000001</v>
      </c>
      <c r="BT144" s="203">
        <f>_xlfn.XLOOKUP(Power[[#This Row],[Default ASABE Category]],ASABECoefficients[ASABE Category],ASABECoefficients[RV3])</f>
        <v>0</v>
      </c>
      <c r="BU144" s="203">
        <f>_xlfn.XLOOKUP(Power[[#This Row],[Default ASABE Category]],ASABECoefficients[ASABE Category],ASABECoefficients[RV4])</f>
        <v>7.7999999999999996E-3</v>
      </c>
      <c r="BV144" s="203">
        <f>_xlfn.XLOOKUP(Power[[#This Row],[Default ASABE Category]],ASABECoefficients[ASABE Category],ASABECoefficients[RV5])</f>
        <v>0.1235</v>
      </c>
      <c r="BW144" s="203">
        <f>(Power[[#This Row],[RV1]]-Power[[#This Row],[RV2]]*Power[[#This Row],[Expected Life (years)]]^0.5-Power[[#This Row],[RV3]]*Power[[#This Row],[Expected Use (Hr/yr)]]^0.5+Power[[#This Row],[RV4]]*'Data tables'!$AD$67)^2+0.25*Power[[#This Row],[RV5]]</f>
        <v>0.53878212703813477</v>
      </c>
      <c r="BX144" s="203">
        <f>Power[[#This Row],[Trade-in (%)]]*Power[[#This Row],[List Price]]</f>
        <v>334643.56557146373</v>
      </c>
      <c r="BY144" s="203">
        <f>(Power[[#This Row],[Purchase Price (2020)]]-Power[[#This Row],[Trade-in ($)]])/Power[[#This Row],[Expected Life (years)]]</f>
        <v>18696.369535711357</v>
      </c>
      <c r="BZ144" s="203">
        <f>Power[[#This Row],[List Price]]*(Power[[#This Row],[RF1]]*(Power[[#This Row],[Expected Life (years)]]*Power[[#This Row],[Expected Use (Hr/yr)]]/1000)^Power[[#This Row],[RF2]])</f>
        <v>328692</v>
      </c>
      <c r="CA144" s="203">
        <f>Power[[#This Row],[Accumulated Repairs ($)]]/Power[[#This Row],[Expected Life (years)]]</f>
        <v>27391</v>
      </c>
      <c r="CB144" s="203">
        <f>Power[[#This Row],[Annual Depreciation]]/Power[[#This Row],[Expected Use (Hr/yr)]]</f>
        <v>53.418198673461021</v>
      </c>
      <c r="CC144" s="203">
        <f>(Power[[#This Row],[Purchase Price (2020)]]+Power[[#This Row],[Trade-in ($)]]+Power[[#This Row],[Annual Depreciation]])/2*'Data tables'!$AD$58/Power[[#This Row],[Expected Use (Hr/yr)]]</f>
        <v>52.133710577552854</v>
      </c>
      <c r="CD144" s="203">
        <f>Power[[#This Row],[Annual Repairs ($)]]/Power[[#This Row],[Expected Use (Hr/yr)]]</f>
        <v>78.260000000000005</v>
      </c>
      <c r="CE144" s="203">
        <f>(Power[[#This Row],[Purchase Price (2020)]]+Power[[#This Row],[Trade-in ($)]]+Power[[#This Row],[Annual Depreciation]])/2*'Data tables'!$AD$70/Power[[#This Row],[Expected Use (Hr/yr)]]</f>
        <v>6.5167138221941068</v>
      </c>
      <c r="CF144" s="203">
        <f>(Power[[#This Row],[Purchase Price (2020)]]+Power[[#This Row],[Trade-in ($)]]+Power[[#This Row],[Annual Depreciation]])/2*'Data tables'!$AD$59/Power[[#This Row],[Expected Use (Hr/yr)]]</f>
        <v>11.078413497729985</v>
      </c>
      <c r="CG144" s="203">
        <f>Power[[#This Row],[HP]]*Power[[#This Row],[Fuel Use (gal/PTO hp/hr)]]</f>
        <v>15</v>
      </c>
      <c r="CH144" s="203">
        <f>'Data tables'!$AD$62*Power[[#This Row],[Shed (ft^2)]]/Power[[#This Row],[Expected Use (Hr/yr)]]</f>
        <v>1.3845985188072503</v>
      </c>
      <c r="CI144" s="130"/>
    </row>
    <row r="145" spans="57:97" x14ac:dyDescent="0.25">
      <c r="BE145" s="114" t="s">
        <v>5482</v>
      </c>
      <c r="BF145" s="115"/>
      <c r="BG145" s="121" t="str">
        <f t="shared" si="7"/>
        <v xml:space="preserve"> None Tractor</v>
      </c>
      <c r="BH145" s="120"/>
      <c r="BI145" s="117"/>
      <c r="BJ145" s="118">
        <f>Power[[#This Row],[Purchase Price (2020)]]/(1-Power[[#This Row],[List Discount]])</f>
        <v>0</v>
      </c>
      <c r="BK145" s="119"/>
      <c r="BL145" s="114"/>
      <c r="BM145" s="114">
        <v>4.3999999999999997E-2</v>
      </c>
      <c r="BN145" s="114"/>
      <c r="BO145" s="122" t="s">
        <v>15</v>
      </c>
      <c r="BP145" s="114">
        <f>_xlfn.XLOOKUP(Power[[#This Row],[Default ASABE Category]],ASABECoefficients[ASABE Category],ASABECoefficients[RF1])</f>
        <v>0</v>
      </c>
      <c r="BQ145" s="114">
        <f>_xlfn.XLOOKUP(Power[[#This Row],[Default ASABE Category]],ASABECoefficients[ASABE Category],ASABECoefficients[RF2])</f>
        <v>0</v>
      </c>
      <c r="BR145" s="114">
        <f>_xlfn.XLOOKUP(Power[[#This Row],[Default ASABE Category]],ASABECoefficients[ASABE Category],ASABECoefficients[RV1])</f>
        <v>0</v>
      </c>
      <c r="BS145" s="114">
        <f>_xlfn.XLOOKUP(Power[[#This Row],[Default ASABE Category]],ASABECoefficients[ASABE Category],ASABECoefficients[RV2])</f>
        <v>0</v>
      </c>
      <c r="BT145" s="114">
        <f>_xlfn.XLOOKUP(Power[[#This Row],[Default ASABE Category]],ASABECoefficients[ASABE Category],ASABECoefficients[RV3])</f>
        <v>0</v>
      </c>
      <c r="BU145" s="114">
        <f>_xlfn.XLOOKUP(Power[[#This Row],[Default ASABE Category]],ASABECoefficients[ASABE Category],ASABECoefficients[RV4])</f>
        <v>0</v>
      </c>
      <c r="BV145" s="114">
        <f>_xlfn.XLOOKUP(Power[[#This Row],[Default ASABE Category]],ASABECoefficients[ASABE Category],ASABECoefficients[RV5])</f>
        <v>0</v>
      </c>
      <c r="BW145" s="124">
        <f>(Power[[#This Row],[RV1]]-Power[[#This Row],[RV2]]*Power[[#This Row],[Expected Life (years)]]^0.5-Power[[#This Row],[RV3]]*Power[[#This Row],[Expected Use (Hr/yr)]]^0.5+Power[[#This Row],[RV4]]*'Data tables'!$AD$67)^2+0.25*Power[[#This Row],[RV5]]</f>
        <v>0</v>
      </c>
      <c r="BX145" s="116">
        <f>Power[[#This Row],[Trade-in (%)]]*Power[[#This Row],[List Price]]</f>
        <v>0</v>
      </c>
      <c r="BY145" s="116" t="e">
        <f>(Power[[#This Row],[Purchase Price (2020)]]-Power[[#This Row],[Trade-in ($)]])/Power[[#This Row],[Expected Life (years)]]</f>
        <v>#DIV/0!</v>
      </c>
      <c r="BZ145" s="116" t="e">
        <f>Power[[#This Row],[List Price]]*(Power[[#This Row],[RF1]]*(Power[[#This Row],[Expected Life (years)]]*Power[[#This Row],[Expected Use (Hr/yr)]]/1000)^Power[[#This Row],[RF2]])</f>
        <v>#NUM!</v>
      </c>
      <c r="CA145" s="116" t="e">
        <f>Power[[#This Row],[Accumulated Repairs ($)]]/Power[[#This Row],[Expected Life (years)]]</f>
        <v>#NUM!</v>
      </c>
      <c r="CB145" s="131" t="e">
        <f>Power[[#This Row],[Annual Depreciation]]/Power[[#This Row],[Expected Use (Hr/yr)]]</f>
        <v>#DIV/0!</v>
      </c>
      <c r="CC145" s="131" t="e">
        <f>(Power[[#This Row],[Purchase Price (2020)]]+Power[[#This Row],[Trade-in ($)]]+Power[[#This Row],[Annual Depreciation]])/2*'Data tables'!$AD$58/Power[[#This Row],[Expected Use (Hr/yr)]]</f>
        <v>#DIV/0!</v>
      </c>
      <c r="CD145" s="131" t="e">
        <f>Power[[#This Row],[Annual Repairs ($)]]/Power[[#This Row],[Expected Use (Hr/yr)]]</f>
        <v>#NUM!</v>
      </c>
      <c r="CE145" s="131" t="e">
        <f>(Power[[#This Row],[Purchase Price (2020)]]+Power[[#This Row],[Trade-in ($)]]+Power[[#This Row],[Annual Depreciation]])/2*'Data tables'!$AD$70/Power[[#This Row],[Expected Use (Hr/yr)]]</f>
        <v>#DIV/0!</v>
      </c>
      <c r="CF145" s="131" t="e">
        <f>(Power[[#This Row],[Purchase Price (2020)]]+Power[[#This Row],[Trade-in ($)]]+Power[[#This Row],[Annual Depreciation]])/2*'Data tables'!$AD$59/Power[[#This Row],[Expected Use (Hr/yr)]]</f>
        <v>#DIV/0!</v>
      </c>
      <c r="CG145" s="142">
        <f>Power[[#This Row],[HP]]*Power[[#This Row],[Fuel Use (gal/PTO hp/hr)]]</f>
        <v>0</v>
      </c>
      <c r="CH145" s="131" t="e">
        <f>'Data tables'!$AD$62*Power[[#This Row],[Shed (ft^2)]]/Power[[#This Row],[Expected Use (Hr/yr)]]</f>
        <v>#DIV/0!</v>
      </c>
      <c r="CI145" s="130"/>
    </row>
    <row r="146" spans="57:97" x14ac:dyDescent="0.25">
      <c r="BE146" s="19"/>
      <c r="BF146" s="19"/>
      <c r="BG146" s="19"/>
      <c r="BH146" s="19"/>
      <c r="BI146" s="19"/>
      <c r="BJ146" s="19"/>
      <c r="BK146" s="19"/>
      <c r="BL146" s="19"/>
      <c r="BM146" s="19"/>
      <c r="BN146" s="19"/>
      <c r="BO146" s="19"/>
      <c r="BP146" s="19"/>
      <c r="BX146" s="19"/>
      <c r="BY146" s="19"/>
      <c r="BZ146" s="19"/>
      <c r="CA146" s="19"/>
      <c r="CB146" s="19"/>
      <c r="CC146" s="19"/>
      <c r="CD146" s="19"/>
      <c r="CE146" s="19"/>
    </row>
    <row r="147" spans="57:97" x14ac:dyDescent="0.25">
      <c r="BQ147"/>
      <c r="BR147"/>
      <c r="BS147"/>
      <c r="BT147"/>
      <c r="BU147"/>
      <c r="BV147"/>
      <c r="BX147" s="19"/>
      <c r="BY147" s="19"/>
      <c r="BZ147" s="19"/>
      <c r="CA147" s="19"/>
      <c r="CB147" s="19"/>
      <c r="CC147" s="19"/>
    </row>
    <row r="148" spans="57:97" x14ac:dyDescent="0.25">
      <c r="BQ148"/>
      <c r="BR148"/>
      <c r="BS148"/>
      <c r="BT148"/>
      <c r="BU148"/>
      <c r="BV148"/>
      <c r="BX148" s="19"/>
      <c r="BY148" s="19"/>
      <c r="BZ148" s="19"/>
      <c r="CA148" s="19"/>
      <c r="CB148" s="19"/>
      <c r="CC148" s="19"/>
    </row>
    <row r="149" spans="57:97" x14ac:dyDescent="0.25">
      <c r="BQ149"/>
      <c r="BR149"/>
      <c r="BS149"/>
      <c r="BT149"/>
      <c r="BU149"/>
      <c r="BV149"/>
      <c r="BX149" s="19"/>
      <c r="BY149" s="19"/>
      <c r="BZ149" s="19"/>
      <c r="CA149" s="19"/>
      <c r="CB149" s="19"/>
      <c r="CC149" s="19"/>
    </row>
    <row r="150" spans="57:97" x14ac:dyDescent="0.25">
      <c r="BQ150"/>
      <c r="BR150"/>
      <c r="BS150"/>
      <c r="BT150"/>
      <c r="BU150"/>
      <c r="BV150"/>
      <c r="BX150" s="19"/>
      <c r="BY150" s="19"/>
      <c r="BZ150" s="19"/>
      <c r="CA150" s="19"/>
      <c r="CB150" s="19"/>
      <c r="CC150" s="19"/>
    </row>
    <row r="151" spans="57:97" x14ac:dyDescent="0.25">
      <c r="BQ151"/>
      <c r="BR151"/>
      <c r="BS151"/>
      <c r="BT151"/>
      <c r="BU151"/>
      <c r="BV151"/>
      <c r="BX151" s="19"/>
      <c r="BY151" s="19"/>
      <c r="BZ151" s="19"/>
      <c r="CA151" s="19"/>
      <c r="CB151" s="19"/>
      <c r="CC151" s="19"/>
      <c r="CK151" s="5" t="s">
        <v>5504</v>
      </c>
      <c r="CL151" t="s">
        <v>5492</v>
      </c>
    </row>
    <row r="152" spans="57:97" x14ac:dyDescent="0.25">
      <c r="BQ152"/>
      <c r="BR152"/>
      <c r="BS152"/>
      <c r="BT152"/>
      <c r="BU152"/>
      <c r="BV152"/>
      <c r="BX152" s="19"/>
      <c r="BY152" s="19"/>
      <c r="BZ152" s="19"/>
      <c r="CA152" s="19"/>
      <c r="CB152" s="19"/>
      <c r="CC152" s="19"/>
      <c r="CK152" t="s">
        <v>5486</v>
      </c>
      <c r="CL152" t="s">
        <v>5432</v>
      </c>
      <c r="CM152" t="s">
        <v>5433</v>
      </c>
      <c r="CN152" t="s">
        <v>5465</v>
      </c>
      <c r="CO152" t="s">
        <v>5434</v>
      </c>
      <c r="CP152" t="s">
        <v>5435</v>
      </c>
      <c r="CQ152" t="s">
        <v>5436</v>
      </c>
      <c r="CR152" t="s">
        <v>5437</v>
      </c>
      <c r="CS152" t="s">
        <v>5466</v>
      </c>
    </row>
    <row r="153" spans="57:97" x14ac:dyDescent="0.25">
      <c r="BQ153"/>
      <c r="BR153"/>
      <c r="BS153"/>
      <c r="BT153"/>
      <c r="BU153"/>
      <c r="BV153"/>
      <c r="BX153" s="19"/>
      <c r="BY153" s="19"/>
      <c r="BZ153" s="19"/>
      <c r="CA153" s="19"/>
      <c r="CB153" s="19"/>
      <c r="CC153" s="19"/>
      <c r="CK153" t="s">
        <v>5459</v>
      </c>
      <c r="CL153">
        <v>0.2</v>
      </c>
      <c r="CM153">
        <v>1.6</v>
      </c>
      <c r="CN153">
        <v>2000</v>
      </c>
      <c r="CO153">
        <v>0.85540000000000005</v>
      </c>
      <c r="CP153">
        <v>0.1177</v>
      </c>
      <c r="CQ153">
        <v>0</v>
      </c>
      <c r="CR153">
        <v>2.8999999999999998E-3</v>
      </c>
      <c r="CS153">
        <v>0.12740000000000001</v>
      </c>
    </row>
    <row r="154" spans="57:97" x14ac:dyDescent="0.25">
      <c r="BQ154"/>
      <c r="BR154"/>
      <c r="BS154"/>
      <c r="BT154"/>
      <c r="BU154"/>
      <c r="BV154"/>
      <c r="BX154" s="19"/>
      <c r="BY154" s="19"/>
      <c r="BZ154" s="19"/>
      <c r="CA154" s="19"/>
      <c r="CB154" s="19"/>
      <c r="CC154" s="19"/>
      <c r="CK154" t="s">
        <v>5460</v>
      </c>
      <c r="CL154">
        <v>0.2</v>
      </c>
      <c r="CM154">
        <v>1.6</v>
      </c>
      <c r="CN154">
        <v>2000</v>
      </c>
      <c r="CO154">
        <v>0.71940000000000004</v>
      </c>
      <c r="CP154">
        <v>0.11020000000000001</v>
      </c>
      <c r="CQ154">
        <v>0</v>
      </c>
      <c r="CR154">
        <v>3.0000000000000001E-3</v>
      </c>
      <c r="CS154">
        <v>0.12130000000000001</v>
      </c>
    </row>
    <row r="155" spans="57:97" x14ac:dyDescent="0.25">
      <c r="BQ155"/>
      <c r="BR155"/>
      <c r="BS155"/>
      <c r="BT155"/>
      <c r="BU155"/>
      <c r="BV155"/>
      <c r="BX155" s="19"/>
      <c r="BY155" s="19"/>
      <c r="BZ155" s="19"/>
      <c r="CA155" s="19"/>
      <c r="CB155" s="19"/>
      <c r="CC155" s="19"/>
      <c r="CK155" t="s">
        <v>5378</v>
      </c>
      <c r="CL155">
        <v>0.28000000000000003</v>
      </c>
      <c r="CM155">
        <v>1.4</v>
      </c>
      <c r="CN155">
        <v>1200</v>
      </c>
      <c r="CO155">
        <v>0.71940000000000004</v>
      </c>
      <c r="CP155">
        <v>0.11020000000000001</v>
      </c>
      <c r="CQ155">
        <v>0</v>
      </c>
      <c r="CR155">
        <v>3.0000000000000001E-3</v>
      </c>
      <c r="CS155">
        <v>0.12130000000000001</v>
      </c>
    </row>
    <row r="156" spans="57:97" x14ac:dyDescent="0.25">
      <c r="BQ156"/>
      <c r="BR156"/>
      <c r="BS156"/>
      <c r="BT156"/>
      <c r="BU156"/>
      <c r="BV156"/>
      <c r="BX156" s="19"/>
      <c r="BY156" s="19"/>
      <c r="BZ156" s="19"/>
      <c r="CA156" s="19"/>
      <c r="CB156" s="19"/>
      <c r="CC156" s="19"/>
      <c r="CK156" t="s">
        <v>5376</v>
      </c>
      <c r="CL156">
        <v>0.41</v>
      </c>
      <c r="CM156">
        <v>1.3</v>
      </c>
      <c r="CN156">
        <v>1500</v>
      </c>
      <c r="CO156">
        <v>0.85540000000000005</v>
      </c>
      <c r="CP156">
        <v>0.1177</v>
      </c>
      <c r="CQ156">
        <v>0</v>
      </c>
      <c r="CR156">
        <v>2.8999999999999998E-3</v>
      </c>
      <c r="CS156">
        <v>0.12740000000000001</v>
      </c>
    </row>
    <row r="157" spans="57:97" x14ac:dyDescent="0.25">
      <c r="BQ157"/>
      <c r="BR157"/>
      <c r="BS157"/>
      <c r="BT157"/>
      <c r="BU157"/>
      <c r="BV157"/>
      <c r="BX157" s="19"/>
      <c r="BY157" s="19"/>
      <c r="BZ157" s="19"/>
      <c r="CA157" s="19"/>
      <c r="CB157" s="19"/>
      <c r="CC157" s="19"/>
      <c r="CK157" t="s">
        <v>109</v>
      </c>
      <c r="CL157">
        <v>0.28000000000000003</v>
      </c>
      <c r="CM157">
        <v>1.4</v>
      </c>
      <c r="CN157">
        <v>2000</v>
      </c>
      <c r="CO157">
        <v>0.69269999999999998</v>
      </c>
      <c r="CP157">
        <v>7.0300000000000001E-2</v>
      </c>
      <c r="CQ157">
        <v>0</v>
      </c>
      <c r="CR157">
        <v>1.1999999999999999E-3</v>
      </c>
      <c r="CS157">
        <v>0.12230000000000001</v>
      </c>
    </row>
    <row r="158" spans="57:97" x14ac:dyDescent="0.25">
      <c r="BQ158"/>
      <c r="BR158"/>
      <c r="BS158"/>
      <c r="BT158"/>
      <c r="BU158"/>
      <c r="BV158"/>
      <c r="BX158" s="19"/>
      <c r="BY158" s="19"/>
      <c r="BZ158" s="19"/>
      <c r="CA158" s="19"/>
      <c r="CB158" s="19"/>
      <c r="CC158" s="19"/>
      <c r="CK158" t="s">
        <v>5451</v>
      </c>
      <c r="CL158">
        <v>0.12</v>
      </c>
      <c r="CM158">
        <v>2.2999999999999998</v>
      </c>
      <c r="CN158">
        <v>2000</v>
      </c>
      <c r="CO158">
        <v>1.054</v>
      </c>
      <c r="CP158">
        <v>0.1865</v>
      </c>
      <c r="CQ158">
        <v>6.7999999999999996E-3</v>
      </c>
      <c r="CR158">
        <v>2.8E-3</v>
      </c>
      <c r="CS158">
        <v>8.4699999999999998E-2</v>
      </c>
    </row>
    <row r="159" spans="57:97" x14ac:dyDescent="0.25">
      <c r="BQ159"/>
      <c r="BR159"/>
      <c r="BS159"/>
      <c r="BT159"/>
      <c r="BU159"/>
      <c r="BV159"/>
      <c r="BX159" s="19"/>
      <c r="BY159" s="19"/>
      <c r="BZ159" s="19"/>
      <c r="CA159" s="19"/>
      <c r="CB159" s="19"/>
      <c r="CC159" s="19"/>
      <c r="CK159" t="s">
        <v>5442</v>
      </c>
      <c r="CL159">
        <v>0.04</v>
      </c>
      <c r="CM159">
        <v>2.1</v>
      </c>
      <c r="CN159">
        <v>3000</v>
      </c>
      <c r="CO159">
        <v>1.0136101798876398</v>
      </c>
      <c r="CP159">
        <v>0.174199608497973</v>
      </c>
      <c r="CQ159">
        <v>7.6964422098118896E-3</v>
      </c>
      <c r="CR159">
        <v>7.4905071015698174E-4</v>
      </c>
      <c r="CS159">
        <v>0</v>
      </c>
    </row>
    <row r="160" spans="57:97" x14ac:dyDescent="0.25">
      <c r="BQ160"/>
      <c r="BR160"/>
      <c r="BS160"/>
      <c r="BT160"/>
      <c r="BU160"/>
      <c r="BV160"/>
      <c r="BX160" s="19"/>
      <c r="BY160" s="19"/>
      <c r="BZ160" s="19"/>
      <c r="CA160" s="19"/>
      <c r="CB160" s="19"/>
      <c r="CC160" s="19"/>
      <c r="CK160" t="s">
        <v>5485</v>
      </c>
      <c r="CL160">
        <v>0.04</v>
      </c>
      <c r="CM160">
        <v>2.1</v>
      </c>
      <c r="CN160">
        <v>3000</v>
      </c>
      <c r="CO160">
        <v>1.054</v>
      </c>
      <c r="CP160">
        <v>0.1865</v>
      </c>
      <c r="CQ160">
        <v>6.7999999999999996E-3</v>
      </c>
      <c r="CR160">
        <v>2.8E-3</v>
      </c>
      <c r="CS160">
        <v>8.4699999999999998E-2</v>
      </c>
    </row>
    <row r="161" spans="69:97" x14ac:dyDescent="0.25">
      <c r="BQ161"/>
      <c r="BR161"/>
      <c r="BS161"/>
      <c r="BT161"/>
      <c r="BU161"/>
      <c r="BV161"/>
      <c r="BX161" s="19"/>
      <c r="BY161" s="19"/>
      <c r="BZ161" s="19"/>
      <c r="CA161" s="19"/>
      <c r="CB161" s="19"/>
      <c r="CC161" s="19"/>
      <c r="CK161" t="s">
        <v>5484</v>
      </c>
      <c r="CL161">
        <v>0.04</v>
      </c>
      <c r="CM161">
        <v>2.1</v>
      </c>
      <c r="CN161">
        <v>3000</v>
      </c>
      <c r="CO161">
        <v>1.054</v>
      </c>
      <c r="CP161">
        <v>0.1865</v>
      </c>
      <c r="CQ161">
        <v>6.7999999999999996E-3</v>
      </c>
      <c r="CR161">
        <v>2.8E-3</v>
      </c>
      <c r="CS161">
        <v>8.4699999999999998E-2</v>
      </c>
    </row>
    <row r="162" spans="69:97" x14ac:dyDescent="0.25">
      <c r="BQ162"/>
      <c r="BR162"/>
      <c r="BS162"/>
      <c r="BT162"/>
      <c r="BU162"/>
      <c r="BV162"/>
      <c r="BX162" s="19"/>
      <c r="BY162" s="19"/>
      <c r="BZ162" s="19"/>
      <c r="CA162" s="19"/>
      <c r="CB162" s="19"/>
      <c r="CC162" s="19"/>
      <c r="CK162" t="s">
        <v>5483</v>
      </c>
      <c r="CL162">
        <v>0.04</v>
      </c>
      <c r="CM162">
        <v>2.1</v>
      </c>
      <c r="CN162">
        <v>3000</v>
      </c>
      <c r="CO162">
        <v>1.0190501798876355</v>
      </c>
      <c r="CP162">
        <v>0.174199608497973</v>
      </c>
      <c r="CQ162">
        <v>7.6964422098118896E-3</v>
      </c>
      <c r="CR162">
        <v>7.4905071015698174E-4</v>
      </c>
      <c r="CS162">
        <v>0</v>
      </c>
    </row>
    <row r="163" spans="69:97" x14ac:dyDescent="0.25">
      <c r="BQ163"/>
      <c r="BR163"/>
      <c r="BS163"/>
      <c r="BT163"/>
      <c r="BU163"/>
      <c r="BV163"/>
      <c r="BX163" s="19"/>
      <c r="BY163" s="19"/>
      <c r="BZ163" s="19"/>
      <c r="CA163" s="19"/>
      <c r="CB163" s="19"/>
      <c r="CC163" s="19"/>
      <c r="CK163" t="s">
        <v>5450</v>
      </c>
      <c r="CL163">
        <v>0.14000000000000001</v>
      </c>
      <c r="CM163">
        <v>2.2999999999999998</v>
      </c>
      <c r="CN163">
        <v>2000</v>
      </c>
      <c r="CO163">
        <v>1.054</v>
      </c>
      <c r="CP163">
        <v>0.1865</v>
      </c>
      <c r="CQ163">
        <v>6.7999999999999996E-3</v>
      </c>
      <c r="CR163">
        <v>2.8E-3</v>
      </c>
      <c r="CS163">
        <v>8.4699999999999998E-2</v>
      </c>
    </row>
    <row r="164" spans="69:97" x14ac:dyDescent="0.25">
      <c r="BQ164"/>
      <c r="BR164"/>
      <c r="BS164"/>
      <c r="BT164"/>
      <c r="BU164"/>
      <c r="BV164"/>
      <c r="BX164" s="19"/>
      <c r="BY164" s="19"/>
      <c r="BZ164" s="19"/>
      <c r="CA164" s="19"/>
      <c r="CB164" s="19"/>
      <c r="CC164" s="19"/>
      <c r="CK164" t="s">
        <v>5457</v>
      </c>
      <c r="CL164">
        <v>0.11</v>
      </c>
      <c r="CM164">
        <v>1.8</v>
      </c>
      <c r="CN164">
        <v>3000</v>
      </c>
      <c r="CO164">
        <v>1.054</v>
      </c>
      <c r="CP164">
        <v>0.1865</v>
      </c>
      <c r="CQ164">
        <v>6.7999999999999996E-3</v>
      </c>
      <c r="CR164">
        <v>2.8E-3</v>
      </c>
      <c r="CS164">
        <v>8.4699999999999998E-2</v>
      </c>
    </row>
    <row r="165" spans="69:97" x14ac:dyDescent="0.25">
      <c r="BQ165"/>
      <c r="BR165"/>
      <c r="BS165"/>
      <c r="BT165"/>
      <c r="BU165"/>
      <c r="BV165"/>
      <c r="BX165" s="19"/>
      <c r="BY165" s="19"/>
      <c r="BZ165" s="19"/>
      <c r="CA165" s="19"/>
      <c r="CB165" s="19"/>
      <c r="CC165" s="19"/>
      <c r="CK165" t="s">
        <v>5458</v>
      </c>
      <c r="CL165">
        <v>0.63</v>
      </c>
      <c r="CM165">
        <v>1.3</v>
      </c>
      <c r="CN165">
        <v>1200</v>
      </c>
      <c r="CO165">
        <v>0.86350000000000005</v>
      </c>
      <c r="CP165">
        <v>0.1288</v>
      </c>
      <c r="CQ165">
        <v>0</v>
      </c>
      <c r="CR165">
        <v>1.6999999999999999E-3</v>
      </c>
      <c r="CS165">
        <v>0.15690000000000001</v>
      </c>
    </row>
    <row r="166" spans="69:97" x14ac:dyDescent="0.25">
      <c r="BQ166"/>
      <c r="BR166"/>
      <c r="BS166"/>
      <c r="BT166"/>
      <c r="BU166"/>
      <c r="BV166"/>
      <c r="BX166" s="19"/>
      <c r="BY166" s="19"/>
      <c r="BZ166" s="19"/>
      <c r="CA166" s="19"/>
      <c r="CB166" s="19"/>
      <c r="CC166" s="19"/>
      <c r="CK166" t="s">
        <v>5360</v>
      </c>
      <c r="CL166">
        <v>0.27</v>
      </c>
      <c r="CM166">
        <v>1.4</v>
      </c>
      <c r="CN166">
        <v>2000</v>
      </c>
      <c r="CO166">
        <v>0.69269999999999998</v>
      </c>
      <c r="CP166">
        <v>7.0300000000000001E-2</v>
      </c>
      <c r="CQ166">
        <v>0</v>
      </c>
      <c r="CR166">
        <v>1.1999999999999999E-3</v>
      </c>
      <c r="CS166">
        <v>0.12230000000000001</v>
      </c>
    </row>
    <row r="167" spans="69:97" x14ac:dyDescent="0.25">
      <c r="BQ167"/>
      <c r="BR167"/>
      <c r="BS167"/>
      <c r="BT167"/>
      <c r="BU167"/>
      <c r="BV167"/>
      <c r="BX167" s="19"/>
      <c r="BY167" s="19"/>
      <c r="BZ167" s="19"/>
      <c r="CA167" s="19"/>
      <c r="CB167" s="19"/>
      <c r="CC167" s="19"/>
      <c r="CK167" t="s">
        <v>5461</v>
      </c>
      <c r="CL167">
        <v>0.22</v>
      </c>
      <c r="CM167">
        <v>1.8</v>
      </c>
      <c r="CN167">
        <v>1500</v>
      </c>
      <c r="CO167">
        <v>0.65290000000000004</v>
      </c>
      <c r="CP167">
        <v>0.15110000000000001</v>
      </c>
      <c r="CQ167">
        <v>0</v>
      </c>
      <c r="CR167">
        <v>7.7999999999999996E-3</v>
      </c>
      <c r="CS167">
        <v>0.1235</v>
      </c>
    </row>
    <row r="168" spans="69:97" x14ac:dyDescent="0.25">
      <c r="BQ168"/>
      <c r="BR168"/>
      <c r="BS168"/>
      <c r="BT168"/>
      <c r="BU168"/>
      <c r="BV168"/>
      <c r="BX168" s="19"/>
      <c r="BY168" s="19"/>
      <c r="BZ168" s="19"/>
      <c r="CA168" s="19"/>
      <c r="CB168" s="19"/>
      <c r="CC168" s="19"/>
      <c r="CK168" t="s">
        <v>5454</v>
      </c>
      <c r="CL168">
        <v>0.15</v>
      </c>
      <c r="CM168">
        <v>1.6</v>
      </c>
      <c r="CN168">
        <v>2500</v>
      </c>
      <c r="CO168">
        <v>0.65290000000000004</v>
      </c>
      <c r="CP168">
        <v>0.15110000000000001</v>
      </c>
      <c r="CQ168">
        <v>0</v>
      </c>
      <c r="CR168">
        <v>7.7999999999999996E-3</v>
      </c>
      <c r="CS168">
        <v>0.1235</v>
      </c>
    </row>
    <row r="169" spans="69:97" x14ac:dyDescent="0.25">
      <c r="BQ169"/>
      <c r="BR169"/>
      <c r="BS169"/>
      <c r="BT169"/>
      <c r="BU169"/>
      <c r="BV169"/>
      <c r="BX169" s="19"/>
      <c r="BY169" s="19"/>
      <c r="BZ169" s="19"/>
      <c r="CA169" s="19"/>
      <c r="CB169" s="19"/>
      <c r="CC169" s="19"/>
      <c r="CK169" t="s">
        <v>5401</v>
      </c>
      <c r="CL169">
        <v>0.03</v>
      </c>
      <c r="CM169">
        <v>2</v>
      </c>
      <c r="CN169">
        <v>4000</v>
      </c>
      <c r="CO169">
        <v>0.65290000000000004</v>
      </c>
      <c r="CP169">
        <v>0.15110000000000001</v>
      </c>
      <c r="CQ169">
        <v>0</v>
      </c>
      <c r="CR169">
        <v>7.7999999999999996E-3</v>
      </c>
      <c r="CS169">
        <v>0.1235</v>
      </c>
    </row>
    <row r="170" spans="69:97" x14ac:dyDescent="0.25">
      <c r="BQ170"/>
      <c r="BR170"/>
      <c r="BS170"/>
      <c r="BT170"/>
      <c r="BU170"/>
      <c r="BV170"/>
      <c r="BX170" s="19"/>
      <c r="BY170" s="19"/>
      <c r="BZ170" s="19"/>
      <c r="CA170" s="19"/>
      <c r="CB170" s="19"/>
      <c r="CC170" s="19"/>
      <c r="CK170" t="s">
        <v>5462</v>
      </c>
      <c r="CL170">
        <v>0.16</v>
      </c>
      <c r="CM170">
        <v>1.6</v>
      </c>
      <c r="CN170">
        <v>2000</v>
      </c>
      <c r="CO170">
        <v>0.80910000000000004</v>
      </c>
      <c r="CP170">
        <v>0.1109</v>
      </c>
      <c r="CQ170">
        <v>0</v>
      </c>
      <c r="CR170">
        <v>1.4E-3</v>
      </c>
      <c r="CS170">
        <v>0.12670000000000001</v>
      </c>
    </row>
    <row r="171" spans="69:97" x14ac:dyDescent="0.25">
      <c r="BQ171"/>
      <c r="BR171"/>
      <c r="BS171"/>
      <c r="BT171"/>
      <c r="BU171"/>
      <c r="BV171"/>
      <c r="BX171" s="19"/>
      <c r="BY171" s="19"/>
      <c r="BZ171" s="19"/>
      <c r="CA171" s="19"/>
      <c r="CB171" s="19"/>
      <c r="CC171" s="19"/>
      <c r="CK171" t="s">
        <v>5421</v>
      </c>
      <c r="CL171">
        <v>3.0000000000000001E-3</v>
      </c>
      <c r="CM171">
        <v>2</v>
      </c>
      <c r="CN171">
        <v>16000</v>
      </c>
      <c r="CO171">
        <v>0.86409999999999998</v>
      </c>
      <c r="CP171">
        <v>0.15640000000000001</v>
      </c>
      <c r="CQ171">
        <v>3.3999999999999998E-3</v>
      </c>
      <c r="CR171">
        <v>4.5999999999999999E-3</v>
      </c>
      <c r="CS171">
        <v>8.5999999999999993E-2</v>
      </c>
    </row>
    <row r="172" spans="69:97" x14ac:dyDescent="0.25">
      <c r="BQ172"/>
      <c r="BR172"/>
      <c r="BS172"/>
      <c r="BT172"/>
      <c r="BU172"/>
      <c r="BV172"/>
      <c r="BX172" s="19"/>
      <c r="BY172" s="19"/>
      <c r="BZ172" s="19"/>
      <c r="CA172" s="19"/>
      <c r="CB172" s="19"/>
      <c r="CC172" s="19"/>
      <c r="CK172" t="s">
        <v>5369</v>
      </c>
      <c r="CL172">
        <v>0.32</v>
      </c>
      <c r="CM172">
        <v>2.1</v>
      </c>
      <c r="CN172">
        <v>1500</v>
      </c>
      <c r="CO172">
        <v>1.2211000000000001</v>
      </c>
      <c r="CP172">
        <v>0.17369999999999999</v>
      </c>
      <c r="CQ172">
        <v>0</v>
      </c>
      <c r="CR172">
        <v>-1.6999999999999999E-3</v>
      </c>
      <c r="CS172">
        <v>0.12640000000000001</v>
      </c>
    </row>
    <row r="173" spans="69:97" x14ac:dyDescent="0.25">
      <c r="BQ173"/>
      <c r="BR173"/>
      <c r="BS173"/>
      <c r="BT173"/>
      <c r="BU173"/>
      <c r="BV173"/>
      <c r="BX173" s="19"/>
      <c r="BY173" s="19"/>
      <c r="BZ173" s="19"/>
      <c r="CA173" s="19"/>
      <c r="CB173" s="19"/>
      <c r="CC173" s="19"/>
      <c r="CK173" t="s">
        <v>5363</v>
      </c>
      <c r="CL173">
        <v>0.18</v>
      </c>
      <c r="CM173">
        <v>1.7</v>
      </c>
      <c r="CN173">
        <v>2000</v>
      </c>
      <c r="CO173">
        <v>0.71940000000000004</v>
      </c>
      <c r="CP173">
        <v>0.11020000000000001</v>
      </c>
      <c r="CQ173">
        <v>0</v>
      </c>
      <c r="CR173">
        <v>3.0000000000000001E-3</v>
      </c>
      <c r="CS173">
        <v>0.12130000000000001</v>
      </c>
    </row>
    <row r="174" spans="69:97" x14ac:dyDescent="0.25">
      <c r="BQ174"/>
      <c r="BR174"/>
      <c r="BS174"/>
      <c r="BT174"/>
      <c r="BU174"/>
      <c r="BV174"/>
      <c r="BX174" s="19"/>
      <c r="BY174" s="19"/>
      <c r="BZ174" s="19"/>
      <c r="CA174" s="19"/>
      <c r="CB174" s="19"/>
      <c r="CC174" s="19"/>
      <c r="CK174" t="s">
        <v>5395</v>
      </c>
      <c r="CL174">
        <v>0.1</v>
      </c>
      <c r="CM174">
        <v>1.8</v>
      </c>
      <c r="CN174">
        <v>3000</v>
      </c>
      <c r="CO174">
        <v>0.80910000000000004</v>
      </c>
      <c r="CP174">
        <v>0.1109</v>
      </c>
      <c r="CQ174">
        <v>0</v>
      </c>
      <c r="CR174">
        <v>1.4E-3</v>
      </c>
      <c r="CS174">
        <v>0.12670000000000001</v>
      </c>
    </row>
    <row r="175" spans="69:97" x14ac:dyDescent="0.25">
      <c r="BQ175"/>
      <c r="BR175"/>
      <c r="BS175"/>
      <c r="BT175"/>
      <c r="BU175"/>
      <c r="BV175"/>
      <c r="BX175" s="19"/>
      <c r="BY175" s="19"/>
      <c r="BZ175" s="19"/>
      <c r="CA175" s="19"/>
      <c r="CB175" s="19"/>
      <c r="CC175" s="19"/>
      <c r="CK175" t="s">
        <v>5390</v>
      </c>
      <c r="CL175">
        <v>0.43</v>
      </c>
      <c r="CM175">
        <v>1.8</v>
      </c>
      <c r="CN175">
        <v>1500</v>
      </c>
      <c r="CO175">
        <v>0.80910000000000004</v>
      </c>
      <c r="CP175">
        <v>0.1109</v>
      </c>
      <c r="CQ175">
        <v>0</v>
      </c>
      <c r="CR175">
        <v>1.4E-3</v>
      </c>
      <c r="CS175">
        <v>0.12670000000000001</v>
      </c>
    </row>
    <row r="176" spans="69:97" x14ac:dyDescent="0.25">
      <c r="BQ176"/>
      <c r="BR176"/>
      <c r="BS176"/>
      <c r="BT176"/>
      <c r="BU176"/>
      <c r="BV176"/>
      <c r="BX176" s="19"/>
      <c r="BY176" s="19"/>
      <c r="BZ176" s="19"/>
      <c r="CA176" s="19"/>
      <c r="CB176" s="19"/>
      <c r="CC176" s="19"/>
      <c r="CK176" t="s">
        <v>5463</v>
      </c>
      <c r="CL176">
        <v>0.16</v>
      </c>
      <c r="CM176">
        <v>1.6</v>
      </c>
      <c r="CN176">
        <v>2000</v>
      </c>
      <c r="CO176">
        <v>0.86350000000000005</v>
      </c>
      <c r="CP176">
        <v>0.1288</v>
      </c>
      <c r="CQ176">
        <v>0</v>
      </c>
      <c r="CR176">
        <v>1.6999999999999999E-3</v>
      </c>
      <c r="CS176">
        <v>0.15690000000000001</v>
      </c>
    </row>
    <row r="177" spans="69:97" x14ac:dyDescent="0.25">
      <c r="BQ177"/>
      <c r="BR177"/>
      <c r="BS177"/>
      <c r="BT177"/>
      <c r="BU177"/>
      <c r="BV177"/>
      <c r="BX177" s="19"/>
      <c r="BY177" s="19"/>
      <c r="BZ177" s="19"/>
      <c r="CA177" s="19"/>
      <c r="CB177" s="19"/>
      <c r="CC177" s="19"/>
      <c r="CK177" t="s">
        <v>5420</v>
      </c>
      <c r="CL177">
        <v>5.0000000000000001E-3</v>
      </c>
      <c r="CM177">
        <v>2</v>
      </c>
      <c r="CN177">
        <v>16000</v>
      </c>
      <c r="CO177">
        <v>0.86409999999999998</v>
      </c>
      <c r="CP177">
        <v>0.15640000000000001</v>
      </c>
      <c r="CQ177">
        <v>3.3999999999999998E-3</v>
      </c>
      <c r="CR177">
        <v>4.5999999999999999E-3</v>
      </c>
      <c r="CS177">
        <v>8.5999999999999993E-2</v>
      </c>
    </row>
    <row r="178" spans="69:97" x14ac:dyDescent="0.25">
      <c r="BQ178"/>
      <c r="BR178"/>
      <c r="BS178"/>
      <c r="BT178"/>
      <c r="BU178"/>
      <c r="BV178"/>
      <c r="BX178" s="19"/>
      <c r="BY178" s="19"/>
      <c r="BZ178" s="19"/>
      <c r="CA178" s="19"/>
      <c r="CB178" s="19"/>
      <c r="CC178" s="19"/>
      <c r="CK178" t="s">
        <v>5444</v>
      </c>
      <c r="CL178">
        <v>0.28999999999999998</v>
      </c>
      <c r="CM178">
        <v>1.8</v>
      </c>
      <c r="CN178">
        <v>2000</v>
      </c>
      <c r="CO178">
        <v>0.69269999999999998</v>
      </c>
      <c r="CP178">
        <v>7.0300000000000001E-2</v>
      </c>
      <c r="CQ178">
        <v>0</v>
      </c>
      <c r="CR178">
        <v>1.1999999999999999E-3</v>
      </c>
      <c r="CS178">
        <v>0.12230000000000001</v>
      </c>
    </row>
    <row r="179" spans="69:97" x14ac:dyDescent="0.25">
      <c r="BQ179"/>
      <c r="BR179"/>
      <c r="BS179"/>
      <c r="BT179"/>
      <c r="BU179"/>
      <c r="BV179"/>
      <c r="BX179" s="19"/>
      <c r="BY179" s="19"/>
      <c r="BZ179" s="19"/>
      <c r="CA179" s="19"/>
      <c r="CB179" s="19"/>
      <c r="CC179" s="19"/>
      <c r="CK179" t="s">
        <v>2468</v>
      </c>
      <c r="CL179">
        <v>0.46</v>
      </c>
      <c r="CM179">
        <v>1.7</v>
      </c>
      <c r="CN179">
        <v>2000</v>
      </c>
      <c r="CO179">
        <v>0.90229999999999999</v>
      </c>
      <c r="CP179">
        <v>9.4299999999999995E-2</v>
      </c>
      <c r="CQ179">
        <v>0</v>
      </c>
      <c r="CR179">
        <v>-4.0000000000000002E-4</v>
      </c>
      <c r="CS179">
        <v>0.10730000000000001</v>
      </c>
    </row>
    <row r="180" spans="69:97" x14ac:dyDescent="0.25">
      <c r="BQ180"/>
      <c r="BR180"/>
      <c r="BS180"/>
      <c r="BT180"/>
      <c r="BU180"/>
      <c r="BV180"/>
      <c r="BX180" s="19"/>
      <c r="BY180" s="19"/>
      <c r="BZ180" s="19"/>
      <c r="CA180" s="19"/>
      <c r="CB180" s="19"/>
      <c r="CC180" s="19"/>
      <c r="CK180" t="s">
        <v>5452</v>
      </c>
      <c r="CL180">
        <v>0.44</v>
      </c>
      <c r="CM180">
        <v>2</v>
      </c>
      <c r="CN180">
        <v>2000</v>
      </c>
      <c r="CO180">
        <v>0.90229999999999999</v>
      </c>
      <c r="CP180">
        <v>9.4299999999999995E-2</v>
      </c>
      <c r="CQ180">
        <v>0</v>
      </c>
      <c r="CR180">
        <v>-4.0000000000000002E-4</v>
      </c>
      <c r="CS180">
        <v>0.10730000000000001</v>
      </c>
    </row>
    <row r="181" spans="69:97" x14ac:dyDescent="0.25">
      <c r="BQ181"/>
      <c r="BR181"/>
      <c r="BS181"/>
      <c r="BT181"/>
      <c r="BU181"/>
      <c r="BV181"/>
      <c r="BX181" s="19"/>
      <c r="BY181" s="19"/>
      <c r="BZ181" s="19"/>
      <c r="CA181" s="19"/>
      <c r="CB181" s="19"/>
      <c r="CC181" s="19"/>
      <c r="CK181" t="s">
        <v>5453</v>
      </c>
      <c r="CL181">
        <v>0.18</v>
      </c>
      <c r="CM181">
        <v>1.6</v>
      </c>
      <c r="CN181">
        <v>2500</v>
      </c>
      <c r="CO181">
        <v>0.72430000000000005</v>
      </c>
      <c r="CP181">
        <v>0.11269999999999999</v>
      </c>
      <c r="CQ181">
        <v>0</v>
      </c>
      <c r="CR181">
        <v>3.3999999999999998E-3</v>
      </c>
      <c r="CS181">
        <v>0.1188</v>
      </c>
    </row>
    <row r="182" spans="69:97" x14ac:dyDescent="0.25">
      <c r="BQ182"/>
      <c r="BR182"/>
      <c r="BS182"/>
      <c r="BT182"/>
      <c r="BU182"/>
      <c r="BV182"/>
      <c r="BX182" s="19"/>
      <c r="BY182" s="19"/>
      <c r="BZ182" s="19"/>
      <c r="CA182" s="19"/>
      <c r="CB182" s="19"/>
      <c r="CC182" s="19"/>
      <c r="CK182" t="s">
        <v>5381</v>
      </c>
      <c r="CL182">
        <v>0.16</v>
      </c>
      <c r="CM182">
        <v>2</v>
      </c>
      <c r="CN182">
        <v>2500</v>
      </c>
      <c r="CO182">
        <v>0.72430000000000005</v>
      </c>
      <c r="CP182">
        <v>0.11269999999999999</v>
      </c>
      <c r="CQ182">
        <v>0</v>
      </c>
      <c r="CR182">
        <v>3.3999999999999998E-3</v>
      </c>
      <c r="CS182">
        <v>0.1188</v>
      </c>
    </row>
    <row r="183" spans="69:97" x14ac:dyDescent="0.25">
      <c r="BQ183"/>
      <c r="BR183"/>
      <c r="BS183"/>
      <c r="BT183"/>
      <c r="BU183"/>
      <c r="BV183"/>
      <c r="BX183" s="19"/>
      <c r="BY183" s="19"/>
      <c r="BZ183" s="19"/>
      <c r="CA183" s="19"/>
      <c r="CB183" s="19"/>
      <c r="CC183" s="19"/>
      <c r="CK183" t="s">
        <v>5447</v>
      </c>
      <c r="CL183">
        <v>0.16</v>
      </c>
      <c r="CM183">
        <v>1.3</v>
      </c>
      <c r="CN183">
        <v>2000</v>
      </c>
      <c r="CO183">
        <v>0.71940000000000004</v>
      </c>
      <c r="CP183">
        <v>0.11020000000000001</v>
      </c>
      <c r="CQ183">
        <v>0</v>
      </c>
      <c r="CR183">
        <v>3.0000000000000001E-3</v>
      </c>
      <c r="CS183">
        <v>0.12130000000000001</v>
      </c>
    </row>
    <row r="184" spans="69:97" x14ac:dyDescent="0.25">
      <c r="BQ184"/>
      <c r="BR184"/>
      <c r="BS184"/>
      <c r="BT184"/>
      <c r="BU184"/>
      <c r="BV184"/>
      <c r="BX184" s="19"/>
      <c r="BY184" s="19"/>
      <c r="BZ184" s="19"/>
      <c r="CA184" s="19"/>
      <c r="CB184" s="19"/>
      <c r="CC184" s="19"/>
      <c r="CK184" t="s">
        <v>5456</v>
      </c>
      <c r="CL184">
        <v>0.19</v>
      </c>
      <c r="CM184">
        <v>1.4</v>
      </c>
      <c r="CN184">
        <v>2500</v>
      </c>
      <c r="CO184">
        <v>0.80910000000000004</v>
      </c>
      <c r="CP184">
        <v>0.1109</v>
      </c>
      <c r="CQ184">
        <v>0</v>
      </c>
      <c r="CR184">
        <v>1.4E-3</v>
      </c>
      <c r="CS184">
        <v>0.12670000000000001</v>
      </c>
    </row>
    <row r="185" spans="69:97" x14ac:dyDescent="0.25">
      <c r="BQ185"/>
      <c r="BR185"/>
      <c r="BS185"/>
      <c r="BT185"/>
      <c r="BU185"/>
      <c r="BV185"/>
      <c r="BX185" s="19"/>
      <c r="BY185" s="19"/>
      <c r="BZ185" s="19"/>
      <c r="CA185" s="19"/>
      <c r="CB185" s="19"/>
      <c r="CC185" s="19"/>
      <c r="CK185" t="s">
        <v>5387</v>
      </c>
      <c r="CL185">
        <v>0.23</v>
      </c>
      <c r="CM185">
        <v>1.8</v>
      </c>
      <c r="CN185">
        <v>2000</v>
      </c>
      <c r="CO185">
        <v>0.80910000000000004</v>
      </c>
      <c r="CP185">
        <v>0.1109</v>
      </c>
      <c r="CQ185">
        <v>0</v>
      </c>
      <c r="CR185">
        <v>1.4E-3</v>
      </c>
      <c r="CS185">
        <v>0.12670000000000001</v>
      </c>
    </row>
    <row r="186" spans="69:97" x14ac:dyDescent="0.25">
      <c r="BQ186"/>
      <c r="BR186"/>
      <c r="BS186"/>
      <c r="BT186"/>
      <c r="BU186"/>
      <c r="BV186"/>
      <c r="BX186" s="19"/>
      <c r="BY186" s="19"/>
      <c r="BZ186" s="19"/>
      <c r="CA186" s="19"/>
      <c r="CB186" s="19"/>
      <c r="CC186" s="19"/>
      <c r="CK186" t="s">
        <v>5446</v>
      </c>
      <c r="CL186">
        <v>0.16</v>
      </c>
      <c r="CM186">
        <v>1.3</v>
      </c>
      <c r="CN186">
        <v>2000</v>
      </c>
      <c r="CO186">
        <v>0.71940000000000004</v>
      </c>
      <c r="CP186">
        <v>0.11020000000000001</v>
      </c>
      <c r="CQ186">
        <v>0</v>
      </c>
      <c r="CR186">
        <v>3.0000000000000001E-3</v>
      </c>
      <c r="CS186">
        <v>0.12130000000000001</v>
      </c>
    </row>
    <row r="187" spans="69:97" x14ac:dyDescent="0.25">
      <c r="BQ187"/>
      <c r="BR187"/>
      <c r="BS187"/>
      <c r="BT187"/>
      <c r="BU187"/>
      <c r="BV187"/>
      <c r="BX187" s="19"/>
      <c r="BY187" s="19"/>
      <c r="BZ187" s="19"/>
      <c r="CA187" s="19"/>
      <c r="CB187" s="19"/>
      <c r="CC187" s="19"/>
      <c r="CK187" t="s">
        <v>5448</v>
      </c>
      <c r="CL187">
        <v>0.23</v>
      </c>
      <c r="CM187">
        <v>1.4</v>
      </c>
      <c r="CN187">
        <v>2000</v>
      </c>
      <c r="CO187">
        <v>0.69269999999999998</v>
      </c>
      <c r="CP187">
        <v>7.0300000000000001E-2</v>
      </c>
      <c r="CQ187">
        <v>0</v>
      </c>
      <c r="CR187">
        <v>1.1999999999999999E-3</v>
      </c>
      <c r="CS187">
        <v>0.12230000000000001</v>
      </c>
    </row>
    <row r="188" spans="69:97" x14ac:dyDescent="0.25">
      <c r="BQ188"/>
      <c r="BR188"/>
      <c r="BS188"/>
      <c r="BT188"/>
      <c r="BU188"/>
      <c r="BV188"/>
      <c r="BX188" s="19"/>
      <c r="BY188" s="19"/>
      <c r="BZ188" s="19"/>
      <c r="CA188" s="19"/>
      <c r="CB188" s="19"/>
      <c r="CC188" s="19"/>
      <c r="CK188" t="s">
        <v>5449</v>
      </c>
      <c r="CL188">
        <v>0.36</v>
      </c>
      <c r="CM188">
        <v>2</v>
      </c>
      <c r="CN188">
        <v>1500</v>
      </c>
      <c r="CO188">
        <v>0.71940000000000004</v>
      </c>
      <c r="CP188">
        <v>0.11020000000000001</v>
      </c>
      <c r="CQ188">
        <v>0</v>
      </c>
      <c r="CR188">
        <v>3.0000000000000001E-3</v>
      </c>
      <c r="CS188">
        <v>0.12130000000000001</v>
      </c>
    </row>
    <row r="189" spans="69:97" x14ac:dyDescent="0.25">
      <c r="BQ189"/>
      <c r="BR189"/>
      <c r="BS189"/>
      <c r="BT189"/>
      <c r="BU189"/>
      <c r="BV189"/>
      <c r="BX189" s="19"/>
      <c r="BY189" s="19"/>
      <c r="BZ189" s="19"/>
      <c r="CA189" s="19"/>
      <c r="CB189" s="19"/>
      <c r="CC189" s="19"/>
      <c r="CK189" t="s">
        <v>5373</v>
      </c>
      <c r="CL189">
        <v>0.17</v>
      </c>
      <c r="CM189">
        <v>2.2000000000000002</v>
      </c>
      <c r="CN189">
        <v>2000</v>
      </c>
      <c r="CO189">
        <v>0.69269999999999998</v>
      </c>
      <c r="CP189">
        <v>7.0300000000000001E-2</v>
      </c>
      <c r="CQ189">
        <v>0</v>
      </c>
      <c r="CR189">
        <v>1.1999999999999999E-3</v>
      </c>
      <c r="CS189">
        <v>0.12230000000000001</v>
      </c>
    </row>
    <row r="190" spans="69:97" x14ac:dyDescent="0.25">
      <c r="BQ190"/>
      <c r="BR190"/>
      <c r="BS190"/>
      <c r="BT190"/>
      <c r="BU190"/>
      <c r="BV190"/>
      <c r="BX190" s="19"/>
      <c r="BY190" s="19"/>
      <c r="BZ190" s="19"/>
      <c r="CA190" s="19"/>
      <c r="CB190" s="19"/>
      <c r="CC190" s="19"/>
      <c r="CK190" t="s">
        <v>5368</v>
      </c>
      <c r="CL190">
        <v>0.32</v>
      </c>
      <c r="CM190">
        <v>2.1</v>
      </c>
      <c r="CN190">
        <v>1500</v>
      </c>
      <c r="CO190">
        <v>0.85540000000000005</v>
      </c>
      <c r="CP190">
        <v>0.1177</v>
      </c>
      <c r="CQ190">
        <v>0</v>
      </c>
      <c r="CR190">
        <v>2.8999999999999998E-3</v>
      </c>
      <c r="CS190">
        <v>0.12740000000000001</v>
      </c>
    </row>
    <row r="191" spans="69:97" x14ac:dyDescent="0.25">
      <c r="BQ191"/>
      <c r="BR191"/>
      <c r="BS191"/>
      <c r="BT191"/>
      <c r="BU191"/>
      <c r="BV191"/>
      <c r="BX191" s="19"/>
      <c r="BY191" s="19"/>
      <c r="BZ191" s="19"/>
      <c r="CA191" s="19"/>
      <c r="CB191" s="19"/>
      <c r="CC191" s="19"/>
      <c r="CK191" t="s">
        <v>5383</v>
      </c>
      <c r="CL191">
        <v>0.17</v>
      </c>
      <c r="CM191">
        <v>1.4</v>
      </c>
      <c r="CN191">
        <v>2500</v>
      </c>
      <c r="CO191">
        <v>0.80910000000000004</v>
      </c>
      <c r="CP191">
        <v>0.1109</v>
      </c>
      <c r="CQ191">
        <v>0</v>
      </c>
      <c r="CR191">
        <v>1.4E-3</v>
      </c>
      <c r="CS191">
        <v>0.12670000000000001</v>
      </c>
    </row>
    <row r="192" spans="69:97" x14ac:dyDescent="0.25">
      <c r="BQ192"/>
      <c r="BR192"/>
      <c r="BS192"/>
      <c r="BT192"/>
      <c r="BU192"/>
      <c r="BV192"/>
      <c r="BX192" s="19"/>
      <c r="BY192" s="19"/>
      <c r="BZ192" s="19"/>
      <c r="CA192" s="19"/>
      <c r="CB192" s="19"/>
      <c r="CC192" s="19"/>
      <c r="CK192" t="s">
        <v>5445</v>
      </c>
      <c r="CL192">
        <v>0.27</v>
      </c>
      <c r="CM192">
        <v>1.4</v>
      </c>
      <c r="CN192">
        <v>2000</v>
      </c>
      <c r="CO192">
        <v>0.69269999999999998</v>
      </c>
      <c r="CP192">
        <v>7.0300000000000001E-2</v>
      </c>
      <c r="CQ192">
        <v>0</v>
      </c>
      <c r="CR192">
        <v>1.1999999999999999E-3</v>
      </c>
      <c r="CS192">
        <v>0.12230000000000001</v>
      </c>
    </row>
    <row r="193" spans="69:97" x14ac:dyDescent="0.25">
      <c r="BQ193"/>
      <c r="BR193"/>
      <c r="BS193"/>
      <c r="BT193"/>
      <c r="BU193"/>
      <c r="BV193"/>
      <c r="BX193" s="19"/>
      <c r="BY193" s="19"/>
      <c r="BZ193" s="19"/>
      <c r="CA193" s="19"/>
      <c r="CB193" s="19"/>
      <c r="CC193" s="19"/>
      <c r="CK193" t="s">
        <v>5455</v>
      </c>
      <c r="CL193">
        <v>0.59</v>
      </c>
      <c r="CM193">
        <v>1.3</v>
      </c>
      <c r="CN193">
        <v>1500</v>
      </c>
      <c r="CO193">
        <v>0.71940000000000004</v>
      </c>
      <c r="CP193">
        <v>0.11020000000000001</v>
      </c>
      <c r="CQ193">
        <v>0</v>
      </c>
      <c r="CR193">
        <v>3.0000000000000001E-3</v>
      </c>
      <c r="CS193">
        <v>0.12130000000000001</v>
      </c>
    </row>
    <row r="194" spans="69:97" x14ac:dyDescent="0.25">
      <c r="BQ194"/>
      <c r="BR194"/>
      <c r="BS194"/>
      <c r="BT194"/>
      <c r="BU194"/>
      <c r="BV194"/>
      <c r="BX194" s="19"/>
      <c r="BY194" s="19"/>
      <c r="BZ194" s="19"/>
      <c r="CA194" s="19"/>
      <c r="CB194" s="19"/>
      <c r="CC194" s="19"/>
      <c r="CK194" t="s">
        <v>5356</v>
      </c>
      <c r="CL194">
        <v>0.18</v>
      </c>
      <c r="CM194">
        <v>1.7</v>
      </c>
      <c r="CN194">
        <v>2000</v>
      </c>
      <c r="CO194">
        <v>0.71940000000000004</v>
      </c>
      <c r="CP194">
        <v>0.11020000000000001</v>
      </c>
      <c r="CQ194">
        <v>0</v>
      </c>
      <c r="CR194">
        <v>3.0000000000000001E-3</v>
      </c>
      <c r="CS194">
        <v>0.12130000000000001</v>
      </c>
    </row>
    <row r="195" spans="69:97" x14ac:dyDescent="0.25">
      <c r="BQ195"/>
      <c r="BR195"/>
      <c r="BS195"/>
      <c r="BT195"/>
      <c r="BU195"/>
      <c r="BV195"/>
      <c r="BX195" s="19"/>
      <c r="BY195" s="19"/>
      <c r="BZ195" s="19"/>
      <c r="CA195" s="19"/>
      <c r="CB195" s="19"/>
      <c r="CC195" s="19"/>
      <c r="CK195" t="s">
        <v>5464</v>
      </c>
      <c r="CL195">
        <v>1.4999999999999999E-2</v>
      </c>
      <c r="CM195">
        <v>1.6</v>
      </c>
      <c r="CN195">
        <v>5000</v>
      </c>
      <c r="CO195">
        <v>0.80910000000000004</v>
      </c>
      <c r="CP195">
        <v>0.1109</v>
      </c>
      <c r="CQ195">
        <v>0</v>
      </c>
      <c r="CR195">
        <v>1.4E-3</v>
      </c>
      <c r="CS195">
        <v>0.12670000000000001</v>
      </c>
    </row>
    <row r="196" spans="69:97" x14ac:dyDescent="0.25">
      <c r="BQ196"/>
      <c r="BR196"/>
      <c r="BS196"/>
      <c r="BT196"/>
      <c r="BU196"/>
      <c r="BV196"/>
      <c r="BX196" s="19"/>
      <c r="BY196" s="19"/>
      <c r="BZ196" s="19"/>
      <c r="CA196" s="19"/>
      <c r="CB196" s="19"/>
      <c r="CC196" s="19"/>
      <c r="CK196" t="s">
        <v>5438</v>
      </c>
      <c r="CL196">
        <v>0.1</v>
      </c>
      <c r="CM196">
        <v>1.3</v>
      </c>
      <c r="CN196">
        <v>1500</v>
      </c>
      <c r="CO196">
        <v>0.85540000000000005</v>
      </c>
      <c r="CP196">
        <v>0.1177</v>
      </c>
      <c r="CQ196">
        <v>0</v>
      </c>
      <c r="CR196">
        <v>2.8999999999999998E-3</v>
      </c>
      <c r="CS196">
        <v>0.12740000000000001</v>
      </c>
    </row>
    <row r="197" spans="69:97" x14ac:dyDescent="0.25">
      <c r="BQ197"/>
      <c r="BR197"/>
      <c r="BS197"/>
      <c r="BT197"/>
      <c r="BU197"/>
      <c r="BV197"/>
      <c r="BX197" s="19"/>
      <c r="BY197" s="19"/>
      <c r="BZ197" s="19"/>
      <c r="CA197" s="19"/>
      <c r="CB197" s="19"/>
      <c r="CC197" s="19"/>
      <c r="CK197" t="s">
        <v>5440</v>
      </c>
      <c r="CL197">
        <v>7.0000000000000001E-3</v>
      </c>
      <c r="CM197">
        <v>2</v>
      </c>
      <c r="CN197">
        <v>12000</v>
      </c>
      <c r="CO197">
        <v>0.83040000000000003</v>
      </c>
      <c r="CP197">
        <v>0.1207</v>
      </c>
      <c r="CQ197">
        <v>2.0999999999999999E-3</v>
      </c>
      <c r="CR197">
        <v>4.7999999999999996E-3</v>
      </c>
      <c r="CS197">
        <v>0.1074</v>
      </c>
    </row>
    <row r="198" spans="69:97" x14ac:dyDescent="0.25">
      <c r="BQ198"/>
      <c r="BR198"/>
      <c r="BS198"/>
      <c r="BT198"/>
      <c r="BU198"/>
      <c r="BV198"/>
      <c r="BX198" s="19"/>
      <c r="BY198" s="19"/>
      <c r="BZ198" s="19"/>
      <c r="CA198" s="19"/>
      <c r="CB198" s="19"/>
      <c r="CC198" s="19"/>
      <c r="CK198" t="s">
        <v>5441</v>
      </c>
      <c r="CL198">
        <v>7.0000000000000001E-3</v>
      </c>
      <c r="CM198">
        <v>2</v>
      </c>
      <c r="CN198">
        <v>12000</v>
      </c>
      <c r="CO198">
        <v>0.86639999999999995</v>
      </c>
      <c r="CP198">
        <v>0.1502</v>
      </c>
      <c r="CQ198">
        <v>3.3E-3</v>
      </c>
      <c r="CR198">
        <v>5.4999999999999997E-3</v>
      </c>
      <c r="CS198">
        <v>0.10979999999999999</v>
      </c>
    </row>
    <row r="199" spans="69:97" x14ac:dyDescent="0.25">
      <c r="BQ199"/>
      <c r="BR199"/>
      <c r="BS199"/>
      <c r="BT199"/>
      <c r="BU199"/>
      <c r="BV199"/>
      <c r="BX199" s="19"/>
      <c r="BY199" s="19"/>
      <c r="BZ199" s="19"/>
      <c r="CA199" s="19"/>
      <c r="CB199" s="19"/>
      <c r="CC199" s="19"/>
      <c r="CK199" t="s">
        <v>5439</v>
      </c>
      <c r="CL199">
        <v>7.0000000000000001E-3</v>
      </c>
      <c r="CM199">
        <v>2</v>
      </c>
      <c r="CN199">
        <v>12000</v>
      </c>
      <c r="CO199">
        <v>0.84689999999999999</v>
      </c>
      <c r="CP199">
        <v>0.1103</v>
      </c>
      <c r="CQ199">
        <v>3.5999999999999999E-3</v>
      </c>
      <c r="CR199">
        <v>4.1999999999999997E-3</v>
      </c>
      <c r="CS199">
        <v>0.1099</v>
      </c>
    </row>
    <row r="200" spans="69:97" x14ac:dyDescent="0.25">
      <c r="BQ200"/>
      <c r="BR200"/>
      <c r="BS200"/>
      <c r="BT200"/>
      <c r="BU200"/>
      <c r="BV200"/>
      <c r="BX200" s="19"/>
      <c r="BY200" s="19"/>
      <c r="BZ200" s="19"/>
      <c r="CA200" s="19"/>
      <c r="CB200" s="19"/>
      <c r="CC200" s="19"/>
      <c r="CK200" t="s">
        <v>5419</v>
      </c>
      <c r="CL200">
        <v>7.0000000000000001E-3</v>
      </c>
      <c r="CM200">
        <v>2</v>
      </c>
      <c r="CN200">
        <v>12000</v>
      </c>
      <c r="CO200">
        <v>0.84930000000000005</v>
      </c>
      <c r="CP200">
        <v>9.6600000000000005E-2</v>
      </c>
      <c r="CQ200">
        <v>5.8999999999999999E-3</v>
      </c>
      <c r="CR200">
        <v>3.8E-3</v>
      </c>
      <c r="CS200">
        <v>0.1062</v>
      </c>
    </row>
    <row r="201" spans="69:97" x14ac:dyDescent="0.25">
      <c r="BQ201"/>
      <c r="BR201"/>
      <c r="BS201"/>
      <c r="BT201"/>
      <c r="BU201"/>
      <c r="BV201"/>
      <c r="BX201" s="19"/>
      <c r="BY201" s="19"/>
      <c r="BZ201" s="19"/>
      <c r="CA201" s="19"/>
      <c r="CB201" s="19"/>
      <c r="CC201" s="19"/>
      <c r="CK201" t="s">
        <v>5413</v>
      </c>
      <c r="CL201">
        <v>0.19</v>
      </c>
      <c r="CM201">
        <v>1.3</v>
      </c>
      <c r="CN201">
        <v>3000</v>
      </c>
      <c r="CO201">
        <v>0.80910000000000004</v>
      </c>
      <c r="CP201">
        <v>0.1109</v>
      </c>
      <c r="CQ201">
        <v>0</v>
      </c>
      <c r="CR201">
        <v>1.4E-3</v>
      </c>
      <c r="CS201">
        <v>0.12670000000000001</v>
      </c>
    </row>
    <row r="202" spans="69:97" x14ac:dyDescent="0.25">
      <c r="BQ202"/>
      <c r="BR202"/>
      <c r="BS202"/>
      <c r="BT202"/>
      <c r="BU202"/>
      <c r="BV202"/>
      <c r="BX202" s="19"/>
      <c r="BY202" s="19"/>
      <c r="BZ202" s="19"/>
      <c r="CA202" s="19"/>
      <c r="CB202" s="19"/>
      <c r="CC202" s="19"/>
      <c r="CK202" t="s">
        <v>5385</v>
      </c>
      <c r="CL202">
        <v>0.06</v>
      </c>
      <c r="CM202">
        <v>2</v>
      </c>
      <c r="CN202">
        <v>3000</v>
      </c>
      <c r="CO202">
        <v>0.72430000000000005</v>
      </c>
      <c r="CP202">
        <v>0.11269999999999999</v>
      </c>
      <c r="CQ202">
        <v>0</v>
      </c>
      <c r="CR202">
        <v>3.3999999999999998E-3</v>
      </c>
      <c r="CS202">
        <v>0.1188</v>
      </c>
    </row>
    <row r="203" spans="69:97" x14ac:dyDescent="0.25">
      <c r="BQ203"/>
      <c r="BR203"/>
      <c r="BS203"/>
      <c r="BT203"/>
      <c r="BU203"/>
      <c r="BV203"/>
      <c r="BX203" s="19"/>
      <c r="BY203" s="19"/>
      <c r="BZ203" s="19"/>
      <c r="CA203" s="19"/>
      <c r="CB203" s="19"/>
      <c r="CC203" s="19"/>
      <c r="CK203" t="s">
        <v>5443</v>
      </c>
      <c r="CL203">
        <v>7.0000000000000001E-3</v>
      </c>
      <c r="CM203">
        <v>2</v>
      </c>
      <c r="CN203">
        <v>3000</v>
      </c>
      <c r="CO203">
        <v>0.72750000000000004</v>
      </c>
      <c r="CP203">
        <v>8.0600000000000005E-2</v>
      </c>
      <c r="CQ203">
        <v>2.5000000000000001E-3</v>
      </c>
      <c r="CR203">
        <v>4.0000000000000001E-3</v>
      </c>
      <c r="CS203">
        <v>8.1199999999999994E-2</v>
      </c>
    </row>
    <row r="204" spans="69:97" x14ac:dyDescent="0.25">
      <c r="BQ204"/>
      <c r="BR204"/>
      <c r="BS204"/>
      <c r="BT204"/>
      <c r="BU204"/>
      <c r="BV204"/>
      <c r="BX204" s="19"/>
      <c r="BY204" s="19"/>
      <c r="BZ204" s="19"/>
      <c r="CA204" s="19"/>
      <c r="CB204" s="19"/>
      <c r="CC204" s="19"/>
      <c r="CK204" t="s">
        <v>15</v>
      </c>
    </row>
    <row r="205" spans="69:97" x14ac:dyDescent="0.25">
      <c r="BQ205"/>
      <c r="BR205"/>
      <c r="BS205"/>
      <c r="BT205"/>
      <c r="BU205"/>
      <c r="BV205"/>
      <c r="BX205" s="19"/>
      <c r="BY205" s="19"/>
      <c r="BZ205" s="19"/>
      <c r="CA205" s="19"/>
      <c r="CB205" s="19"/>
      <c r="CC205" s="19"/>
    </row>
    <row r="206" spans="69:97" x14ac:dyDescent="0.25">
      <c r="BQ206"/>
      <c r="BR206"/>
      <c r="BS206"/>
      <c r="BT206"/>
      <c r="BU206"/>
      <c r="BV206"/>
      <c r="BX206" s="19"/>
      <c r="BY206" s="19"/>
      <c r="BZ206" s="19"/>
      <c r="CA206" s="19"/>
      <c r="CB206" s="19"/>
      <c r="CC206" s="19"/>
    </row>
    <row r="207" spans="69:97" x14ac:dyDescent="0.25">
      <c r="BQ207"/>
      <c r="BR207"/>
      <c r="BS207"/>
      <c r="BT207"/>
      <c r="BU207"/>
      <c r="BV207"/>
      <c r="BX207" s="19"/>
      <c r="BY207" s="19"/>
      <c r="BZ207" s="19"/>
      <c r="CA207" s="19"/>
      <c r="CB207" s="19"/>
      <c r="CC207" s="19"/>
    </row>
    <row r="208" spans="69:97" x14ac:dyDescent="0.25">
      <c r="BQ208"/>
      <c r="BR208"/>
      <c r="BS208"/>
      <c r="BT208"/>
      <c r="BU208"/>
      <c r="BV208"/>
      <c r="BX208" s="19"/>
      <c r="BY208" s="19"/>
      <c r="BZ208" s="19"/>
      <c r="CA208" s="19"/>
      <c r="CB208" s="19"/>
      <c r="CC208" s="19"/>
    </row>
    <row r="209" spans="69:81" x14ac:dyDescent="0.25">
      <c r="BQ209"/>
      <c r="BR209"/>
      <c r="BS209"/>
      <c r="BT209"/>
      <c r="BU209"/>
      <c r="BV209"/>
      <c r="BX209" s="19"/>
      <c r="BY209" s="19"/>
      <c r="BZ209" s="19"/>
      <c r="CA209" s="19"/>
      <c r="CB209" s="19"/>
      <c r="CC209" s="19"/>
    </row>
  </sheetData>
  <phoneticPr fontId="12" type="noConversion"/>
  <dataValidations disablePrompts="1" count="3">
    <dataValidation type="list" allowBlank="1" showInputMessage="1" showErrorMessage="1" sqref="BO126:BO145 Z59:Z118" xr:uid="{CB7CE4E0-688C-4F68-B447-2D9358ACE9BD}">
      <formula1>ASABECategories</formula1>
    </dataValidation>
    <dataValidation type="list" allowBlank="1" showInputMessage="1" showErrorMessage="1" sqref="T59:T118" xr:uid="{E79F8339-5716-4483-83F8-B9DE43EB4DCE}">
      <formula1>$BG$126:$BG$145</formula1>
    </dataValidation>
    <dataValidation type="list" allowBlank="1" showInputMessage="1" showErrorMessage="1" sqref="I24:I31 C4:C10" xr:uid="{B9CF3E81-21A3-435A-969E-C508AE3F1A43}">
      <formula1>"Yes, No"</formula1>
    </dataValidation>
  </dataValidations>
  <pageMargins left="0.7" right="0.7" top="0.75" bottom="0.75" header="0.3" footer="0.3"/>
  <pageSetup orientation="portrait" r:id="rId1"/>
  <ignoredErrors>
    <ignoredError sqref="W5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4711" r:id="rId4" name="Check Box 135">
              <controlPr defaultSize="0" autoFill="0" autoLine="0" autoPict="0">
                <anchor moveWithCells="1">
                  <from>
                    <xdr:col>2</xdr:col>
                    <xdr:colOff>47625</xdr:colOff>
                    <xdr:row>1</xdr:row>
                    <xdr:rowOff>180975</xdr:rowOff>
                  </from>
                  <to>
                    <xdr:col>2</xdr:col>
                    <xdr:colOff>962025</xdr:colOff>
                    <xdr:row>3</xdr:row>
                    <xdr:rowOff>9525</xdr:rowOff>
                  </to>
                </anchor>
              </controlPr>
            </control>
          </mc:Choice>
        </mc:AlternateContent>
        <mc:AlternateContent xmlns:mc="http://schemas.openxmlformats.org/markup-compatibility/2006">
          <mc:Choice Requires="x14">
            <control shapeId="24712" r:id="rId5" name="Check Box 136">
              <controlPr defaultSize="0" autoFill="0" autoLine="0" autoPict="0">
                <anchor moveWithCells="1">
                  <from>
                    <xdr:col>2</xdr:col>
                    <xdr:colOff>47625</xdr:colOff>
                    <xdr:row>2</xdr:row>
                    <xdr:rowOff>190500</xdr:rowOff>
                  </from>
                  <to>
                    <xdr:col>2</xdr:col>
                    <xdr:colOff>962025</xdr:colOff>
                    <xdr:row>4</xdr:row>
                    <xdr:rowOff>19050</xdr:rowOff>
                  </to>
                </anchor>
              </controlPr>
            </control>
          </mc:Choice>
        </mc:AlternateContent>
        <mc:AlternateContent xmlns:mc="http://schemas.openxmlformats.org/markup-compatibility/2006">
          <mc:Choice Requires="x14">
            <control shapeId="24713" r:id="rId6" name="Check Box 137">
              <controlPr defaultSize="0" autoFill="0" autoLine="0" autoPict="0">
                <anchor moveWithCells="1">
                  <from>
                    <xdr:col>2</xdr:col>
                    <xdr:colOff>57150</xdr:colOff>
                    <xdr:row>3</xdr:row>
                    <xdr:rowOff>171450</xdr:rowOff>
                  </from>
                  <to>
                    <xdr:col>2</xdr:col>
                    <xdr:colOff>971550</xdr:colOff>
                    <xdr:row>5</xdr:row>
                    <xdr:rowOff>0</xdr:rowOff>
                  </to>
                </anchor>
              </controlPr>
            </control>
          </mc:Choice>
        </mc:AlternateContent>
        <mc:AlternateContent xmlns:mc="http://schemas.openxmlformats.org/markup-compatibility/2006">
          <mc:Choice Requires="x14">
            <control shapeId="24714" r:id="rId7" name="Check Box 138">
              <controlPr defaultSize="0" autoFill="0" autoLine="0" autoPict="0">
                <anchor moveWithCells="1">
                  <from>
                    <xdr:col>2</xdr:col>
                    <xdr:colOff>57150</xdr:colOff>
                    <xdr:row>4</xdr:row>
                    <xdr:rowOff>171450</xdr:rowOff>
                  </from>
                  <to>
                    <xdr:col>2</xdr:col>
                    <xdr:colOff>971550</xdr:colOff>
                    <xdr:row>6</xdr:row>
                    <xdr:rowOff>0</xdr:rowOff>
                  </to>
                </anchor>
              </controlPr>
            </control>
          </mc:Choice>
        </mc:AlternateContent>
        <mc:AlternateContent xmlns:mc="http://schemas.openxmlformats.org/markup-compatibility/2006">
          <mc:Choice Requires="x14">
            <control shapeId="24715" r:id="rId8" name="Check Box 139">
              <controlPr defaultSize="0" autoFill="0" autoLine="0" autoPict="0">
                <anchor moveWithCells="1">
                  <from>
                    <xdr:col>2</xdr:col>
                    <xdr:colOff>76200</xdr:colOff>
                    <xdr:row>5</xdr:row>
                    <xdr:rowOff>180975</xdr:rowOff>
                  </from>
                  <to>
                    <xdr:col>2</xdr:col>
                    <xdr:colOff>990600</xdr:colOff>
                    <xdr:row>7</xdr:row>
                    <xdr:rowOff>9525</xdr:rowOff>
                  </to>
                </anchor>
              </controlPr>
            </control>
          </mc:Choice>
        </mc:AlternateContent>
        <mc:AlternateContent xmlns:mc="http://schemas.openxmlformats.org/markup-compatibility/2006">
          <mc:Choice Requires="x14">
            <control shapeId="24716" r:id="rId9" name="Check Box 140">
              <controlPr defaultSize="0" autoFill="0" autoLine="0" autoPict="0">
                <anchor moveWithCells="1">
                  <from>
                    <xdr:col>2</xdr:col>
                    <xdr:colOff>28575</xdr:colOff>
                    <xdr:row>6</xdr:row>
                    <xdr:rowOff>171450</xdr:rowOff>
                  </from>
                  <to>
                    <xdr:col>2</xdr:col>
                    <xdr:colOff>942975</xdr:colOff>
                    <xdr:row>8</xdr:row>
                    <xdr:rowOff>0</xdr:rowOff>
                  </to>
                </anchor>
              </controlPr>
            </control>
          </mc:Choice>
        </mc:AlternateContent>
        <mc:AlternateContent xmlns:mc="http://schemas.openxmlformats.org/markup-compatibility/2006">
          <mc:Choice Requires="x14">
            <control shapeId="24717" r:id="rId10" name="Check Box 141">
              <controlPr defaultSize="0" autoFill="0" autoLine="0" autoPict="0">
                <anchor moveWithCells="1">
                  <from>
                    <xdr:col>2</xdr:col>
                    <xdr:colOff>57150</xdr:colOff>
                    <xdr:row>7</xdr:row>
                    <xdr:rowOff>180975</xdr:rowOff>
                  </from>
                  <to>
                    <xdr:col>2</xdr:col>
                    <xdr:colOff>971550</xdr:colOff>
                    <xdr:row>9</xdr:row>
                    <xdr:rowOff>9525</xdr:rowOff>
                  </to>
                </anchor>
              </controlPr>
            </control>
          </mc:Choice>
        </mc:AlternateContent>
        <mc:AlternateContent xmlns:mc="http://schemas.openxmlformats.org/markup-compatibility/2006">
          <mc:Choice Requires="x14">
            <control shapeId="24718" r:id="rId11" name="Check Box 142">
              <controlPr defaultSize="0" autoFill="0" autoLine="0" autoPict="0">
                <anchor moveWithCells="1">
                  <from>
                    <xdr:col>2</xdr:col>
                    <xdr:colOff>66675</xdr:colOff>
                    <xdr:row>9</xdr:row>
                    <xdr:rowOff>0</xdr:rowOff>
                  </from>
                  <to>
                    <xdr:col>2</xdr:col>
                    <xdr:colOff>981075</xdr:colOff>
                    <xdr:row>10</xdr:row>
                    <xdr:rowOff>19050</xdr:rowOff>
                  </to>
                </anchor>
              </controlPr>
            </control>
          </mc:Choice>
        </mc:AlternateContent>
      </controls>
    </mc:Choice>
  </mc:AlternateContent>
  <tableParts count="3">
    <tablePart r:id="rId12"/>
    <tablePart r:id="rId13"/>
    <tablePart r:id="rId14"/>
  </tableParts>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A82998EC-8264-4AEB-B527-4F91CD123560}">
          <x14:formula1>
            <xm:f>'Data tables'!$W$47:$W$48</xm:f>
          </x14:formula1>
          <xm:sqref>N25:N31</xm:sqref>
        </x14:dataValidation>
        <x14:dataValidation type="list" allowBlank="1" showInputMessage="1" showErrorMessage="1" xr:uid="{1227B090-C1D7-4296-AB18-3B754EBCA373}">
          <x14:formula1>
            <xm:f>'Data tables'!#REF!</xm:f>
          </x14:formula1>
          <xm:sqref>M25:M31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3064-3EF0-470F-B288-148A610322EE}">
  <sheetPr codeName="Sheet12"/>
  <dimension ref="B1:O29"/>
  <sheetViews>
    <sheetView workbookViewId="0"/>
  </sheetViews>
  <sheetFormatPr defaultColWidth="8.85546875" defaultRowHeight="15" x14ac:dyDescent="0.25"/>
  <cols>
    <col min="3" max="3" width="17.42578125" bestFit="1" customWidth="1"/>
    <col min="4" max="4" width="11.42578125" customWidth="1"/>
    <col min="5" max="5" width="18.7109375" bestFit="1" customWidth="1"/>
    <col min="6" max="8" width="12" customWidth="1"/>
    <col min="11" max="11" width="9.140625" style="8"/>
    <col min="13" max="13" width="9.140625" style="8"/>
    <col min="14" max="14" width="11.28515625" bestFit="1" customWidth="1"/>
  </cols>
  <sheetData>
    <row r="1" spans="2:15" x14ac:dyDescent="0.25">
      <c r="B1" t="s">
        <v>5602</v>
      </c>
    </row>
    <row r="3" spans="2:15" x14ac:dyDescent="0.25">
      <c r="B3" t="s">
        <v>5286</v>
      </c>
      <c r="C3" t="s">
        <v>5290</v>
      </c>
      <c r="D3" t="s">
        <v>5305</v>
      </c>
      <c r="E3" t="s">
        <v>5298</v>
      </c>
      <c r="F3" t="s">
        <v>5297</v>
      </c>
      <c r="G3" t="s">
        <v>5330</v>
      </c>
      <c r="H3" t="s">
        <v>5331</v>
      </c>
      <c r="I3" t="s">
        <v>5300</v>
      </c>
      <c r="J3" t="s">
        <v>5302</v>
      </c>
      <c r="K3" s="8" t="s">
        <v>5299</v>
      </c>
      <c r="L3" t="s">
        <v>5301</v>
      </c>
      <c r="M3" s="8" t="s">
        <v>5329</v>
      </c>
      <c r="N3" t="s">
        <v>5320</v>
      </c>
      <c r="O3" s="8" t="s">
        <v>5337</v>
      </c>
    </row>
    <row r="4" spans="2:15" x14ac:dyDescent="0.25">
      <c r="B4" t="s">
        <v>5322</v>
      </c>
      <c r="C4" t="s">
        <v>5287</v>
      </c>
      <c r="D4">
        <v>1</v>
      </c>
      <c r="E4" t="s">
        <v>74</v>
      </c>
      <c r="F4" t="s">
        <v>5308</v>
      </c>
      <c r="H4" t="s">
        <v>5332</v>
      </c>
      <c r="I4">
        <v>2</v>
      </c>
      <c r="J4" t="s">
        <v>5309</v>
      </c>
      <c r="K4" s="8">
        <v>4</v>
      </c>
      <c r="L4" t="s">
        <v>5310</v>
      </c>
      <c r="M4" s="8">
        <f t="shared" ref="M4:M7" si="0">K4*I4*IF(OR(D4=3,D4=2),-1,1)</f>
        <v>8</v>
      </c>
      <c r="N4" t="s">
        <v>5321</v>
      </c>
    </row>
    <row r="5" spans="2:15" x14ac:dyDescent="0.25">
      <c r="B5" t="s">
        <v>5322</v>
      </c>
      <c r="C5" t="s">
        <v>5287</v>
      </c>
      <c r="D5">
        <v>1</v>
      </c>
      <c r="E5" t="s">
        <v>5288</v>
      </c>
      <c r="F5" t="s">
        <v>5311</v>
      </c>
      <c r="H5" t="s">
        <v>5332</v>
      </c>
      <c r="I5">
        <v>1</v>
      </c>
      <c r="J5" t="s">
        <v>5312</v>
      </c>
      <c r="K5" s="8">
        <v>6</v>
      </c>
      <c r="L5" t="s">
        <v>5313</v>
      </c>
      <c r="M5" s="8">
        <f t="shared" si="0"/>
        <v>6</v>
      </c>
      <c r="N5" t="s">
        <v>5321</v>
      </c>
    </row>
    <row r="6" spans="2:15" x14ac:dyDescent="0.25">
      <c r="B6" t="s">
        <v>5322</v>
      </c>
      <c r="C6" t="s">
        <v>5287</v>
      </c>
      <c r="D6">
        <v>1</v>
      </c>
      <c r="E6" t="s">
        <v>5289</v>
      </c>
      <c r="F6" t="s">
        <v>5314</v>
      </c>
      <c r="H6" t="s">
        <v>5332</v>
      </c>
      <c r="I6">
        <v>1</v>
      </c>
      <c r="J6" t="s">
        <v>5312</v>
      </c>
      <c r="K6" s="8">
        <v>35</v>
      </c>
      <c r="L6" t="s">
        <v>5315</v>
      </c>
      <c r="M6" s="8">
        <f t="shared" si="0"/>
        <v>35</v>
      </c>
      <c r="N6" t="s">
        <v>5321</v>
      </c>
    </row>
    <row r="7" spans="2:15" x14ac:dyDescent="0.25">
      <c r="B7" t="s">
        <v>5322</v>
      </c>
      <c r="C7" t="s">
        <v>5291</v>
      </c>
      <c r="D7">
        <v>2</v>
      </c>
      <c r="E7" t="s">
        <v>75</v>
      </c>
      <c r="F7" t="s">
        <v>5308</v>
      </c>
      <c r="H7" t="s">
        <v>5332</v>
      </c>
      <c r="I7">
        <v>0</v>
      </c>
      <c r="J7" t="s">
        <v>5309</v>
      </c>
      <c r="K7" s="8">
        <v>4</v>
      </c>
      <c r="L7" t="s">
        <v>5316</v>
      </c>
      <c r="M7" s="8">
        <f t="shared" si="0"/>
        <v>0</v>
      </c>
      <c r="N7" t="s">
        <v>5321</v>
      </c>
    </row>
    <row r="8" spans="2:15" x14ac:dyDescent="0.25">
      <c r="B8" t="s">
        <v>5322</v>
      </c>
      <c r="C8" t="s">
        <v>5292</v>
      </c>
      <c r="D8">
        <v>3</v>
      </c>
      <c r="E8" t="s">
        <v>5255</v>
      </c>
      <c r="F8" t="s">
        <v>5294</v>
      </c>
      <c r="H8" t="s">
        <v>5332</v>
      </c>
      <c r="I8">
        <v>12</v>
      </c>
      <c r="J8" t="s">
        <v>5303</v>
      </c>
      <c r="K8" s="8">
        <v>0.75</v>
      </c>
      <c r="L8" t="s">
        <v>5304</v>
      </c>
      <c r="M8" s="8">
        <f>K8*I8*IF(OR(D8=3,D8=2),-1,1)</f>
        <v>-9</v>
      </c>
      <c r="N8" t="s">
        <v>5321</v>
      </c>
    </row>
    <row r="9" spans="2:15" x14ac:dyDescent="0.25">
      <c r="B9" t="s">
        <v>5322</v>
      </c>
      <c r="C9" t="s">
        <v>5292</v>
      </c>
      <c r="D9">
        <v>3</v>
      </c>
      <c r="E9" t="s">
        <v>5255</v>
      </c>
      <c r="F9" t="s">
        <v>5295</v>
      </c>
      <c r="H9" t="s">
        <v>5332</v>
      </c>
      <c r="I9">
        <v>2</v>
      </c>
      <c r="J9" t="s">
        <v>5303</v>
      </c>
      <c r="K9" s="8">
        <v>1</v>
      </c>
      <c r="L9" t="s">
        <v>5304</v>
      </c>
      <c r="M9" s="8">
        <f>K9*I9*IF(OR(D9=3,D9=2),-1,1)</f>
        <v>-2</v>
      </c>
      <c r="N9" t="s">
        <v>5321</v>
      </c>
    </row>
    <row r="10" spans="2:15" x14ac:dyDescent="0.25">
      <c r="B10" t="s">
        <v>5322</v>
      </c>
      <c r="C10" t="s">
        <v>5292</v>
      </c>
      <c r="D10">
        <v>3</v>
      </c>
      <c r="E10" t="s">
        <v>5255</v>
      </c>
      <c r="F10" t="s">
        <v>30</v>
      </c>
      <c r="G10" t="s">
        <v>5324</v>
      </c>
      <c r="H10" t="s">
        <v>5332</v>
      </c>
      <c r="I10">
        <v>1</v>
      </c>
      <c r="J10" t="s">
        <v>5306</v>
      </c>
      <c r="K10" s="8">
        <v>2.4700000000000002</v>
      </c>
      <c r="M10" s="8">
        <f t="shared" ref="M10:M12" si="1">K10*I10*IF(OR(D10=3,D10=2),-1,1)</f>
        <v>-2.4700000000000002</v>
      </c>
      <c r="N10" t="s">
        <v>5321</v>
      </c>
      <c r="O10" t="s">
        <v>5340</v>
      </c>
    </row>
    <row r="11" spans="2:15" x14ac:dyDescent="0.25">
      <c r="B11" t="s">
        <v>5322</v>
      </c>
      <c r="C11" t="s">
        <v>5292</v>
      </c>
      <c r="D11">
        <v>3</v>
      </c>
      <c r="E11" t="s">
        <v>5255</v>
      </c>
      <c r="F11" t="s">
        <v>30</v>
      </c>
      <c r="G11" t="s">
        <v>5325</v>
      </c>
      <c r="H11" t="s">
        <v>5332</v>
      </c>
      <c r="I11">
        <v>1</v>
      </c>
      <c r="J11" t="s">
        <v>5306</v>
      </c>
      <c r="K11" s="8">
        <v>4.88</v>
      </c>
      <c r="M11" s="8">
        <f t="shared" si="1"/>
        <v>-4.88</v>
      </c>
      <c r="N11" t="s">
        <v>5321</v>
      </c>
      <c r="O11" t="s">
        <v>5339</v>
      </c>
    </row>
    <row r="12" spans="2:15" x14ac:dyDescent="0.25">
      <c r="B12" t="s">
        <v>5322</v>
      </c>
      <c r="C12" t="s">
        <v>5292</v>
      </c>
      <c r="D12">
        <v>3</v>
      </c>
      <c r="E12" t="s">
        <v>5255</v>
      </c>
      <c r="F12" t="s">
        <v>30</v>
      </c>
      <c r="G12" t="s">
        <v>5326</v>
      </c>
      <c r="H12" t="s">
        <v>5333</v>
      </c>
      <c r="I12">
        <v>1</v>
      </c>
      <c r="J12" t="s">
        <v>5306</v>
      </c>
      <c r="K12" s="8">
        <v>14.71</v>
      </c>
      <c r="M12" s="8">
        <f t="shared" si="1"/>
        <v>-14.71</v>
      </c>
      <c r="N12" t="s">
        <v>5321</v>
      </c>
      <c r="O12" t="s">
        <v>5338</v>
      </c>
    </row>
    <row r="13" spans="2:15" x14ac:dyDescent="0.25">
      <c r="B13" t="s">
        <v>5322</v>
      </c>
      <c r="C13" t="s">
        <v>5292</v>
      </c>
      <c r="D13">
        <v>3</v>
      </c>
      <c r="E13" t="s">
        <v>76</v>
      </c>
      <c r="F13" t="s">
        <v>5293</v>
      </c>
      <c r="H13" t="s">
        <v>5332</v>
      </c>
      <c r="I13">
        <v>1</v>
      </c>
      <c r="J13" t="s">
        <v>5312</v>
      </c>
      <c r="K13" s="8">
        <v>5</v>
      </c>
      <c r="L13" t="s">
        <v>5313</v>
      </c>
      <c r="M13" s="8">
        <f>K13*I13*IF(OR(D13=3,D13=2),-1,1)</f>
        <v>-5</v>
      </c>
      <c r="N13" t="s">
        <v>5321</v>
      </c>
    </row>
    <row r="14" spans="2:15" x14ac:dyDescent="0.25">
      <c r="B14" t="s">
        <v>5322</v>
      </c>
      <c r="C14" t="s">
        <v>5292</v>
      </c>
      <c r="D14">
        <v>3</v>
      </c>
      <c r="E14" t="s">
        <v>76</v>
      </c>
      <c r="F14" t="s">
        <v>5317</v>
      </c>
      <c r="H14" t="s">
        <v>5332</v>
      </c>
      <c r="I14">
        <v>0</v>
      </c>
      <c r="J14" t="s">
        <v>5312</v>
      </c>
      <c r="K14" s="8">
        <v>15</v>
      </c>
      <c r="L14" t="s">
        <v>5313</v>
      </c>
      <c r="M14" s="8">
        <f t="shared" ref="M14:M19" si="2">K14*I14*IF(OR(D14=3,D14=2),-1,1)</f>
        <v>0</v>
      </c>
      <c r="N14" t="s">
        <v>5321</v>
      </c>
    </row>
    <row r="15" spans="2:15" x14ac:dyDescent="0.25">
      <c r="B15" t="s">
        <v>5322</v>
      </c>
      <c r="C15" t="s">
        <v>5296</v>
      </c>
      <c r="D15">
        <v>4</v>
      </c>
      <c r="E15" t="s">
        <v>5336</v>
      </c>
      <c r="F15" t="s">
        <v>5334</v>
      </c>
      <c r="G15" t="s">
        <v>5324</v>
      </c>
      <c r="H15" t="s">
        <v>5332</v>
      </c>
      <c r="I15">
        <v>0.1</v>
      </c>
      <c r="J15" t="s">
        <v>5318</v>
      </c>
      <c r="K15" s="8">
        <v>12</v>
      </c>
      <c r="L15" t="s">
        <v>5319</v>
      </c>
      <c r="M15" s="8">
        <f>K15*I15*IF(OR(D15=3,D15=2),-1,1)</f>
        <v>1.2000000000000002</v>
      </c>
      <c r="N15" t="s">
        <v>5321</v>
      </c>
    </row>
    <row r="16" spans="2:15" x14ac:dyDescent="0.25">
      <c r="B16" t="s">
        <v>5322</v>
      </c>
      <c r="C16" t="s">
        <v>5296</v>
      </c>
      <c r="D16">
        <v>4</v>
      </c>
      <c r="E16" t="s">
        <v>5336</v>
      </c>
      <c r="F16" t="s">
        <v>5334</v>
      </c>
      <c r="G16" t="s">
        <v>5325</v>
      </c>
      <c r="H16" t="s">
        <v>5332</v>
      </c>
      <c r="I16">
        <v>0.1</v>
      </c>
      <c r="J16" t="s">
        <v>5318</v>
      </c>
      <c r="K16" s="8">
        <v>13</v>
      </c>
      <c r="L16" t="s">
        <v>5319</v>
      </c>
      <c r="M16" s="8">
        <f t="shared" si="2"/>
        <v>1.3</v>
      </c>
      <c r="N16" t="s">
        <v>5321</v>
      </c>
    </row>
    <row r="17" spans="2:14" x14ac:dyDescent="0.25">
      <c r="B17" t="s">
        <v>5322</v>
      </c>
      <c r="C17" t="s">
        <v>5296</v>
      </c>
      <c r="D17">
        <v>4</v>
      </c>
      <c r="E17" t="s">
        <v>5336</v>
      </c>
      <c r="F17" t="s">
        <v>5334</v>
      </c>
      <c r="G17" t="s">
        <v>5326</v>
      </c>
      <c r="H17" t="s">
        <v>5333</v>
      </c>
      <c r="I17">
        <v>0.1</v>
      </c>
      <c r="J17" t="s">
        <v>5318</v>
      </c>
      <c r="K17" s="8">
        <v>25</v>
      </c>
      <c r="L17" t="s">
        <v>5319</v>
      </c>
      <c r="M17" s="8">
        <f t="shared" si="2"/>
        <v>2.5</v>
      </c>
      <c r="N17" t="s">
        <v>5321</v>
      </c>
    </row>
    <row r="18" spans="2:14" x14ac:dyDescent="0.25">
      <c r="B18" t="s">
        <v>5323</v>
      </c>
      <c r="C18" t="s">
        <v>5287</v>
      </c>
      <c r="D18">
        <v>1</v>
      </c>
      <c r="E18" t="s">
        <v>74</v>
      </c>
      <c r="F18" t="s">
        <v>5308</v>
      </c>
      <c r="H18" t="s">
        <v>5332</v>
      </c>
      <c r="I18">
        <v>3</v>
      </c>
      <c r="J18" t="s">
        <v>5309</v>
      </c>
      <c r="K18" s="8">
        <v>4</v>
      </c>
      <c r="L18" t="s">
        <v>5310</v>
      </c>
      <c r="M18" s="8">
        <f t="shared" si="2"/>
        <v>12</v>
      </c>
      <c r="N18" t="s">
        <v>5321</v>
      </c>
    </row>
    <row r="19" spans="2:14" x14ac:dyDescent="0.25">
      <c r="B19" t="s">
        <v>5323</v>
      </c>
      <c r="C19" t="s">
        <v>5287</v>
      </c>
      <c r="D19">
        <v>1</v>
      </c>
      <c r="E19" t="s">
        <v>5288</v>
      </c>
      <c r="F19" t="s">
        <v>5311</v>
      </c>
      <c r="H19" t="s">
        <v>5332</v>
      </c>
      <c r="I19">
        <v>0</v>
      </c>
      <c r="J19" t="s">
        <v>5312</v>
      </c>
      <c r="K19" s="8">
        <v>6</v>
      </c>
      <c r="L19" t="s">
        <v>5313</v>
      </c>
      <c r="M19" s="8">
        <f t="shared" si="2"/>
        <v>0</v>
      </c>
      <c r="N19" t="s">
        <v>5321</v>
      </c>
    </row>
    <row r="20" spans="2:14" x14ac:dyDescent="0.25">
      <c r="B20" t="s">
        <v>5323</v>
      </c>
      <c r="C20" t="s">
        <v>5287</v>
      </c>
      <c r="D20">
        <v>1</v>
      </c>
      <c r="E20" t="s">
        <v>5289</v>
      </c>
      <c r="F20" t="s">
        <v>5314</v>
      </c>
      <c r="H20" t="s">
        <v>5332</v>
      </c>
      <c r="I20">
        <v>1</v>
      </c>
      <c r="J20" t="s">
        <v>5312</v>
      </c>
      <c r="K20" s="8">
        <v>26</v>
      </c>
      <c r="L20" t="s">
        <v>5315</v>
      </c>
      <c r="M20" s="8">
        <f>K20*I20*IF(OR(D20=3,D20=2),-1,1)</f>
        <v>26</v>
      </c>
      <c r="N20" t="s">
        <v>5321</v>
      </c>
    </row>
    <row r="21" spans="2:14" x14ac:dyDescent="0.25">
      <c r="B21" t="s">
        <v>5323</v>
      </c>
      <c r="C21" t="s">
        <v>5291</v>
      </c>
      <c r="D21">
        <v>2</v>
      </c>
      <c r="E21" t="s">
        <v>75</v>
      </c>
      <c r="F21" t="s">
        <v>5308</v>
      </c>
      <c r="H21" t="s">
        <v>5332</v>
      </c>
      <c r="I21">
        <v>0</v>
      </c>
      <c r="J21" t="s">
        <v>5309</v>
      </c>
      <c r="K21" s="8">
        <v>4</v>
      </c>
      <c r="L21" t="s">
        <v>5316</v>
      </c>
      <c r="M21" s="8">
        <f>K21*I21*IF(OR(D21=3,D21=2),-1,1)</f>
        <v>0</v>
      </c>
      <c r="N21" t="s">
        <v>5321</v>
      </c>
    </row>
    <row r="22" spans="2:14" x14ac:dyDescent="0.25">
      <c r="B22" t="s">
        <v>5323</v>
      </c>
      <c r="C22" t="s">
        <v>5292</v>
      </c>
      <c r="D22">
        <v>3</v>
      </c>
      <c r="E22" t="s">
        <v>5255</v>
      </c>
      <c r="F22" t="s">
        <v>5294</v>
      </c>
      <c r="H22" t="s">
        <v>5332</v>
      </c>
      <c r="I22">
        <v>18</v>
      </c>
      <c r="J22" t="s">
        <v>5303</v>
      </c>
      <c r="K22" s="8">
        <v>0.75</v>
      </c>
      <c r="L22" t="s">
        <v>5304</v>
      </c>
      <c r="M22" s="8">
        <f>K22*I22*IF(OR(D22=3,D22=2),-1,1)</f>
        <v>-13.5</v>
      </c>
      <c r="N22" t="s">
        <v>5321</v>
      </c>
    </row>
    <row r="23" spans="2:14" x14ac:dyDescent="0.25">
      <c r="B23" t="s">
        <v>5323</v>
      </c>
      <c r="C23" t="s">
        <v>5292</v>
      </c>
      <c r="D23">
        <v>3</v>
      </c>
      <c r="E23" t="s">
        <v>5255</v>
      </c>
      <c r="F23" t="s">
        <v>5295</v>
      </c>
      <c r="H23" t="s">
        <v>5332</v>
      </c>
      <c r="I23">
        <v>0</v>
      </c>
      <c r="J23" t="s">
        <v>5303</v>
      </c>
      <c r="K23" s="8">
        <v>1</v>
      </c>
      <c r="L23" t="s">
        <v>5304</v>
      </c>
      <c r="M23" s="8">
        <f>K23*I23*IF(OR(D23=3,D23=2),-1,1)</f>
        <v>0</v>
      </c>
      <c r="N23" t="s">
        <v>5321</v>
      </c>
    </row>
    <row r="24" spans="2:14" x14ac:dyDescent="0.25">
      <c r="B24" t="s">
        <v>5323</v>
      </c>
      <c r="C24" t="s">
        <v>5292</v>
      </c>
      <c r="D24">
        <v>3</v>
      </c>
      <c r="E24" t="s">
        <v>5255</v>
      </c>
      <c r="F24" t="s">
        <v>5327</v>
      </c>
      <c r="H24" t="s">
        <v>5332</v>
      </c>
      <c r="I24">
        <v>1</v>
      </c>
      <c r="J24" t="s">
        <v>5306</v>
      </c>
      <c r="K24" s="8">
        <v>26</v>
      </c>
      <c r="L24" t="s">
        <v>5307</v>
      </c>
      <c r="M24" s="8">
        <f t="shared" ref="M24:M26" si="3">K24*I24*IF(OR(D24=3,D24=2),-1,1)</f>
        <v>-26</v>
      </c>
      <c r="N24" t="s">
        <v>5321</v>
      </c>
    </row>
    <row r="25" spans="2:14" x14ac:dyDescent="0.25">
      <c r="B25" t="s">
        <v>5323</v>
      </c>
      <c r="C25" t="s">
        <v>5292</v>
      </c>
      <c r="D25">
        <v>3</v>
      </c>
      <c r="E25" t="s">
        <v>76</v>
      </c>
      <c r="F25" t="s">
        <v>5293</v>
      </c>
      <c r="H25" t="s">
        <v>5332</v>
      </c>
      <c r="I25">
        <v>0.5</v>
      </c>
      <c r="J25" t="s">
        <v>5312</v>
      </c>
      <c r="K25" s="8">
        <v>5</v>
      </c>
      <c r="L25" t="s">
        <v>5313</v>
      </c>
      <c r="M25" s="8">
        <f t="shared" si="3"/>
        <v>-2.5</v>
      </c>
      <c r="N25" t="s">
        <v>5321</v>
      </c>
    </row>
    <row r="26" spans="2:14" x14ac:dyDescent="0.25">
      <c r="B26" t="s">
        <v>5323</v>
      </c>
      <c r="C26" t="s">
        <v>5292</v>
      </c>
      <c r="D26">
        <v>3</v>
      </c>
      <c r="E26" t="s">
        <v>76</v>
      </c>
      <c r="F26" t="s">
        <v>5317</v>
      </c>
      <c r="H26" t="s">
        <v>5332</v>
      </c>
      <c r="I26">
        <v>0</v>
      </c>
      <c r="J26" t="s">
        <v>5312</v>
      </c>
      <c r="K26" s="8">
        <v>15</v>
      </c>
      <c r="L26" t="s">
        <v>5313</v>
      </c>
      <c r="M26" s="8">
        <f t="shared" si="3"/>
        <v>0</v>
      </c>
      <c r="N26" t="s">
        <v>5321</v>
      </c>
    </row>
    <row r="27" spans="2:14" x14ac:dyDescent="0.25">
      <c r="B27" t="s">
        <v>5323</v>
      </c>
      <c r="C27" t="s">
        <v>5296</v>
      </c>
      <c r="D27">
        <v>4</v>
      </c>
      <c r="E27" t="s">
        <v>5336</v>
      </c>
      <c r="F27" t="s">
        <v>5334</v>
      </c>
      <c r="G27" t="s">
        <v>5324</v>
      </c>
      <c r="H27" t="s">
        <v>5332</v>
      </c>
      <c r="I27">
        <v>0.1</v>
      </c>
      <c r="J27" t="s">
        <v>5318</v>
      </c>
      <c r="K27" s="8">
        <v>12</v>
      </c>
      <c r="L27" t="s">
        <v>5319</v>
      </c>
      <c r="M27" s="8">
        <f>K27*I27*IF(OR(D27=3,D27=2),-1,1)</f>
        <v>1.2000000000000002</v>
      </c>
      <c r="N27" t="s">
        <v>5321</v>
      </c>
    </row>
    <row r="28" spans="2:14" x14ac:dyDescent="0.25">
      <c r="B28" t="s">
        <v>5323</v>
      </c>
      <c r="C28" t="s">
        <v>5296</v>
      </c>
      <c r="D28">
        <v>4</v>
      </c>
      <c r="E28" t="s">
        <v>5336</v>
      </c>
      <c r="F28" t="s">
        <v>5334</v>
      </c>
      <c r="G28" t="s">
        <v>5325</v>
      </c>
      <c r="H28" t="s">
        <v>5332</v>
      </c>
      <c r="I28">
        <v>0.1</v>
      </c>
      <c r="J28" t="s">
        <v>5318</v>
      </c>
      <c r="K28" s="8">
        <v>13</v>
      </c>
      <c r="L28" t="s">
        <v>5319</v>
      </c>
      <c r="M28" s="8">
        <f t="shared" ref="M28:M29" si="4">K28*I28*IF(OR(D28=3,D28=2),-1,1)</f>
        <v>1.3</v>
      </c>
      <c r="N28" t="s">
        <v>5321</v>
      </c>
    </row>
    <row r="29" spans="2:14" x14ac:dyDescent="0.25">
      <c r="B29" t="s">
        <v>5323</v>
      </c>
      <c r="C29" t="s">
        <v>5296</v>
      </c>
      <c r="D29">
        <v>4</v>
      </c>
      <c r="E29" t="s">
        <v>5336</v>
      </c>
      <c r="F29" t="s">
        <v>5334</v>
      </c>
      <c r="G29" t="s">
        <v>5326</v>
      </c>
      <c r="H29" t="s">
        <v>5333</v>
      </c>
      <c r="I29">
        <v>0.1</v>
      </c>
      <c r="J29" t="s">
        <v>5318</v>
      </c>
      <c r="K29" s="8">
        <v>25</v>
      </c>
      <c r="L29" t="s">
        <v>5319</v>
      </c>
      <c r="M29" s="8">
        <f t="shared" si="4"/>
        <v>2.5</v>
      </c>
      <c r="N29" t="s">
        <v>5321</v>
      </c>
    </row>
  </sheetData>
  <phoneticPr fontId="1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E477-A9D3-4F23-B54B-685540A36A7B}">
  <sheetPr codeName="Sheet11"/>
  <dimension ref="A5:D12"/>
  <sheetViews>
    <sheetView workbookViewId="0">
      <selection activeCell="B10" sqref="B10"/>
    </sheetView>
  </sheetViews>
  <sheetFormatPr defaultColWidth="8.85546875" defaultRowHeight="15" x14ac:dyDescent="0.25"/>
  <cols>
    <col min="1" max="1" width="22.42578125" bestFit="1" customWidth="1"/>
    <col min="2" max="2" width="6.42578125" bestFit="1" customWidth="1"/>
    <col min="3" max="3" width="9.28515625" bestFit="1" customWidth="1"/>
    <col min="4" max="4" width="11.28515625" bestFit="1" customWidth="1"/>
    <col min="5" max="5" width="21.42578125" bestFit="1" customWidth="1"/>
    <col min="6" max="6" width="22.42578125" bestFit="1" customWidth="1"/>
    <col min="7" max="7" width="26.42578125" bestFit="1" customWidth="1"/>
    <col min="8" max="8" width="6.42578125" bestFit="1" customWidth="1"/>
    <col min="9" max="9" width="10.85546875" bestFit="1" customWidth="1"/>
    <col min="11" max="11" width="6.28515625" bestFit="1" customWidth="1"/>
    <col min="12" max="12" width="10.85546875" bestFit="1" customWidth="1"/>
    <col min="13" max="13" width="6.85546875" bestFit="1" customWidth="1"/>
    <col min="14" max="14" width="6.28515625" bestFit="1" customWidth="1"/>
    <col min="15" max="15" width="10.85546875" bestFit="1" customWidth="1"/>
    <col min="16" max="16" width="6.85546875" bestFit="1" customWidth="1"/>
    <col min="17" max="17" width="6.28515625" bestFit="1" customWidth="1"/>
    <col min="18" max="18" width="10.85546875" bestFit="1" customWidth="1"/>
    <col min="19" max="19" width="6.85546875" bestFit="1" customWidth="1"/>
    <col min="20" max="20" width="6.28515625" bestFit="1" customWidth="1"/>
    <col min="21" max="21" width="10.85546875" bestFit="1" customWidth="1"/>
    <col min="22" max="22" width="7.85546875" bestFit="1" customWidth="1"/>
    <col min="23" max="23" width="11.28515625" bestFit="1" customWidth="1"/>
  </cols>
  <sheetData>
    <row r="5" spans="1:4" x14ac:dyDescent="0.25">
      <c r="A5" s="91" t="s">
        <v>5335</v>
      </c>
    </row>
    <row r="6" spans="1:4" x14ac:dyDescent="0.25">
      <c r="B6" t="s">
        <v>5332</v>
      </c>
      <c r="C6" t="s">
        <v>5333</v>
      </c>
      <c r="D6" t="s">
        <v>5328</v>
      </c>
    </row>
    <row r="7" spans="1:4" x14ac:dyDescent="0.25">
      <c r="A7" s="9" t="s">
        <v>5321</v>
      </c>
      <c r="B7" s="92">
        <v>-1.5</v>
      </c>
      <c r="C7" s="92">
        <v>2.5</v>
      </c>
      <c r="D7" s="92">
        <v>1</v>
      </c>
    </row>
    <row r="8" spans="1:4" x14ac:dyDescent="0.25">
      <c r="A8" s="3" t="s">
        <v>5296</v>
      </c>
      <c r="B8" s="92">
        <v>2.5</v>
      </c>
      <c r="C8" s="92">
        <v>2.5</v>
      </c>
      <c r="D8" s="92">
        <v>5</v>
      </c>
    </row>
    <row r="9" spans="1:4" x14ac:dyDescent="0.25">
      <c r="A9" s="4" t="s">
        <v>5336</v>
      </c>
      <c r="B9" s="92">
        <v>2.5</v>
      </c>
      <c r="C9" s="92">
        <v>2.5</v>
      </c>
      <c r="D9" s="92">
        <v>5</v>
      </c>
    </row>
    <row r="10" spans="1:4" x14ac:dyDescent="0.25">
      <c r="A10" s="3" t="s">
        <v>5291</v>
      </c>
      <c r="B10" s="92">
        <v>0</v>
      </c>
      <c r="C10" s="92"/>
      <c r="D10" s="92">
        <v>0</v>
      </c>
    </row>
    <row r="11" spans="1:4" x14ac:dyDescent="0.25">
      <c r="A11" s="3" t="s">
        <v>5292</v>
      </c>
      <c r="B11" s="92">
        <v>-42</v>
      </c>
      <c r="C11" s="92"/>
      <c r="D11" s="92">
        <v>-42</v>
      </c>
    </row>
    <row r="12" spans="1:4" x14ac:dyDescent="0.25">
      <c r="A12" s="3" t="s">
        <v>5287</v>
      </c>
      <c r="B12" s="92">
        <v>38</v>
      </c>
      <c r="C12" s="92"/>
      <c r="D12" s="92">
        <v>38</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30C2C6-7F5D-40D6-ABD8-4D0037360C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Geography</vt:lpstr>
      <vt:lpstr>Data tables</vt:lpstr>
      <vt:lpstr>Introduction</vt:lpstr>
      <vt:lpstr>Species</vt:lpstr>
      <vt:lpstr>Planting</vt:lpstr>
      <vt:lpstr>Model Logic</vt:lpstr>
      <vt:lpstr>Equip Calcs</vt:lpstr>
      <vt:lpstr>Output data</vt:lpstr>
      <vt:lpstr>Partial Budget Output1</vt:lpstr>
      <vt:lpstr>Planting!CCPlant</vt:lpstr>
      <vt:lpstr>CCspecies</vt:lpstr>
      <vt:lpstr>CCTermMethod</vt:lpstr>
      <vt:lpstr>FertMethod</vt:lpstr>
      <vt:lpstr>Herbicides</vt:lpstr>
      <vt:lpstr>home</vt:lpstr>
      <vt:lpstr>Introduction!Print_Area</vt:lpstr>
      <vt:lpstr>SeedList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Massey, Raymond E.</dc:creator>
  <cp:lastModifiedBy>Rick Hitchcock</cp:lastModifiedBy>
  <cp:lastPrinted>2021-07-14T16:28:48Z</cp:lastPrinted>
  <dcterms:created xsi:type="dcterms:W3CDTF">2021-04-12T14:54:13Z</dcterms:created>
  <dcterms:modified xsi:type="dcterms:W3CDTF">2021-08-30T14:06:19Z</dcterms:modified>
</cp:coreProperties>
</file>