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1.xml" ContentType="application/vnd.openxmlformats-officedocument.spreadsheetml.comments+xml"/>
  <Override PartName="/xl/drawings/drawing6.xml" ContentType="application/vnd.openxmlformats-officedocument.drawing+xml"/>
  <Override PartName="/xl/tables/table9.xml" ContentType="application/vnd.openxmlformats-officedocument.spreadsheetml.table+xml"/>
  <Override PartName="/xl/drawings/drawing7.xml" ContentType="application/vnd.openxmlformats-officedocument.drawing+xml"/>
  <Override PartName="/xl/tables/table10.xml" ContentType="application/vnd.openxmlformats-officedocument.spreadsheetml.table+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mailmissouri-my.sharepoint.com/personal/masseyr_umsystem_edu/Documents/CoverCrops/DST - PSA/Modules/Grazing/"/>
    </mc:Choice>
  </mc:AlternateContent>
  <xr:revisionPtr revIDLastSave="531" documentId="6_{AA5DAB14-34C7-4F08-879D-0EB6B64450FA}" xr6:coauthVersionLast="47" xr6:coauthVersionMax="47" xr10:uidLastSave="{29DB2724-DDDF-4DD5-B5A4-87419433DB91}"/>
  <bookViews>
    <workbookView xWindow="-14040" yWindow="-16320" windowWidth="29040" windowHeight="15720" activeTab="7" xr2:uid="{A452BB3E-88A9-42E2-98A0-D77330328905}"/>
  </bookViews>
  <sheets>
    <sheet name="Instructions" sheetId="17" r:id="rId1"/>
    <sheet name="Seeds" sheetId="28" r:id="rId2"/>
    <sheet name="Chemicals" sheetId="33" r:id="rId3"/>
    <sheet name="Fertilizers" sheetId="34" r:id="rId4"/>
    <sheet name="Equipment" sheetId="29" r:id="rId5"/>
    <sheet name="Yield impact" sheetId="36" r:id="rId6"/>
    <sheet name="Grazing" sheetId="23" r:id="rId7"/>
    <sheet name="Financials" sheetId="31" r:id="rId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Chemicals">Chemicals!$B$14</definedName>
    <definedName name="Coefs">Equipment!$CR$254</definedName>
    <definedName name="Crop">'Yield impact'!$B$13</definedName>
    <definedName name="CustomRates">Equipment!$X$51</definedName>
    <definedName name="Fertilizers">Fertilizers!$B$14</definedName>
    <definedName name="Grazing">Grazing!$B$25</definedName>
    <definedName name="Implements">Equipment!$AE$110</definedName>
    <definedName name="Power">Equipment!$BI$179</definedName>
    <definedName name="PowerSel">DBPower[HP &amp; descriptive information]</definedName>
    <definedName name="RF_RV">Equipment!$CD$205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eds">Seeds!$B$15</definedName>
    <definedName name="wrn.all." localSheetId="4" hidden="1">{"detail",#N/A,FALSE,"Trac_Table";"tractable",#N/A,FALSE,"Trac_Table";"sensitivity",#N/A,FALSE,"Trac_Table"}</definedName>
    <definedName name="wrn.all." hidden="1">{"detail",#N/A,FALSE,"Trac_Table";"tractable",#N/A,FALSE,"Trac_Table";"sensitivity",#N/A,FALSE,"Trac_Table"}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7" i="29" l="1"/>
  <c r="D14" i="29"/>
  <c r="P14" i="29" s="1"/>
  <c r="E14" i="29"/>
  <c r="F14" i="29"/>
  <c r="Q14" i="29"/>
  <c r="M14" i="29"/>
  <c r="I14" i="29"/>
  <c r="E19" i="23"/>
  <c r="E20" i="23"/>
  <c r="E18" i="23"/>
  <c r="F16" i="23"/>
  <c r="F10" i="23"/>
  <c r="B16" i="23"/>
  <c r="F9" i="23"/>
  <c r="F15" i="23" s="1"/>
  <c r="R45" i="29" a="1"/>
  <c r="R45" i="29" s="1"/>
  <c r="R44" i="29" a="1"/>
  <c r="R44" i="29" s="1"/>
  <c r="R43" i="29" a="1"/>
  <c r="R43" i="29" s="1"/>
  <c r="R42" i="29" a="1"/>
  <c r="R42" i="29" s="1"/>
  <c r="R41" i="29" a="1"/>
  <c r="R41" i="29" s="1"/>
  <c r="N45" i="29" a="1"/>
  <c r="N45" i="29" s="1"/>
  <c r="N44" i="29" a="1"/>
  <c r="N44" i="29" s="1"/>
  <c r="N43" i="29" a="1"/>
  <c r="N43" i="29" s="1"/>
  <c r="N42" i="29" a="1"/>
  <c r="N42" i="29" s="1"/>
  <c r="N41" i="29" a="1"/>
  <c r="N41" i="29" s="1"/>
  <c r="J45" i="29" a="1"/>
  <c r="J45" i="29" s="1"/>
  <c r="J44" i="29" a="1"/>
  <c r="J44" i="29" s="1"/>
  <c r="J43" i="29" a="1"/>
  <c r="J43" i="29" s="1"/>
  <c r="J42" i="29" a="1"/>
  <c r="J42" i="29" s="1"/>
  <c r="J41" i="29" a="1"/>
  <c r="J41" i="29" s="1"/>
  <c r="R25" i="29" a="1"/>
  <c r="R25" i="29" s="1"/>
  <c r="R24" i="29" a="1"/>
  <c r="R24" i="29" s="1"/>
  <c r="R23" i="29" a="1"/>
  <c r="R23" i="29" s="1"/>
  <c r="R22" i="29" a="1"/>
  <c r="R22" i="29" s="1"/>
  <c r="N25" i="29" a="1"/>
  <c r="N25" i="29" s="1"/>
  <c r="N24" i="29" a="1"/>
  <c r="N24" i="29" s="1"/>
  <c r="N23" i="29" a="1"/>
  <c r="N23" i="29" s="1"/>
  <c r="N22" i="29" a="1"/>
  <c r="N22" i="29" s="1"/>
  <c r="J22" i="29" a="1"/>
  <c r="J22" i="29" s="1"/>
  <c r="J23" i="29" a="1"/>
  <c r="J23" i="29" s="1"/>
  <c r="J24" i="29" a="1"/>
  <c r="J24" i="29" s="1"/>
  <c r="J25" i="29" a="1"/>
  <c r="J25" i="29" s="1"/>
  <c r="H14" i="29" l="1"/>
  <c r="J14" i="29" s="1"/>
  <c r="N14" i="29"/>
  <c r="L14" i="29"/>
  <c r="R14" i="29"/>
  <c r="N46" i="29"/>
  <c r="R46" i="29"/>
  <c r="J46" i="29"/>
  <c r="D47" i="31"/>
  <c r="C7" i="33" l="1"/>
  <c r="C8" i="33"/>
  <c r="C9" i="33"/>
  <c r="C10" i="33"/>
  <c r="D11" i="33"/>
  <c r="H11" i="33"/>
  <c r="F11" i="33"/>
  <c r="C11" i="28"/>
  <c r="N16" i="29"/>
  <c r="C10" i="28" l="1"/>
  <c r="CL250" i="29"/>
  <c r="CL248" i="29"/>
  <c r="CL247" i="29"/>
  <c r="CL246" i="29"/>
  <c r="CL245" i="29"/>
  <c r="CL244" i="29"/>
  <c r="CL243" i="29"/>
  <c r="CL242" i="29"/>
  <c r="CL241" i="29"/>
  <c r="CL240" i="29"/>
  <c r="CL239" i="29"/>
  <c r="CL238" i="29"/>
  <c r="CL237" i="29"/>
  <c r="CL236" i="29"/>
  <c r="CL235" i="29"/>
  <c r="CL234" i="29"/>
  <c r="CL233" i="29"/>
  <c r="CL232" i="29"/>
  <c r="CL231" i="29"/>
  <c r="CL230" i="29"/>
  <c r="CL229" i="29"/>
  <c r="CL228" i="29"/>
  <c r="CL227" i="29"/>
  <c r="CL226" i="29"/>
  <c r="CL225" i="29"/>
  <c r="CL224" i="29"/>
  <c r="CL223" i="29"/>
  <c r="CL222" i="29"/>
  <c r="CL221" i="29"/>
  <c r="CL220" i="29"/>
  <c r="CL219" i="29"/>
  <c r="CL218" i="29"/>
  <c r="CL217" i="29"/>
  <c r="CL216" i="29"/>
  <c r="CL215" i="29"/>
  <c r="CL214" i="29"/>
  <c r="CL213" i="29"/>
  <c r="CL212" i="29"/>
  <c r="CL211" i="29"/>
  <c r="CL210" i="29"/>
  <c r="CL209" i="29"/>
  <c r="CL208" i="29"/>
  <c r="CL207" i="29"/>
  <c r="BY198" i="29"/>
  <c r="BN198" i="29"/>
  <c r="BX198" i="29" s="1"/>
  <c r="BI198" i="29"/>
  <c r="BY197" i="29"/>
  <c r="BN197" i="29"/>
  <c r="BX197" i="29" s="1"/>
  <c r="BI197" i="29"/>
  <c r="BQ196" i="29"/>
  <c r="BY196" i="29" s="1"/>
  <c r="BN196" i="29"/>
  <c r="BX196" i="29" s="1"/>
  <c r="BI196" i="29"/>
  <c r="BY195" i="29"/>
  <c r="BN195" i="29"/>
  <c r="BX195" i="29" s="1"/>
  <c r="BI195" i="29"/>
  <c r="BY194" i="29"/>
  <c r="BN194" i="29"/>
  <c r="BX194" i="29" s="1"/>
  <c r="BI194" i="29"/>
  <c r="BY193" i="29"/>
  <c r="BN193" i="29"/>
  <c r="BX193" i="29" s="1"/>
  <c r="BI193" i="29"/>
  <c r="BY192" i="29"/>
  <c r="BN192" i="29"/>
  <c r="BX192" i="29" s="1"/>
  <c r="BI192" i="29"/>
  <c r="BY191" i="29"/>
  <c r="BN191" i="29"/>
  <c r="BX191" i="29" s="1"/>
  <c r="BI191" i="29"/>
  <c r="BY190" i="29"/>
  <c r="BN190" i="29"/>
  <c r="BX190" i="29" s="1"/>
  <c r="BI190" i="29"/>
  <c r="BY189" i="29"/>
  <c r="BN189" i="29"/>
  <c r="BX189" i="29" s="1"/>
  <c r="BI189" i="29"/>
  <c r="BY188" i="29"/>
  <c r="BN188" i="29"/>
  <c r="BX188" i="29" s="1"/>
  <c r="BI188" i="29"/>
  <c r="BY187" i="29"/>
  <c r="BN187" i="29"/>
  <c r="BX187" i="29" s="1"/>
  <c r="BI187" i="29"/>
  <c r="BY186" i="29"/>
  <c r="BN186" i="29"/>
  <c r="BX186" i="29" s="1"/>
  <c r="BI186" i="29"/>
  <c r="BY185" i="29"/>
  <c r="BN185" i="29"/>
  <c r="BX185" i="29" s="1"/>
  <c r="BI185" i="29"/>
  <c r="BY184" i="29"/>
  <c r="BN184" i="29"/>
  <c r="BX184" i="29" s="1"/>
  <c r="BI184" i="29"/>
  <c r="BY183" i="29"/>
  <c r="BN183" i="29"/>
  <c r="BX183" i="29" s="1"/>
  <c r="BI183" i="29"/>
  <c r="BY182" i="29"/>
  <c r="BN182" i="29"/>
  <c r="BX182" i="29" s="1"/>
  <c r="BI182" i="29"/>
  <c r="BY181" i="29"/>
  <c r="BN181" i="29"/>
  <c r="BX181" i="29" s="1"/>
  <c r="BI181" i="29"/>
  <c r="BA174" i="29"/>
  <c r="BB174" i="29" s="1"/>
  <c r="AP174" i="29"/>
  <c r="AM174" i="29"/>
  <c r="AH174" i="29"/>
  <c r="AE174" i="29" s="1"/>
  <c r="BA173" i="29"/>
  <c r="BB173" i="29" s="1"/>
  <c r="AP173" i="29"/>
  <c r="AM173" i="29"/>
  <c r="AH173" i="29"/>
  <c r="AE173" i="29" s="1"/>
  <c r="BA172" i="29"/>
  <c r="BB172" i="29" s="1"/>
  <c r="AP172" i="29"/>
  <c r="AM172" i="29"/>
  <c r="AH172" i="29"/>
  <c r="AE172" i="29" s="1"/>
  <c r="BA171" i="29"/>
  <c r="BB171" i="29" s="1"/>
  <c r="AP171" i="29"/>
  <c r="AM171" i="29"/>
  <c r="AH171" i="29"/>
  <c r="AE171" i="29" s="1"/>
  <c r="BA170" i="29"/>
  <c r="BB170" i="29" s="1"/>
  <c r="AZ170" i="29"/>
  <c r="AH170" i="29"/>
  <c r="AE170" i="29" s="1"/>
  <c r="BA169" i="29"/>
  <c r="BB169" i="29" s="1"/>
  <c r="AP169" i="29"/>
  <c r="AM169" i="29"/>
  <c r="AH169" i="29"/>
  <c r="AE169" i="29" s="1"/>
  <c r="BA168" i="29"/>
  <c r="BB168" i="29" s="1"/>
  <c r="AP168" i="29"/>
  <c r="AM168" i="29"/>
  <c r="AH168" i="29"/>
  <c r="AE168" i="29" s="1"/>
  <c r="BA167" i="29"/>
  <c r="BB167" i="29" s="1"/>
  <c r="AP167" i="29"/>
  <c r="AM167" i="29"/>
  <c r="AH167" i="29"/>
  <c r="AE167" i="29" s="1"/>
  <c r="BA166" i="29"/>
  <c r="BB166" i="29" s="1"/>
  <c r="AP166" i="29"/>
  <c r="AM166" i="29"/>
  <c r="AH166" i="29"/>
  <c r="AE166" i="29" s="1"/>
  <c r="BA165" i="29"/>
  <c r="BB165" i="29" s="1"/>
  <c r="AP165" i="29"/>
  <c r="AM165" i="29"/>
  <c r="AH165" i="29"/>
  <c r="AE165" i="29" s="1"/>
  <c r="BA164" i="29"/>
  <c r="BB164" i="29" s="1"/>
  <c r="AP164" i="29"/>
  <c r="AM164" i="29"/>
  <c r="AH164" i="29"/>
  <c r="AE164" i="29" s="1"/>
  <c r="BA163" i="29"/>
  <c r="BB163" i="29" s="1"/>
  <c r="AP163" i="29"/>
  <c r="AM163" i="29"/>
  <c r="AH163" i="29"/>
  <c r="AE163" i="29" s="1"/>
  <c r="BA162" i="29"/>
  <c r="BB162" i="29" s="1"/>
  <c r="AP162" i="29"/>
  <c r="AM162" i="29"/>
  <c r="AH162" i="29"/>
  <c r="AE162" i="29" s="1"/>
  <c r="BA161" i="29"/>
  <c r="BB161" i="29" s="1"/>
  <c r="AP161" i="29"/>
  <c r="AM161" i="29"/>
  <c r="AH161" i="29"/>
  <c r="AE161" i="29" s="1"/>
  <c r="BA160" i="29"/>
  <c r="BB160" i="29" s="1"/>
  <c r="AP160" i="29"/>
  <c r="AM160" i="29"/>
  <c r="AH160" i="29"/>
  <c r="AE160" i="29" s="1"/>
  <c r="BA159" i="29"/>
  <c r="BB159" i="29" s="1"/>
  <c r="AP159" i="29"/>
  <c r="AM159" i="29"/>
  <c r="AH159" i="29"/>
  <c r="AE159" i="29" s="1"/>
  <c r="BA158" i="29"/>
  <c r="BB158" i="29" s="1"/>
  <c r="AP158" i="29"/>
  <c r="AM158" i="29"/>
  <c r="AH158" i="29"/>
  <c r="AE158" i="29" s="1"/>
  <c r="BA157" i="29"/>
  <c r="BB157" i="29" s="1"/>
  <c r="AP157" i="29"/>
  <c r="AM157" i="29"/>
  <c r="AH157" i="29"/>
  <c r="AE157" i="29" s="1"/>
  <c r="BA156" i="29"/>
  <c r="BB156" i="29" s="1"/>
  <c r="AP156" i="29"/>
  <c r="AM156" i="29"/>
  <c r="AH156" i="29"/>
  <c r="AE156" i="29" s="1"/>
  <c r="BA155" i="29"/>
  <c r="BB155" i="29" s="1"/>
  <c r="AP155" i="29"/>
  <c r="AM155" i="29"/>
  <c r="AH155" i="29"/>
  <c r="AE155" i="29" s="1"/>
  <c r="BA154" i="29"/>
  <c r="BB154" i="29" s="1"/>
  <c r="AP154" i="29"/>
  <c r="AM154" i="29"/>
  <c r="AH154" i="29"/>
  <c r="AE154" i="29" s="1"/>
  <c r="BA153" i="29"/>
  <c r="BB153" i="29" s="1"/>
  <c r="AP153" i="29"/>
  <c r="AM153" i="29"/>
  <c r="AH153" i="29"/>
  <c r="AE153" i="29" s="1"/>
  <c r="BA152" i="29"/>
  <c r="BB152" i="29" s="1"/>
  <c r="AP152" i="29"/>
  <c r="AM152" i="29"/>
  <c r="AZ152" i="29" s="1"/>
  <c r="AE152" i="29"/>
  <c r="BA151" i="29"/>
  <c r="BB151" i="29" s="1"/>
  <c r="AP151" i="29"/>
  <c r="AM151" i="29"/>
  <c r="AE151" i="29"/>
  <c r="BA150" i="29"/>
  <c r="BB150" i="29" s="1"/>
  <c r="AP150" i="29"/>
  <c r="AM150" i="29"/>
  <c r="AE150" i="29"/>
  <c r="BA149" i="29"/>
  <c r="BB149" i="29" s="1"/>
  <c r="AP149" i="29"/>
  <c r="AM149" i="29"/>
  <c r="AE149" i="29"/>
  <c r="BA148" i="29"/>
  <c r="BB148" i="29" s="1"/>
  <c r="AP148" i="29"/>
  <c r="AM148" i="29"/>
  <c r="AE148" i="29"/>
  <c r="BA147" i="29"/>
  <c r="BB147" i="29" s="1"/>
  <c r="AP147" i="29"/>
  <c r="AM147" i="29"/>
  <c r="AE147" i="29"/>
  <c r="BA146" i="29"/>
  <c r="BB146" i="29" s="1"/>
  <c r="AP146" i="29"/>
  <c r="AM146" i="29"/>
  <c r="AE146" i="29"/>
  <c r="BA145" i="29"/>
  <c r="BB145" i="29" s="1"/>
  <c r="AP145" i="29"/>
  <c r="AM145" i="29"/>
  <c r="AH145" i="29"/>
  <c r="AE145" i="29" s="1"/>
  <c r="BA144" i="29"/>
  <c r="BB144" i="29" s="1"/>
  <c r="AP144" i="29"/>
  <c r="AM144" i="29"/>
  <c r="AZ144" i="29" s="1"/>
  <c r="AH144" i="29"/>
  <c r="AE144" i="29" s="1"/>
  <c r="BA143" i="29"/>
  <c r="BB143" i="29" s="1"/>
  <c r="AP143" i="29"/>
  <c r="AM143" i="29"/>
  <c r="AH143" i="29"/>
  <c r="AE143" i="29" s="1"/>
  <c r="BA142" i="29"/>
  <c r="BB142" i="29" s="1"/>
  <c r="AP142" i="29"/>
  <c r="AK142" i="29"/>
  <c r="AH142" i="29"/>
  <c r="AE142" i="29" s="1"/>
  <c r="BA141" i="29"/>
  <c r="BB141" i="29" s="1"/>
  <c r="AP141" i="29"/>
  <c r="AK141" i="29"/>
  <c r="AM141" i="29" s="1"/>
  <c r="AH141" i="29"/>
  <c r="AE141" i="29" s="1"/>
  <c r="BA140" i="29"/>
  <c r="BB140" i="29" s="1"/>
  <c r="AP140" i="29"/>
  <c r="AM140" i="29"/>
  <c r="AH140" i="29"/>
  <c r="AE140" i="29" s="1"/>
  <c r="BA139" i="29"/>
  <c r="BB139" i="29" s="1"/>
  <c r="AP139" i="29"/>
  <c r="AM139" i="29"/>
  <c r="AH139" i="29"/>
  <c r="AE139" i="29" s="1"/>
  <c r="BA138" i="29"/>
  <c r="BB138" i="29" s="1"/>
  <c r="AP138" i="29"/>
  <c r="AM138" i="29"/>
  <c r="AE138" i="29"/>
  <c r="BA137" i="29"/>
  <c r="BB137" i="29" s="1"/>
  <c r="AP137" i="29"/>
  <c r="AM137" i="29"/>
  <c r="AE137" i="29"/>
  <c r="BA136" i="29"/>
  <c r="BB136" i="29" s="1"/>
  <c r="AP136" i="29"/>
  <c r="AM136" i="29"/>
  <c r="AE136" i="29"/>
  <c r="BA135" i="29"/>
  <c r="BB135" i="29" s="1"/>
  <c r="AP135" i="29"/>
  <c r="AM135" i="29"/>
  <c r="AE135" i="29"/>
  <c r="BA134" i="29"/>
  <c r="BB134" i="29" s="1"/>
  <c r="AP134" i="29"/>
  <c r="AM134" i="29"/>
  <c r="AE134" i="29"/>
  <c r="BA133" i="29"/>
  <c r="BB133" i="29" s="1"/>
  <c r="AP133" i="29"/>
  <c r="AM133" i="29"/>
  <c r="AE133" i="29"/>
  <c r="BA132" i="29"/>
  <c r="BB132" i="29" s="1"/>
  <c r="AP132" i="29"/>
  <c r="AM132" i="29"/>
  <c r="AE132" i="29"/>
  <c r="BA131" i="29"/>
  <c r="BB131" i="29" s="1"/>
  <c r="AP131" i="29"/>
  <c r="AM131" i="29"/>
  <c r="AE131" i="29"/>
  <c r="BA130" i="29"/>
  <c r="BB130" i="29" s="1"/>
  <c r="AP130" i="29"/>
  <c r="AM130" i="29"/>
  <c r="AE130" i="29"/>
  <c r="BA129" i="29"/>
  <c r="BB129" i="29" s="1"/>
  <c r="AP129" i="29"/>
  <c r="AM129" i="29"/>
  <c r="AE129" i="29"/>
  <c r="BA128" i="29"/>
  <c r="BB128" i="29" s="1"/>
  <c r="AP128" i="29"/>
  <c r="AM128" i="29"/>
  <c r="AZ128" i="29" s="1"/>
  <c r="AE128" i="29"/>
  <c r="BA127" i="29"/>
  <c r="BB127" i="29" s="1"/>
  <c r="AP127" i="29"/>
  <c r="AM127" i="29"/>
  <c r="AE127" i="29"/>
  <c r="BA126" i="29"/>
  <c r="BB126" i="29" s="1"/>
  <c r="AP126" i="29"/>
  <c r="AM126" i="29"/>
  <c r="AZ126" i="29" s="1"/>
  <c r="AE126" i="29"/>
  <c r="BA125" i="29"/>
  <c r="BB125" i="29" s="1"/>
  <c r="AP125" i="29"/>
  <c r="AM125" i="29"/>
  <c r="AE125" i="29"/>
  <c r="BA124" i="29"/>
  <c r="BB124" i="29" s="1"/>
  <c r="AP124" i="29"/>
  <c r="AM124" i="29"/>
  <c r="AE124" i="29"/>
  <c r="BA123" i="29"/>
  <c r="BB123" i="29" s="1"/>
  <c r="AP123" i="29"/>
  <c r="AM123" i="29"/>
  <c r="AZ123" i="29" s="1"/>
  <c r="AE123" i="29"/>
  <c r="BA122" i="29"/>
  <c r="BB122" i="29" s="1"/>
  <c r="AP122" i="29"/>
  <c r="AM122" i="29"/>
  <c r="AZ122" i="29" s="1"/>
  <c r="AE122" i="29"/>
  <c r="BA121" i="29"/>
  <c r="BB121" i="29" s="1"/>
  <c r="AP121" i="29"/>
  <c r="AM121" i="29"/>
  <c r="AE121" i="29"/>
  <c r="BA120" i="29"/>
  <c r="BB120" i="29" s="1"/>
  <c r="AP120" i="29"/>
  <c r="AM120" i="29"/>
  <c r="AH120" i="29"/>
  <c r="AE120" i="29" s="1"/>
  <c r="BA119" i="29"/>
  <c r="BB119" i="29" s="1"/>
  <c r="AP119" i="29"/>
  <c r="AM119" i="29"/>
  <c r="AH119" i="29"/>
  <c r="AE119" i="29" s="1"/>
  <c r="BA118" i="29"/>
  <c r="BB118" i="29" s="1"/>
  <c r="AP118" i="29"/>
  <c r="AM118" i="29"/>
  <c r="AH118" i="29"/>
  <c r="AE118" i="29" s="1"/>
  <c r="BA117" i="29"/>
  <c r="BB117" i="29" s="1"/>
  <c r="AP117" i="29"/>
  <c r="AM117" i="29"/>
  <c r="AH117" i="29"/>
  <c r="AE117" i="29" s="1"/>
  <c r="BA116" i="29"/>
  <c r="BB116" i="29" s="1"/>
  <c r="AP116" i="29"/>
  <c r="AM116" i="29"/>
  <c r="AH116" i="29"/>
  <c r="AE116" i="29" s="1"/>
  <c r="BA115" i="29"/>
  <c r="BB115" i="29" s="1"/>
  <c r="AP115" i="29"/>
  <c r="AM115" i="29"/>
  <c r="AZ115" i="29" s="1"/>
  <c r="AH115" i="29"/>
  <c r="AE115" i="29" s="1"/>
  <c r="BA114" i="29"/>
  <c r="BB114" i="29" s="1"/>
  <c r="AP114" i="29"/>
  <c r="AM114" i="29"/>
  <c r="AZ114" i="29" s="1"/>
  <c r="AH114" i="29"/>
  <c r="AE114" i="29" s="1"/>
  <c r="BA113" i="29"/>
  <c r="BB113" i="29" s="1"/>
  <c r="AP113" i="29"/>
  <c r="AM113" i="29"/>
  <c r="AH113" i="29"/>
  <c r="AE113" i="29" s="1"/>
  <c r="BA112" i="29"/>
  <c r="BB112" i="29" s="1"/>
  <c r="AP112" i="29"/>
  <c r="AM112" i="29"/>
  <c r="AE112" i="29"/>
  <c r="CS264" i="29"/>
  <c r="AV165" i="29" s="1"/>
  <c r="AW165" i="29" s="1"/>
  <c r="CS260" i="29"/>
  <c r="D50" i="23"/>
  <c r="D49" i="23" s="1"/>
  <c r="D48" i="23"/>
  <c r="E39" i="31"/>
  <c r="AZ154" i="29" l="1"/>
  <c r="AZ125" i="29"/>
  <c r="AZ131" i="29"/>
  <c r="AZ163" i="29"/>
  <c r="AZ165" i="29"/>
  <c r="AZ167" i="29"/>
  <c r="AZ160" i="29"/>
  <c r="AZ156" i="29"/>
  <c r="AZ158" i="29"/>
  <c r="AZ112" i="29"/>
  <c r="AZ121" i="29"/>
  <c r="AZ143" i="29"/>
  <c r="AZ172" i="29"/>
  <c r="AZ116" i="29"/>
  <c r="AZ118" i="29"/>
  <c r="AZ145" i="29"/>
  <c r="AZ147" i="29"/>
  <c r="AZ149" i="29"/>
  <c r="AZ164" i="29"/>
  <c r="AZ120" i="29"/>
  <c r="AZ136" i="29"/>
  <c r="AZ161" i="29"/>
  <c r="AZ150" i="29"/>
  <c r="AZ159" i="29"/>
  <c r="AZ166" i="29"/>
  <c r="AZ168" i="29"/>
  <c r="AZ130" i="29"/>
  <c r="AZ141" i="29"/>
  <c r="AZ173" i="29"/>
  <c r="AZ133" i="29"/>
  <c r="AZ135" i="29"/>
  <c r="AZ148" i="29"/>
  <c r="AZ155" i="29"/>
  <c r="AZ162" i="29"/>
  <c r="AZ124" i="29"/>
  <c r="AZ127" i="29"/>
  <c r="AZ140" i="29"/>
  <c r="AZ153" i="29"/>
  <c r="AZ169" i="29"/>
  <c r="AV124" i="29"/>
  <c r="AW124" i="29" s="1"/>
  <c r="AY124" i="29" s="1"/>
  <c r="AZ129" i="29"/>
  <c r="AZ137" i="29"/>
  <c r="AZ171" i="29"/>
  <c r="AZ174" i="29"/>
  <c r="AZ134" i="29"/>
  <c r="AZ139" i="29"/>
  <c r="AZ138" i="29"/>
  <c r="AZ146" i="29"/>
  <c r="AZ151" i="29"/>
  <c r="AZ157" i="29"/>
  <c r="AY165" i="29"/>
  <c r="AX165" i="29"/>
  <c r="AV155" i="29"/>
  <c r="AW155" i="29" s="1"/>
  <c r="AV113" i="29"/>
  <c r="AW113" i="29" s="1"/>
  <c r="AZ117" i="29"/>
  <c r="AZ119" i="29"/>
  <c r="AZ132" i="29"/>
  <c r="BT192" i="29"/>
  <c r="BU192" i="29" s="1"/>
  <c r="BT184" i="29"/>
  <c r="BU184" i="29" s="1"/>
  <c r="AV145" i="29"/>
  <c r="AW145" i="29" s="1"/>
  <c r="BT198" i="29"/>
  <c r="BU198" i="29" s="1"/>
  <c r="BT191" i="29"/>
  <c r="BU191" i="29" s="1"/>
  <c r="BT183" i="29"/>
  <c r="BU183" i="29" s="1"/>
  <c r="AV173" i="29"/>
  <c r="AW173" i="29" s="1"/>
  <c r="AV171" i="29"/>
  <c r="AW171" i="29" s="1"/>
  <c r="AV150" i="29"/>
  <c r="AW150" i="29" s="1"/>
  <c r="AV141" i="29"/>
  <c r="AW141" i="29" s="1"/>
  <c r="AX141" i="29" s="1"/>
  <c r="AV137" i="29"/>
  <c r="AW137" i="29" s="1"/>
  <c r="BT197" i="29"/>
  <c r="BU197" i="29" s="1"/>
  <c r="BT196" i="29"/>
  <c r="BU196" i="29" s="1"/>
  <c r="BT189" i="29"/>
  <c r="BU189" i="29" s="1"/>
  <c r="BT181" i="29"/>
  <c r="BU181" i="29" s="1"/>
  <c r="AV168" i="29"/>
  <c r="AW168" i="29" s="1"/>
  <c r="AV166" i="29"/>
  <c r="AW166" i="29" s="1"/>
  <c r="AV164" i="29"/>
  <c r="AW164" i="29" s="1"/>
  <c r="AV162" i="29"/>
  <c r="AW162" i="29" s="1"/>
  <c r="AV160" i="29"/>
  <c r="AW160" i="29" s="1"/>
  <c r="AV158" i="29"/>
  <c r="AW158" i="29" s="1"/>
  <c r="AV156" i="29"/>
  <c r="AW156" i="29" s="1"/>
  <c r="AV154" i="29"/>
  <c r="AW154" i="29" s="1"/>
  <c r="AV152" i="29"/>
  <c r="AW152" i="29" s="1"/>
  <c r="AV131" i="29"/>
  <c r="AW131" i="29" s="1"/>
  <c r="AV123" i="29"/>
  <c r="AW123" i="29" s="1"/>
  <c r="BT188" i="29"/>
  <c r="BU188" i="29" s="1"/>
  <c r="AV149" i="29"/>
  <c r="AW149" i="29" s="1"/>
  <c r="AV144" i="29"/>
  <c r="AW144" i="29" s="1"/>
  <c r="AV142" i="29"/>
  <c r="AV136" i="29"/>
  <c r="AW136" i="29" s="1"/>
  <c r="AV128" i="29"/>
  <c r="AW128" i="29" s="1"/>
  <c r="AV120" i="29"/>
  <c r="AW120" i="29" s="1"/>
  <c r="AV118" i="29"/>
  <c r="AW118" i="29" s="1"/>
  <c r="AV116" i="29"/>
  <c r="AW116" i="29" s="1"/>
  <c r="AV114" i="29"/>
  <c r="AW114" i="29" s="1"/>
  <c r="AV112" i="29"/>
  <c r="AW112" i="29" s="1"/>
  <c r="AV133" i="29"/>
  <c r="AW133" i="29" s="1"/>
  <c r="BT195" i="29"/>
  <c r="BU195" i="29" s="1"/>
  <c r="BT187" i="29"/>
  <c r="BU187" i="29" s="1"/>
  <c r="AV174" i="29"/>
  <c r="AW174" i="29" s="1"/>
  <c r="AV172" i="29"/>
  <c r="AW172" i="29" s="1"/>
  <c r="AV170" i="29"/>
  <c r="AW170" i="29" s="1"/>
  <c r="AV146" i="29"/>
  <c r="AW146" i="29" s="1"/>
  <c r="AV125" i="29"/>
  <c r="AW125" i="29" s="1"/>
  <c r="BT194" i="29"/>
  <c r="BU194" i="29" s="1"/>
  <c r="BT186" i="29"/>
  <c r="BU186" i="29" s="1"/>
  <c r="AV151" i="29"/>
  <c r="AW151" i="29" s="1"/>
  <c r="AV140" i="29"/>
  <c r="AW140" i="29" s="1"/>
  <c r="AV138" i="29"/>
  <c r="AW138" i="29" s="1"/>
  <c r="AV130" i="29"/>
  <c r="AW130" i="29" s="1"/>
  <c r="AV122" i="29"/>
  <c r="AW122" i="29" s="1"/>
  <c r="BT193" i="29"/>
  <c r="BU193" i="29" s="1"/>
  <c r="BT185" i="29"/>
  <c r="BU185" i="29" s="1"/>
  <c r="AV115" i="29"/>
  <c r="AW115" i="29" s="1"/>
  <c r="AV129" i="29"/>
  <c r="AW129" i="29" s="1"/>
  <c r="AV134" i="29"/>
  <c r="AW134" i="29" s="1"/>
  <c r="AV135" i="29"/>
  <c r="AW135" i="29" s="1"/>
  <c r="AV159" i="29"/>
  <c r="AW159" i="29" s="1"/>
  <c r="AV117" i="29"/>
  <c r="AW117" i="29" s="1"/>
  <c r="AV119" i="29"/>
  <c r="AW119" i="29" s="1"/>
  <c r="AV121" i="29"/>
  <c r="AW121" i="29" s="1"/>
  <c r="AV126" i="29"/>
  <c r="AW126" i="29" s="1"/>
  <c r="AV132" i="29"/>
  <c r="AW132" i="29" s="1"/>
  <c r="AV148" i="29"/>
  <c r="AW148" i="29" s="1"/>
  <c r="AV153" i="29"/>
  <c r="AW153" i="29" s="1"/>
  <c r="AV169" i="29"/>
  <c r="AW169" i="29" s="1"/>
  <c r="AV127" i="29"/>
  <c r="AW127" i="29" s="1"/>
  <c r="AM142" i="29"/>
  <c r="AZ142" i="29" s="1"/>
  <c r="AV143" i="29"/>
  <c r="AW143" i="29" s="1"/>
  <c r="AV163" i="29"/>
  <c r="AW163" i="29" s="1"/>
  <c r="AV147" i="29"/>
  <c r="AW147" i="29" s="1"/>
  <c r="AV157" i="29"/>
  <c r="AW157" i="29" s="1"/>
  <c r="AV139" i="29"/>
  <c r="AW139" i="29" s="1"/>
  <c r="AV167" i="29"/>
  <c r="AW167" i="29" s="1"/>
  <c r="AZ113" i="29"/>
  <c r="AV161" i="29"/>
  <c r="AW161" i="29" s="1"/>
  <c r="BT182" i="29"/>
  <c r="BU182" i="29" s="1"/>
  <c r="BT190" i="29"/>
  <c r="BU190" i="29" s="1"/>
  <c r="AY141" i="29" l="1"/>
  <c r="BC141" i="29" s="1"/>
  <c r="AX124" i="29"/>
  <c r="BC124" i="29" s="1"/>
  <c r="AY126" i="29"/>
  <c r="AX126" i="29"/>
  <c r="AY115" i="29"/>
  <c r="AX115" i="29"/>
  <c r="BW186" i="29"/>
  <c r="BV186" i="29"/>
  <c r="BW195" i="29"/>
  <c r="BV195" i="29"/>
  <c r="AY136" i="29"/>
  <c r="AX136" i="29"/>
  <c r="AY154" i="29"/>
  <c r="AX154" i="29"/>
  <c r="BW181" i="29"/>
  <c r="BV181" i="29"/>
  <c r="AY173" i="29"/>
  <c r="AX173" i="29"/>
  <c r="BW194" i="29"/>
  <c r="BV194" i="29"/>
  <c r="AY156" i="29"/>
  <c r="AX156" i="29"/>
  <c r="BW189" i="29"/>
  <c r="BV189" i="29"/>
  <c r="BV183" i="29"/>
  <c r="BW183" i="29"/>
  <c r="BV190" i="29"/>
  <c r="BW190" i="29"/>
  <c r="AY167" i="29"/>
  <c r="AX167" i="29"/>
  <c r="AW142" i="29"/>
  <c r="AY119" i="29"/>
  <c r="AX119" i="29"/>
  <c r="AX125" i="29"/>
  <c r="AY125" i="29"/>
  <c r="AY144" i="29"/>
  <c r="AX144" i="29"/>
  <c r="AY158" i="29"/>
  <c r="AX158" i="29"/>
  <c r="BW196" i="29"/>
  <c r="BV196" i="29"/>
  <c r="BW191" i="29"/>
  <c r="BV191" i="29"/>
  <c r="AY113" i="29"/>
  <c r="AX113" i="29"/>
  <c r="AX147" i="29"/>
  <c r="AY147" i="29"/>
  <c r="AY121" i="29"/>
  <c r="AX121" i="29"/>
  <c r="AX133" i="29"/>
  <c r="AY133" i="29"/>
  <c r="BW193" i="29"/>
  <c r="BV193" i="29"/>
  <c r="AY112" i="29"/>
  <c r="AX112" i="29"/>
  <c r="AX139" i="29"/>
  <c r="AY139" i="29"/>
  <c r="AY169" i="29"/>
  <c r="AX169" i="29"/>
  <c r="AY117" i="29"/>
  <c r="AX117" i="29"/>
  <c r="AY122" i="29"/>
  <c r="AX122" i="29"/>
  <c r="AX146" i="29"/>
  <c r="AY146" i="29"/>
  <c r="AY114" i="29"/>
  <c r="AX114" i="29"/>
  <c r="AY149" i="29"/>
  <c r="AX149" i="29"/>
  <c r="AY160" i="29"/>
  <c r="AX160" i="29"/>
  <c r="BV197" i="29"/>
  <c r="BW197" i="29"/>
  <c r="BW198" i="29"/>
  <c r="BV198" i="29"/>
  <c r="AY155" i="29"/>
  <c r="AX155" i="29"/>
  <c r="BW185" i="29"/>
  <c r="BV185" i="29"/>
  <c r="AY127" i="29"/>
  <c r="AX127" i="29"/>
  <c r="AY157" i="29"/>
  <c r="AX157" i="29"/>
  <c r="AY153" i="29"/>
  <c r="AX153" i="29"/>
  <c r="AY159" i="29"/>
  <c r="AX159" i="29"/>
  <c r="AY130" i="29"/>
  <c r="AX130" i="29"/>
  <c r="AX170" i="29"/>
  <c r="AY170" i="29"/>
  <c r="AX116" i="29"/>
  <c r="AY116" i="29"/>
  <c r="BW188" i="29"/>
  <c r="BV188" i="29"/>
  <c r="AY162" i="29"/>
  <c r="AX162" i="29"/>
  <c r="AY137" i="29"/>
  <c r="AX137" i="29"/>
  <c r="AY145" i="29"/>
  <c r="AX145" i="29"/>
  <c r="BC165" i="29"/>
  <c r="AX135" i="29"/>
  <c r="AY135" i="29"/>
  <c r="AY118" i="29"/>
  <c r="AX118" i="29"/>
  <c r="AY164" i="29"/>
  <c r="AX164" i="29"/>
  <c r="BW184" i="29"/>
  <c r="BV184" i="29"/>
  <c r="AY148" i="29"/>
  <c r="AX148" i="29"/>
  <c r="AX172" i="29"/>
  <c r="AY172" i="29"/>
  <c r="BV182" i="29"/>
  <c r="BW182" i="29"/>
  <c r="AY140" i="29"/>
  <c r="AX140" i="29"/>
  <c r="AX120" i="29"/>
  <c r="AY120" i="29"/>
  <c r="AY131" i="29"/>
  <c r="AX131" i="29"/>
  <c r="AY166" i="29"/>
  <c r="AX166" i="29"/>
  <c r="AY150" i="29"/>
  <c r="AX150" i="29"/>
  <c r="BW192" i="29"/>
  <c r="BV192" i="29"/>
  <c r="AY138" i="29"/>
  <c r="AX138" i="29"/>
  <c r="AY123" i="29"/>
  <c r="AX123" i="29"/>
  <c r="AY163" i="29"/>
  <c r="AX163" i="29"/>
  <c r="AY134" i="29"/>
  <c r="AX134" i="29"/>
  <c r="AX174" i="29"/>
  <c r="AY174" i="29"/>
  <c r="AY161" i="29"/>
  <c r="AX161" i="29"/>
  <c r="AY143" i="29"/>
  <c r="AX143" i="29"/>
  <c r="AY132" i="29"/>
  <c r="AX132" i="29"/>
  <c r="AY129" i="29"/>
  <c r="AX129" i="29"/>
  <c r="AY151" i="29"/>
  <c r="AX151" i="29"/>
  <c r="BV187" i="29"/>
  <c r="BW187" i="29"/>
  <c r="AY128" i="29"/>
  <c r="AX128" i="29"/>
  <c r="AY152" i="29"/>
  <c r="AX152" i="29"/>
  <c r="AY168" i="29"/>
  <c r="AX168" i="29"/>
  <c r="AY171" i="29"/>
  <c r="AX171" i="29"/>
  <c r="BZ181" i="29" l="1"/>
  <c r="BC168" i="29"/>
  <c r="BC151" i="29"/>
  <c r="BC164" i="29"/>
  <c r="BZ194" i="29"/>
  <c r="BC136" i="29"/>
  <c r="BC126" i="29"/>
  <c r="BC161" i="29"/>
  <c r="BC123" i="29"/>
  <c r="BC166" i="29"/>
  <c r="BC145" i="29"/>
  <c r="BC153" i="29"/>
  <c r="BC155" i="29"/>
  <c r="BC149" i="29"/>
  <c r="BC117" i="29"/>
  <c r="BZ193" i="29"/>
  <c r="BZ189" i="29"/>
  <c r="BC128" i="29"/>
  <c r="BC132" i="29"/>
  <c r="BC134" i="29"/>
  <c r="BZ192" i="29"/>
  <c r="BC148" i="29"/>
  <c r="BC162" i="29"/>
  <c r="BC130" i="29"/>
  <c r="BC127" i="29"/>
  <c r="BC121" i="29"/>
  <c r="BZ196" i="29"/>
  <c r="BC119" i="29"/>
  <c r="BZ186" i="29"/>
  <c r="BZ183" i="29"/>
  <c r="BC171" i="29"/>
  <c r="BC143" i="29"/>
  <c r="BC163" i="29"/>
  <c r="BC150" i="29"/>
  <c r="BC140" i="29"/>
  <c r="BZ184" i="29"/>
  <c r="BZ188" i="29"/>
  <c r="BC159" i="29"/>
  <c r="BZ185" i="29"/>
  <c r="BC160" i="29"/>
  <c r="BC122" i="29"/>
  <c r="BC112" i="29"/>
  <c r="BC158" i="29"/>
  <c r="BC113" i="29"/>
  <c r="BC144" i="29"/>
  <c r="BC152" i="29"/>
  <c r="BC129" i="29"/>
  <c r="BC138" i="29"/>
  <c r="BC131" i="29"/>
  <c r="BC137" i="29"/>
  <c r="BC157" i="29"/>
  <c r="BZ198" i="29"/>
  <c r="BC114" i="29"/>
  <c r="BC169" i="29"/>
  <c r="BZ191" i="29"/>
  <c r="BZ182" i="29"/>
  <c r="BZ190" i="29"/>
  <c r="BC174" i="29"/>
  <c r="BC172" i="29"/>
  <c r="BC118" i="29"/>
  <c r="BC170" i="29"/>
  <c r="BC133" i="29"/>
  <c r="BC125" i="29"/>
  <c r="BC173" i="29"/>
  <c r="BZ195" i="29"/>
  <c r="BC120" i="29"/>
  <c r="BC146" i="29"/>
  <c r="BZ197" i="29"/>
  <c r="BC139" i="29"/>
  <c r="BC135" i="29"/>
  <c r="AX142" i="29"/>
  <c r="AY142" i="29"/>
  <c r="BZ187" i="29"/>
  <c r="BC147" i="29"/>
  <c r="BC167" i="29"/>
  <c r="BC156" i="29"/>
  <c r="BC154" i="29"/>
  <c r="BC115" i="29"/>
  <c r="BC116" i="29"/>
  <c r="BC142" i="29" l="1"/>
  <c r="C7" i="36" l="1"/>
  <c r="I7" i="36" s="1"/>
  <c r="C9" i="36"/>
  <c r="G9" i="36" s="1"/>
  <c r="C8" i="36"/>
  <c r="I8" i="36" s="1"/>
  <c r="P38" i="29"/>
  <c r="L38" i="29"/>
  <c r="H38" i="29"/>
  <c r="P37" i="29"/>
  <c r="L37" i="29"/>
  <c r="H37" i="29"/>
  <c r="P36" i="29"/>
  <c r="L36" i="29"/>
  <c r="H36" i="29"/>
  <c r="P16" i="29"/>
  <c r="L16" i="29"/>
  <c r="H16" i="29"/>
  <c r="I9" i="36" l="1"/>
  <c r="I10" i="36" s="1"/>
  <c r="E44" i="31" s="1"/>
  <c r="E9" i="36"/>
  <c r="E7" i="36"/>
  <c r="G7" i="36"/>
  <c r="G10" i="36" s="1"/>
  <c r="D44" i="31" s="1"/>
  <c r="D49" i="31" s="1"/>
  <c r="D47" i="23"/>
  <c r="C21" i="23" l="1"/>
  <c r="F21" i="23" s="1"/>
  <c r="C18" i="23"/>
  <c r="F18" i="23" s="1"/>
  <c r="E10" i="36"/>
  <c r="C44" i="31" s="1"/>
  <c r="C49" i="31" s="1"/>
  <c r="E46" i="31"/>
  <c r="E49" i="31" s="1"/>
  <c r="B39" i="31"/>
  <c r="B38" i="31"/>
  <c r="B37" i="31"/>
  <c r="B36" i="31"/>
  <c r="F7" i="23"/>
  <c r="F13" i="23" s="1"/>
  <c r="F8" i="23"/>
  <c r="F14" i="23" s="1"/>
  <c r="E21" i="23"/>
  <c r="E26" i="31"/>
  <c r="E27" i="31"/>
  <c r="E28" i="31"/>
  <c r="D26" i="31"/>
  <c r="D27" i="31"/>
  <c r="D28" i="31"/>
  <c r="C26" i="31"/>
  <c r="C27" i="31"/>
  <c r="C28" i="31"/>
  <c r="B24" i="31"/>
  <c r="E22" i="31"/>
  <c r="D22" i="31"/>
  <c r="C22" i="31"/>
  <c r="B18" i="31"/>
  <c r="E15" i="31"/>
  <c r="D15" i="31"/>
  <c r="C15" i="31"/>
  <c r="B11" i="31"/>
  <c r="J16" i="29"/>
  <c r="I16" i="29"/>
  <c r="I15" i="29"/>
  <c r="I36" i="29"/>
  <c r="J36" i="29"/>
  <c r="I37" i="29"/>
  <c r="J37" i="29"/>
  <c r="I38" i="29"/>
  <c r="J38" i="29"/>
  <c r="B12" i="31"/>
  <c r="B13" i="31"/>
  <c r="B14" i="31"/>
  <c r="B15" i="31"/>
  <c r="B19" i="31"/>
  <c r="B20" i="31"/>
  <c r="B21" i="31"/>
  <c r="B22" i="31"/>
  <c r="B25" i="31"/>
  <c r="B26" i="31"/>
  <c r="B27" i="31"/>
  <c r="B28" i="31"/>
  <c r="B16" i="31"/>
  <c r="E10" i="33"/>
  <c r="C10" i="34"/>
  <c r="G10" i="34" s="1"/>
  <c r="C9" i="34"/>
  <c r="G9" i="34" s="1"/>
  <c r="D21" i="31" s="1"/>
  <c r="C8" i="34"/>
  <c r="G8" i="34" s="1"/>
  <c r="D20" i="31" s="1"/>
  <c r="C7" i="34"/>
  <c r="G7" i="34" s="1"/>
  <c r="D19" i="31" s="1"/>
  <c r="C6" i="34"/>
  <c r="G6" i="34" s="1"/>
  <c r="H12" i="28"/>
  <c r="F12" i="28"/>
  <c r="D12" i="28"/>
  <c r="R16" i="29"/>
  <c r="R36" i="29"/>
  <c r="R37" i="29"/>
  <c r="R38" i="29"/>
  <c r="R17" i="29"/>
  <c r="C6" i="33"/>
  <c r="G6" i="33" s="1"/>
  <c r="D24" i="31" s="1"/>
  <c r="G9" i="33"/>
  <c r="G8" i="33"/>
  <c r="G7" i="33"/>
  <c r="Q15" i="29"/>
  <c r="Q16" i="29"/>
  <c r="Q36" i="29"/>
  <c r="Q37" i="29"/>
  <c r="Q38" i="29"/>
  <c r="M15" i="29"/>
  <c r="M16" i="29"/>
  <c r="E15" i="29"/>
  <c r="E16" i="29"/>
  <c r="E36" i="29"/>
  <c r="E37" i="29"/>
  <c r="E38" i="29"/>
  <c r="D15" i="29"/>
  <c r="D16" i="29"/>
  <c r="D36" i="29"/>
  <c r="D37" i="29"/>
  <c r="D38" i="29"/>
  <c r="D25" i="31" l="1"/>
  <c r="F6" i="23"/>
  <c r="I7" i="33"/>
  <c r="I8" i="33"/>
  <c r="G11" i="34"/>
  <c r="D18" i="31"/>
  <c r="D17" i="31" s="1"/>
  <c r="I9" i="33"/>
  <c r="I6" i="33"/>
  <c r="E24" i="31" s="1"/>
  <c r="E6" i="33"/>
  <c r="C24" i="31" s="1"/>
  <c r="I8" i="34"/>
  <c r="E20" i="31" s="1"/>
  <c r="I9" i="34"/>
  <c r="E21" i="31" s="1"/>
  <c r="I10" i="34"/>
  <c r="I6" i="34"/>
  <c r="G10" i="33"/>
  <c r="G11" i="33" s="1"/>
  <c r="I10" i="33"/>
  <c r="E6" i="34"/>
  <c r="C18" i="31" s="1"/>
  <c r="E8" i="34"/>
  <c r="C20" i="31" s="1"/>
  <c r="E10" i="34"/>
  <c r="I7" i="34"/>
  <c r="E19" i="31" s="1"/>
  <c r="E7" i="34"/>
  <c r="C19" i="31" s="1"/>
  <c r="E9" i="34"/>
  <c r="C21" i="31" s="1"/>
  <c r="E8" i="33"/>
  <c r="E9" i="33"/>
  <c r="E7" i="33"/>
  <c r="C25" i="31" l="1"/>
  <c r="C23" i="31" s="1"/>
  <c r="E11" i="33"/>
  <c r="E25" i="31"/>
  <c r="E23" i="31" s="1"/>
  <c r="I11" i="33"/>
  <c r="C17" i="31"/>
  <c r="I11" i="34"/>
  <c r="E18" i="31"/>
  <c r="E17" i="31" s="1"/>
  <c r="D23" i="31"/>
  <c r="E11" i="34"/>
  <c r="C6" i="28" l="1"/>
  <c r="I6" i="28" s="1"/>
  <c r="E11" i="31" s="1"/>
  <c r="C7" i="28"/>
  <c r="I7" i="28" s="1"/>
  <c r="E12" i="31" s="1"/>
  <c r="C8" i="28"/>
  <c r="I8" i="28" s="1"/>
  <c r="E13" i="31" s="1"/>
  <c r="C9" i="28"/>
  <c r="I9" i="28" s="1"/>
  <c r="E14" i="31" s="1"/>
  <c r="I10" i="28"/>
  <c r="C22" i="29"/>
  <c r="D22" i="29"/>
  <c r="D25" i="29" l="1"/>
  <c r="C25" i="29"/>
  <c r="D24" i="29"/>
  <c r="C24" i="29"/>
  <c r="D23" i="29"/>
  <c r="C23" i="29"/>
  <c r="D21" i="29"/>
  <c r="C21" i="29"/>
  <c r="D20" i="29"/>
  <c r="C20" i="29"/>
  <c r="N17" i="29"/>
  <c r="S15" i="29"/>
  <c r="D45" i="29"/>
  <c r="C45" i="29"/>
  <c r="N38" i="29"/>
  <c r="M38" i="29"/>
  <c r="D44" i="29"/>
  <c r="C44" i="29"/>
  <c r="N37" i="29"/>
  <c r="M37" i="29"/>
  <c r="D43" i="29"/>
  <c r="C43" i="29"/>
  <c r="M36" i="29"/>
  <c r="D42" i="29"/>
  <c r="C42" i="29"/>
  <c r="D41" i="29"/>
  <c r="C41" i="29"/>
  <c r="E11" i="28"/>
  <c r="C16" i="31" s="1"/>
  <c r="I11" i="28"/>
  <c r="G10" i="28"/>
  <c r="G9" i="28"/>
  <c r="D14" i="31" s="1"/>
  <c r="G8" i="28"/>
  <c r="D13" i="31" s="1"/>
  <c r="G7" i="28"/>
  <c r="D12" i="31" s="1"/>
  <c r="G6" i="28"/>
  <c r="N21" i="29" l="1" a="1"/>
  <c r="N21" i="29" s="1"/>
  <c r="R21" i="29" a="1"/>
  <c r="R21" i="29" s="1"/>
  <c r="J21" i="29" a="1"/>
  <c r="J21" i="29" s="1"/>
  <c r="N20" i="29" a="1"/>
  <c r="N20" i="29" s="1"/>
  <c r="R20" i="29" a="1"/>
  <c r="R20" i="29" s="1"/>
  <c r="J20" i="29" a="1"/>
  <c r="J20" i="29" s="1"/>
  <c r="D11" i="31"/>
  <c r="E16" i="31"/>
  <c r="I12" i="28"/>
  <c r="G11" i="28"/>
  <c r="D16" i="31" s="1"/>
  <c r="E35" i="29"/>
  <c r="D35" i="29"/>
  <c r="D34" i="29"/>
  <c r="E12" i="29"/>
  <c r="E13" i="29"/>
  <c r="E34" i="29"/>
  <c r="E11" i="29"/>
  <c r="F37" i="29"/>
  <c r="F16" i="29"/>
  <c r="F38" i="29"/>
  <c r="F15" i="29"/>
  <c r="L15" i="29" s="1"/>
  <c r="N15" i="29" s="1"/>
  <c r="F36" i="29"/>
  <c r="D12" i="29"/>
  <c r="D13" i="29"/>
  <c r="D11" i="29"/>
  <c r="F34" i="29"/>
  <c r="E9" i="28"/>
  <c r="C14" i="31" s="1"/>
  <c r="E7" i="28"/>
  <c r="C12" i="31" s="1"/>
  <c r="F11" i="29"/>
  <c r="F12" i="29"/>
  <c r="F13" i="29"/>
  <c r="E6" i="28"/>
  <c r="C11" i="31" s="1"/>
  <c r="E8" i="28"/>
  <c r="C13" i="31" s="1"/>
  <c r="E10" i="28"/>
  <c r="F12" i="23"/>
  <c r="P15" i="29" l="1"/>
  <c r="R15" i="29" s="1"/>
  <c r="H15" i="29"/>
  <c r="J15" i="29" s="1"/>
  <c r="J18" i="29" s="1"/>
  <c r="E36" i="31"/>
  <c r="H34" i="29"/>
  <c r="P34" i="29"/>
  <c r="L34" i="29"/>
  <c r="H11" i="29"/>
  <c r="L11" i="29"/>
  <c r="P11" i="29"/>
  <c r="H13" i="29"/>
  <c r="L13" i="29"/>
  <c r="P13" i="29"/>
  <c r="P12" i="29"/>
  <c r="L12" i="29"/>
  <c r="H12" i="29"/>
  <c r="J26" i="29"/>
  <c r="D32" i="31"/>
  <c r="C32" i="31"/>
  <c r="E32" i="31"/>
  <c r="D31" i="31"/>
  <c r="C31" i="31"/>
  <c r="E31" i="31"/>
  <c r="C10" i="31"/>
  <c r="G12" i="28"/>
  <c r="E12" i="28"/>
  <c r="E10" i="31"/>
  <c r="D10" i="31"/>
  <c r="F35" i="29"/>
  <c r="P35" i="29" s="1"/>
  <c r="N36" i="29"/>
  <c r="N26" i="29"/>
  <c r="R26" i="29"/>
  <c r="H35" i="29" l="1"/>
  <c r="H39" i="29" s="1"/>
  <c r="L35" i="29"/>
  <c r="Q11" i="29"/>
  <c r="R11" i="29" s="1"/>
  <c r="P39" i="29"/>
  <c r="E30" i="31"/>
  <c r="C30" i="31"/>
  <c r="I12" i="29"/>
  <c r="J12" i="29" s="1"/>
  <c r="H18" i="29"/>
  <c r="C33" i="31"/>
  <c r="D33" i="31"/>
  <c r="E33" i="31"/>
  <c r="L18" i="29"/>
  <c r="D30" i="31"/>
  <c r="Q12" i="29" l="1"/>
  <c r="R12" i="29" s="1"/>
  <c r="M12" i="29"/>
  <c r="N12" i="29" s="1"/>
  <c r="I34" i="29"/>
  <c r="I35" i="29"/>
  <c r="J35" i="29" s="1"/>
  <c r="I11" i="29"/>
  <c r="I13" i="29"/>
  <c r="J13" i="29" s="1"/>
  <c r="M11" i="29"/>
  <c r="N11" i="29" s="1"/>
  <c r="M35" i="29"/>
  <c r="N35" i="29" s="1"/>
  <c r="M34" i="29"/>
  <c r="N34" i="29" s="1"/>
  <c r="Q34" i="29"/>
  <c r="R34" i="29" s="1"/>
  <c r="Q35" i="29"/>
  <c r="R35" i="29" s="1"/>
  <c r="Q13" i="29"/>
  <c r="M13" i="29"/>
  <c r="P18" i="29" l="1"/>
  <c r="N13" i="29"/>
  <c r="I18" i="29"/>
  <c r="J11" i="29"/>
  <c r="I39" i="29"/>
  <c r="J34" i="29"/>
  <c r="J39" i="29" s="1"/>
  <c r="Q18" i="29"/>
  <c r="R13" i="29"/>
  <c r="R39" i="29"/>
  <c r="M39" i="29"/>
  <c r="Q39" i="29"/>
  <c r="M18" i="29"/>
  <c r="E38" i="31"/>
  <c r="C34" i="31" l="1"/>
  <c r="C29" i="31" s="1"/>
  <c r="C40" i="31" s="1"/>
  <c r="E34" i="31"/>
  <c r="E29" i="31" s="1"/>
  <c r="D34" i="31"/>
  <c r="D29" i="31" s="1"/>
  <c r="R18" i="29"/>
  <c r="N18" i="29"/>
  <c r="C19" i="23"/>
  <c r="F19" i="23" s="1"/>
  <c r="C20" i="23"/>
  <c r="F20" i="23" s="1"/>
  <c r="D40" i="31" l="1"/>
  <c r="D42" i="31" s="1"/>
  <c r="D50" i="31" s="1"/>
  <c r="C42" i="31"/>
  <c r="C50" i="31" s="1"/>
  <c r="F17" i="23" l="1"/>
  <c r="F23" i="23" s="1"/>
  <c r="E37" i="31" l="1"/>
  <c r="E35" i="31" s="1"/>
  <c r="E40" i="31" l="1"/>
  <c r="E42" i="31" s="1"/>
  <c r="E50" i="31" s="1"/>
  <c r="L39" i="29"/>
  <c r="N39" i="2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Massey, Ray</author>
    <author>William Lazarus</author>
    <author>William F Lazarus</author>
  </authors>
  <commentList>
    <comment ref="AY111" authorId="0" shapeId="0" xr:uid="{7046B9FA-5717-4E54-9231-CEFEF024C8A2}">
      <text>
        <r>
          <rPr>
            <b/>
            <sz val="9"/>
            <color indexed="81"/>
            <rFont val="Tahoma"/>
            <family val="2"/>
          </rPr>
          <t>Massey, Ray:</t>
        </r>
        <r>
          <rPr>
            <sz val="9"/>
            <color indexed="81"/>
            <rFont val="Tahoma"/>
            <family val="2"/>
          </rPr>
          <t xml:space="preserve">
OH = interest + insurance + taxes + housing</t>
        </r>
      </text>
    </comment>
    <comment ref="BW180" authorId="0" shapeId="0" xr:uid="{EF5D0AAA-66EB-4FFA-83F3-520EC3E81944}">
      <text>
        <r>
          <rPr>
            <b/>
            <sz val="9"/>
            <color indexed="81"/>
            <rFont val="Tahoma"/>
            <family val="2"/>
          </rPr>
          <t>Massey, Ray:</t>
        </r>
        <r>
          <rPr>
            <sz val="9"/>
            <color indexed="81"/>
            <rFont val="Tahoma"/>
            <family val="2"/>
          </rPr>
          <t xml:space="preserve">
OH = interest + insurance + taxes + housing</t>
        </r>
      </text>
    </comment>
    <comment ref="CS260" authorId="1" shapeId="0" xr:uid="{5FE590B1-1ABB-49FC-A1D2-97C8007A5430}">
      <text>
        <r>
          <rPr>
            <b/>
            <sz val="8"/>
            <color indexed="81"/>
            <rFont val="Tahoma"/>
            <family val="2"/>
          </rPr>
          <t>William Lazarus:</t>
        </r>
        <r>
          <rPr>
            <sz val="8"/>
            <color indexed="81"/>
            <rFont val="Tahoma"/>
            <family val="2"/>
          </rPr>
          <t xml:space="preserve">
Based on Petrolia's average building cost of $3.75/ft2 from Huhnke OkSU round bale storage fact sheet BAE1716, * 15% for debt servicing and overhead, adjusted for inflation based on Jan 2021 Ag Prices Building materials index of 126.3/ Jan 2004  level of 73.3 = 1.72.</t>
        </r>
      </text>
    </comment>
    <comment ref="CR261" authorId="0" shapeId="0" xr:uid="{FD0401F8-0612-43F6-9814-0D71B74F31DA}">
      <text>
        <r>
          <rPr>
            <b/>
            <sz val="9"/>
            <color indexed="81"/>
            <rFont val="Tahoma"/>
            <family val="2"/>
          </rPr>
          <t>Massey, Ray:</t>
        </r>
        <r>
          <rPr>
            <sz val="9"/>
            <color indexed="81"/>
            <rFont val="Tahoma"/>
            <family val="2"/>
          </rPr>
          <t xml:space="preserve">
William F Lazarus:
The national net farm income is used in the salvage value formulas as an indicator of the strength of the market for used equipment.  If we expect to own a machine for 12-years from 2023, we are really interested in the machinery market in the year 2033, but of course since 2033 estimates are unavailable the best we can really do is use the USDA estimate for 2023, which is $1136.9 billion in the Feb. 7, 2023 forecast.  We have converted the 2023 estimates to 1996 dollars because the formulas were based on 1996 inflation levels.</t>
        </r>
      </text>
    </comment>
    <comment ref="CS262" authorId="2" shapeId="0" xr:uid="{2A0ED737-C0A2-483F-8103-DF5E9D451F0F}">
      <text>
        <r>
          <rPr>
            <b/>
            <sz val="9"/>
            <color indexed="81"/>
            <rFont val="Tahoma"/>
            <family val="2"/>
          </rPr>
          <t>William F Lazarus:</t>
        </r>
        <r>
          <rPr>
            <sz val="9"/>
            <color indexed="81"/>
            <rFont val="Tahoma"/>
            <family val="2"/>
          </rPr>
          <t xml:space="preserve">
from the Bureau of Econ Analysis National Income and Product Accts, in the econ report of the president</t>
        </r>
      </text>
    </comment>
    <comment ref="CR264" authorId="0" shapeId="0" xr:uid="{9E34F356-7782-4CB8-900F-9DDED5C2CD28}">
      <text>
        <r>
          <rPr>
            <b/>
            <sz val="9"/>
            <color indexed="81"/>
            <rFont val="Tahoma"/>
            <family val="2"/>
          </rPr>
          <t>Massey, Ray:</t>
        </r>
        <r>
          <rPr>
            <sz val="9"/>
            <color indexed="81"/>
            <rFont val="Tahoma"/>
            <family val="2"/>
          </rPr>
          <t xml:space="preserve">
William F Lazarus:
The national net farm income is used in the salvage value formulas as an indicator of the strength of the market for used equipment.  If we expect to own a machine for 12-years from 2020, we are really interested in the machinery market in the year 2031, but of course since 2028 estimates are unavailable the best we can really do is use USDA estimates for 2020.  We have converted the 2020 estimates to 1996 dollars because the formulas were based on 1996 inflation levels.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<sst xmlns="http://schemas.openxmlformats.org/spreadsheetml/2006/main" count="1007" uniqueCount="477">
  <si>
    <t>Developed by:</t>
  </si>
  <si>
    <t>University of Missouri Extension</t>
  </si>
  <si>
    <t>This worksheet is for educational purposes only and the user assumes all risks associated with its use.</t>
  </si>
  <si>
    <t>Alfalfa</t>
  </si>
  <si>
    <t>Lime</t>
  </si>
  <si>
    <t>Operating interest</t>
  </si>
  <si>
    <t/>
  </si>
  <si>
    <t>Price</t>
  </si>
  <si>
    <t>Quantity</t>
  </si>
  <si>
    <t>Seed</t>
  </si>
  <si>
    <t>Machinery repairs and maintenance</t>
  </si>
  <si>
    <t>Labor</t>
  </si>
  <si>
    <t>per acre</t>
  </si>
  <si>
    <t>Pickup truck</t>
  </si>
  <si>
    <t>Diesel fuel</t>
  </si>
  <si>
    <t>Operating</t>
  </si>
  <si>
    <t>Ownership</t>
  </si>
  <si>
    <t>Total</t>
  </si>
  <si>
    <t>Costs</t>
  </si>
  <si>
    <t>Unit</t>
  </si>
  <si>
    <t>Activity</t>
  </si>
  <si>
    <t xml:space="preserve">Apply dry fertilizer on cropland, single spread </t>
  </si>
  <si>
    <t>None</t>
  </si>
  <si>
    <t>Note: Equipment and power selection and data are from 2023 Lazarus Machdata.</t>
  </si>
  <si>
    <t>Cells with this color can be updated by using future Lazarus data or with data that the user has access to.</t>
  </si>
  <si>
    <t>Notes: I reduced this from the table Lazarus provides by eliminating the reference to Wu-Perry coefficients</t>
  </si>
  <si>
    <t>Items from Lazarus machdata.xls. Values may have been changed by me.</t>
  </si>
  <si>
    <t>Implements</t>
  </si>
  <si>
    <t>"Coefficients" table</t>
  </si>
  <si>
    <t>Selection</t>
  </si>
  <si>
    <t>Implement type</t>
  </si>
  <si>
    <t>Width</t>
  </si>
  <si>
    <t>Width Unit</t>
  </si>
  <si>
    <t>Size</t>
  </si>
  <si>
    <t>Size unit</t>
  </si>
  <si>
    <t>PriceP</t>
  </si>
  <si>
    <t>Discount</t>
  </si>
  <si>
    <t>PriceL</t>
  </si>
  <si>
    <t>Life (yr)</t>
  </si>
  <si>
    <t>Use (hr/yr)</t>
  </si>
  <si>
    <t>Use (ac/yr)</t>
  </si>
  <si>
    <t>ASABEtype</t>
  </si>
  <si>
    <t>Speed</t>
  </si>
  <si>
    <t>Efficiency</t>
  </si>
  <si>
    <t>LaborUse</t>
  </si>
  <si>
    <t>Shed (ft^2)</t>
  </si>
  <si>
    <t>TradeIn%</t>
  </si>
  <si>
    <t>TradeIn$</t>
  </si>
  <si>
    <t>Depr ($/ac)</t>
  </si>
  <si>
    <t>OH ($/ac)</t>
  </si>
  <si>
    <t>Rep ($/ac)</t>
  </si>
  <si>
    <t>Ownership costs($/ac)</t>
  </si>
  <si>
    <t>Order in Lazarus</t>
  </si>
  <si>
    <t>HP &amp; descriptive information</t>
  </si>
  <si>
    <t>HP</t>
  </si>
  <si>
    <t>Information</t>
  </si>
  <si>
    <t>Fuel (gal/hph)</t>
  </si>
  <si>
    <t>Depr ($/hr)</t>
  </si>
  <si>
    <t>OH ($/hr)</t>
  </si>
  <si>
    <t>Rep ($/hr)</t>
  </si>
  <si>
    <t>Fuel (gal/hr)</t>
  </si>
  <si>
    <t>Ownership costs ($/hr)</t>
  </si>
  <si>
    <t>ASABE Category</t>
  </si>
  <si>
    <t>RF1</t>
  </si>
  <si>
    <t>RF2</t>
  </si>
  <si>
    <t>Life (hr)</t>
  </si>
  <si>
    <t>RV1</t>
  </si>
  <si>
    <t>RV2</t>
  </si>
  <si>
    <t>RV3</t>
  </si>
  <si>
    <t>RV4</t>
  </si>
  <si>
    <t>RV5</t>
  </si>
  <si>
    <t>δ</t>
  </si>
  <si>
    <t>Note</t>
  </si>
  <si>
    <t>Item</t>
  </si>
  <si>
    <t>Value</t>
  </si>
  <si>
    <t>Chisel plow</t>
  </si>
  <si>
    <t>Ft</t>
  </si>
  <si>
    <t>Two wheel drive tractors</t>
  </si>
  <si>
    <t>Air-carrier sprayer</t>
  </si>
  <si>
    <t>Bean puller-windrower</t>
  </si>
  <si>
    <t>Interest rate, % of average investment</t>
  </si>
  <si>
    <t>Beet topper/stalk chopper</t>
  </si>
  <si>
    <t>Insurance Rate</t>
  </si>
  <si>
    <t xml:space="preserve">Chisel plow, front dsk </t>
  </si>
  <si>
    <t>Tandem disk harrow</t>
  </si>
  <si>
    <t>HP MFWD</t>
  </si>
  <si>
    <t>Mech. front wheel drive tractors</t>
  </si>
  <si>
    <t>Boom type sprayer</t>
  </si>
  <si>
    <t>Property taxes</t>
  </si>
  <si>
    <t>Moldboard plow</t>
  </si>
  <si>
    <t>Bottom</t>
  </si>
  <si>
    <t>Combine</t>
  </si>
  <si>
    <t>***</t>
  </si>
  <si>
    <t>Lubrication cost, % of fuel</t>
  </si>
  <si>
    <t>Corn picker sheller</t>
  </si>
  <si>
    <t>Storage cost/sq. foot of space</t>
  </si>
  <si>
    <t>Field cultivator</t>
  </si>
  <si>
    <t>Field cultivators</t>
  </si>
  <si>
    <t>Cotton picker</t>
  </si>
  <si>
    <t>Four wheel drive tractors &amp; crawlers</t>
  </si>
  <si>
    <t>Fertilizer spreader</t>
  </si>
  <si>
    <t>2023 U.S. net farm income forecast ($ billions)</t>
  </si>
  <si>
    <t>HP 4WD</t>
  </si>
  <si>
    <t>GDP implicit price deflator, 2022 4th quarter</t>
  </si>
  <si>
    <t>Tandem disk</t>
  </si>
  <si>
    <t>Forage blower</t>
  </si>
  <si>
    <t>GDP implicit price deflator, 1996</t>
  </si>
  <si>
    <t>Forage harvester</t>
  </si>
  <si>
    <t>Real net farm income projected at trade-in, in $ billion 1996 dollars</t>
  </si>
  <si>
    <t>Row crop planter</t>
  </si>
  <si>
    <t>Row</t>
  </si>
  <si>
    <t>HP Combine</t>
  </si>
  <si>
    <t>Forage harvester (SP)</t>
  </si>
  <si>
    <t>Acres conversion factor</t>
  </si>
  <si>
    <t>Forage wagons</t>
  </si>
  <si>
    <t>HP SP Forage Harvester Base Unit</t>
  </si>
  <si>
    <t>Grain drill</t>
  </si>
  <si>
    <t>Heavy Duty disk harrow</t>
  </si>
  <si>
    <t>Large rectangular baler</t>
  </si>
  <si>
    <t>Large round baler</t>
  </si>
  <si>
    <r>
      <t>Repair estimates are based on coefficients for the following function from the 2006</t>
    </r>
    <r>
      <rPr>
        <u/>
        <sz val="11"/>
        <rFont val="Arial"/>
        <family val="2"/>
      </rPr>
      <t xml:space="preserve"> ASABE Standards</t>
    </r>
    <r>
      <rPr>
        <sz val="11"/>
        <rFont val="Arial"/>
        <family val="2"/>
      </rPr>
      <t xml:space="preserve"> by the</t>
    </r>
  </si>
  <si>
    <t>Manure handling equipment</t>
  </si>
  <si>
    <t>*</t>
  </si>
  <si>
    <t>American Society of Agricultural and Biological Engineers, sections D497.5 FEB2006 and EP496.3 FEB2006</t>
  </si>
  <si>
    <t>Air seeder drill w/cart</t>
  </si>
  <si>
    <t>Moldboard plows</t>
  </si>
  <si>
    <t>No-till drill</t>
  </si>
  <si>
    <t>Mower</t>
  </si>
  <si>
    <t>Row cultivator</t>
  </si>
  <si>
    <t>Row crop cultivator</t>
  </si>
  <si>
    <t>Mower (rotary)</t>
  </si>
  <si>
    <t>Boom sprayer - self-propelled</t>
  </si>
  <si>
    <t>Sprayer (SP)</t>
  </si>
  <si>
    <t>Mower-conditioner</t>
  </si>
  <si>
    <t>Boom sprayer - pull-type</t>
  </si>
  <si>
    <t>Mower-conditioner (rotary)</t>
  </si>
  <si>
    <t>Stalk shredder</t>
  </si>
  <si>
    <t>Mulcher-packer</t>
  </si>
  <si>
    <t>Potato harvester</t>
  </si>
  <si>
    <t>Hay rake</t>
  </si>
  <si>
    <t>Side delivery rake</t>
  </si>
  <si>
    <t>Rectangular baler</t>
  </si>
  <si>
    <t>Hay merger</t>
  </si>
  <si>
    <t>Roller packer</t>
  </si>
  <si>
    <t>Windrower (SP)</t>
  </si>
  <si>
    <t>Rotary hoe</t>
  </si>
  <si>
    <t>Rotary tiller</t>
  </si>
  <si>
    <t>Round baler</t>
  </si>
  <si>
    <t>5x6</t>
  </si>
  <si>
    <t>3x3</t>
  </si>
  <si>
    <t>4x3</t>
  </si>
  <si>
    <t>Spring tooth harrow</t>
  </si>
  <si>
    <t>Forage harvester, pull-type w/corn head</t>
  </si>
  <si>
    <t>Forage harvester (Pull)</t>
  </si>
  <si>
    <t>Sugar beet harvester</t>
  </si>
  <si>
    <t>Forage harvester, pull-type w/pickup head</t>
  </si>
  <si>
    <t>Forage harvester, self-prop corn head</t>
  </si>
  <si>
    <t>Total mixed ration mixer wagons</t>
  </si>
  <si>
    <t>Forage harvester, self-prop pickup head</t>
  </si>
  <si>
    <t>Wagon</t>
  </si>
  <si>
    <t>Forage harvester, self-prop pickup head (2X windrows)</t>
  </si>
  <si>
    <t>Combine platform</t>
  </si>
  <si>
    <t>Skid-steer loader</t>
  </si>
  <si>
    <t>Combine corn hd</t>
  </si>
  <si>
    <t>Combine chopping corn hd</t>
  </si>
  <si>
    <t>Combine belt pickup hd</t>
  </si>
  <si>
    <t>Grain cart</t>
  </si>
  <si>
    <t>Heavy or offset disking</t>
  </si>
  <si>
    <t>Vertical tillage tool</t>
  </si>
  <si>
    <t>Cut brush (brush hog)</t>
  </si>
  <si>
    <t>per hour</t>
  </si>
  <si>
    <t>Mow pasture or CRP land</t>
  </si>
  <si>
    <t>Conventional planting, corn or grain sorghum, 30-inch rows</t>
  </si>
  <si>
    <t>Conventional planting, corn or grain sorghum, narrow rows</t>
  </si>
  <si>
    <t>Conventional planting, corn or grain sorghum, plant and apply fertilizer or chemicals</t>
  </si>
  <si>
    <t>Conventional planting, soybean, 30-inch rows</t>
  </si>
  <si>
    <t>Conventional planting, soybean, 15-inch rows</t>
  </si>
  <si>
    <t>Conventional planting, soybean, drill</t>
  </si>
  <si>
    <t>Conventional planting, small grains or forage crops, drill</t>
  </si>
  <si>
    <t>No-till planting, corn or grain sorghum, 30-inch rows</t>
  </si>
  <si>
    <t>No-till planting, corn or grain sorghum, narrow rows</t>
  </si>
  <si>
    <t>No-till planting, soybean, 30-inch rows</t>
  </si>
  <si>
    <t>No-till planting, soybean, 15-inch rows</t>
  </si>
  <si>
    <t>No-till planting, small grains or forage crops, drill</t>
  </si>
  <si>
    <t>Apply dry fertilizer on cropland, double spread</t>
  </si>
  <si>
    <t>Apply dry fertilizer on cropland, variable rate</t>
  </si>
  <si>
    <t>Apply dry fertilizer on pasture, topdressing</t>
  </si>
  <si>
    <t xml:space="preserve">Apply dry fertilizer plus seed </t>
  </si>
  <si>
    <t>Spray liquid fertilizer</t>
  </si>
  <si>
    <t>Spray liquid fertilizer and other chemicals</t>
  </si>
  <si>
    <t>Inject anhydrous ammonia</t>
  </si>
  <si>
    <t>Deliver and spread lime (includes lime)</t>
  </si>
  <si>
    <t>per ton</t>
  </si>
  <si>
    <t>Spread lime only</t>
  </si>
  <si>
    <t>Spray chemicals with self-propelled crop sprayer</t>
  </si>
  <si>
    <t>Spray chemicals with floater</t>
  </si>
  <si>
    <t>Spray chemicals with pull-type sprayer</t>
  </si>
  <si>
    <t>Combine corn</t>
  </si>
  <si>
    <t>Combine soybean</t>
  </si>
  <si>
    <t>Combine small grains</t>
  </si>
  <si>
    <t>Grain cart, in field</t>
  </si>
  <si>
    <t>per bushel</t>
  </si>
  <si>
    <t>per loaded mile</t>
  </si>
  <si>
    <t>Cut and condition hay</t>
  </si>
  <si>
    <t>Rake hay</t>
  </si>
  <si>
    <t>Round bale only with net wrap</t>
  </si>
  <si>
    <t>per bale</t>
  </si>
  <si>
    <t>Cut, rake and bale with net wrap</t>
  </si>
  <si>
    <t>Tube wrap round bales, with wrap</t>
  </si>
  <si>
    <t xml:space="preserve">Fuel </t>
  </si>
  <si>
    <t xml:space="preserve">Labor </t>
  </si>
  <si>
    <t>130 HP MFWD</t>
  </si>
  <si>
    <t>Ft Folding</t>
  </si>
  <si>
    <t>Wheel rake</t>
  </si>
  <si>
    <t>Disk mower</t>
  </si>
  <si>
    <t>Disk mower/conditioner</t>
  </si>
  <si>
    <t>HP Tracked 4WD</t>
  </si>
  <si>
    <t>Front end loader, tractor mounted</t>
  </si>
  <si>
    <t>Cultimulcher</t>
  </si>
  <si>
    <t>Disk mower/conditioner, 12 Ft</t>
  </si>
  <si>
    <t>Hay rake, 30 Ft Folding</t>
  </si>
  <si>
    <t>Small square baler, twine tie</t>
  </si>
  <si>
    <t>Power equipment</t>
  </si>
  <si>
    <t>Inline bale wrapper</t>
  </si>
  <si>
    <t>Rotary Mower (brush hog)</t>
  </si>
  <si>
    <t>Round baler w/net wrap</t>
  </si>
  <si>
    <t>Round baler w/net wrap, 30 Ft</t>
  </si>
  <si>
    <t>Hay tedder</t>
  </si>
  <si>
    <t>basket</t>
  </si>
  <si>
    <t>wheel</t>
  </si>
  <si>
    <t>Anhydrous applicator</t>
  </si>
  <si>
    <t>No-till drill, 15 Ft</t>
  </si>
  <si>
    <t>HP TWD</t>
  </si>
  <si>
    <t>75 HP TWD</t>
  </si>
  <si>
    <t>Operation type</t>
  </si>
  <si>
    <t>Primary tillage</t>
  </si>
  <si>
    <t>Planters</t>
  </si>
  <si>
    <t>Hay equipment</t>
  </si>
  <si>
    <t>Land management</t>
  </si>
  <si>
    <t>Forage harvesters</t>
  </si>
  <si>
    <t>Attachments</t>
  </si>
  <si>
    <t>Finish tillage</t>
  </si>
  <si>
    <t>Weed control</t>
  </si>
  <si>
    <t>Fertilization</t>
  </si>
  <si>
    <t>Grain harvest</t>
  </si>
  <si>
    <t>Rate</t>
  </si>
  <si>
    <t>Machinery fuel</t>
  </si>
  <si>
    <t>Machinery ownership</t>
  </si>
  <si>
    <t>Combine grass seed</t>
  </si>
  <si>
    <t>Haul grain or seed from bin to market</t>
  </si>
  <si>
    <t>Haul grain or seed from field to farm storage</t>
  </si>
  <si>
    <t>Move round (or large square) bales locally</t>
  </si>
  <si>
    <t>Input Prices</t>
  </si>
  <si>
    <t>Source</t>
  </si>
  <si>
    <t>MU Custom Rates, 2023</t>
  </si>
  <si>
    <t>Corn Silage Pricing Spreadsheet, 2023</t>
  </si>
  <si>
    <t xml:space="preserve">Silage chopping </t>
  </si>
  <si>
    <t>Presswheel drill</t>
  </si>
  <si>
    <t>Pick up and move small square bales locally (hand labor)</t>
  </si>
  <si>
    <t>Accumulate and stack small square bales and haul locally (mechanical collection)</t>
  </si>
  <si>
    <t>Kansas State Custom Rates, 2022</t>
  </si>
  <si>
    <t>Average of online responses given on various farm forum boards</t>
  </si>
  <si>
    <t>Species</t>
  </si>
  <si>
    <t>Price/lb</t>
  </si>
  <si>
    <t>Spring oats</t>
  </si>
  <si>
    <t>Crimson Clover</t>
  </si>
  <si>
    <t>Red Clover</t>
  </si>
  <si>
    <t>Annual Ryegrass</t>
  </si>
  <si>
    <t>Cowpea</t>
  </si>
  <si>
    <t>Hairy Vetch</t>
  </si>
  <si>
    <t>Buckwheat</t>
  </si>
  <si>
    <t>Daikon Radish</t>
  </si>
  <si>
    <t>Rape</t>
  </si>
  <si>
    <t>Purple-top Turnip</t>
  </si>
  <si>
    <t>Cereal Rye</t>
  </si>
  <si>
    <t>Wheat</t>
  </si>
  <si>
    <t>Triticale</t>
  </si>
  <si>
    <t>Cover Crop Seed Selection</t>
  </si>
  <si>
    <t>Sudangrass</t>
  </si>
  <si>
    <t>Teff Grass</t>
  </si>
  <si>
    <t>Sunn Hemp</t>
  </si>
  <si>
    <t>Winter pea</t>
  </si>
  <si>
    <t>Inoculant</t>
  </si>
  <si>
    <t>Sorghum Sudan</t>
  </si>
  <si>
    <t>Forage Sorghum</t>
  </si>
  <si>
    <t>Soybeans</t>
  </si>
  <si>
    <t>Pearl Millet</t>
  </si>
  <si>
    <t>German Millet</t>
  </si>
  <si>
    <t>Okra</t>
  </si>
  <si>
    <t>Sunflower</t>
  </si>
  <si>
    <t>Safflower</t>
  </si>
  <si>
    <t>yes</t>
  </si>
  <si>
    <t>no</t>
  </si>
  <si>
    <t>$/acre</t>
  </si>
  <si>
    <t>Cover Crop Production Costs</t>
  </si>
  <si>
    <t>Expected forage yield</t>
  </si>
  <si>
    <t>AUM</t>
  </si>
  <si>
    <t>Value of mechanically harvested forage</t>
  </si>
  <si>
    <t>Cost of grazing forage</t>
  </si>
  <si>
    <t>acres</t>
  </si>
  <si>
    <t>Size of field</t>
  </si>
  <si>
    <t>feet</t>
  </si>
  <si>
    <t>Permanent fence life</t>
  </si>
  <si>
    <t>Temporary fence life</t>
  </si>
  <si>
    <t>years</t>
  </si>
  <si>
    <t>Fence moving</t>
  </si>
  <si>
    <t>Watering</t>
  </si>
  <si>
    <t>Management</t>
  </si>
  <si>
    <t>Stocking rate</t>
  </si>
  <si>
    <t>Watering time</t>
  </si>
  <si>
    <t>Management time</t>
  </si>
  <si>
    <t>Fence moving time</t>
  </si>
  <si>
    <t>hours/day</t>
  </si>
  <si>
    <t>AU/acre</t>
  </si>
  <si>
    <t>hours/week</t>
  </si>
  <si>
    <t>Grazing days</t>
  </si>
  <si>
    <t>%</t>
  </si>
  <si>
    <t>Dry hay price</t>
  </si>
  <si>
    <t>Baleage price</t>
  </si>
  <si>
    <t>Baleage moisture</t>
  </si>
  <si>
    <t>Develop customized cover crop forage budgets by changing production and cost assumptions to fit your farming situation.</t>
  </si>
  <si>
    <t>Cover Crop Grazing Budgets</t>
  </si>
  <si>
    <t>Ray Massey and Drew Kientzy</t>
  </si>
  <si>
    <t>Forage utilization rate</t>
  </si>
  <si>
    <t>Other expenses</t>
  </si>
  <si>
    <t>Portion of operating costs financed</t>
  </si>
  <si>
    <t>percent of total</t>
  </si>
  <si>
    <t>Custom hire</t>
  </si>
  <si>
    <t>Typical hay waste</t>
  </si>
  <si>
    <t>Water consumption</t>
  </si>
  <si>
    <t>Revenue</t>
  </si>
  <si>
    <t>Seed price</t>
  </si>
  <si>
    <t>gallons/acre</t>
  </si>
  <si>
    <t>hours/acre</t>
  </si>
  <si>
    <t>When mechanically harvested forage planned</t>
  </si>
  <si>
    <t>When grazing of CC forage planned</t>
  </si>
  <si>
    <t>passes per acre</t>
  </si>
  <si>
    <t>Total activity expense added</t>
  </si>
  <si>
    <t>Total custom hire expense avoided</t>
  </si>
  <si>
    <t>Total custom hire expense added</t>
  </si>
  <si>
    <t>Season</t>
  </si>
  <si>
    <t>Cool</t>
  </si>
  <si>
    <t>Warm</t>
  </si>
  <si>
    <t>Seed cost</t>
  </si>
  <si>
    <t>Seeding rate</t>
  </si>
  <si>
    <t>pounds/acre</t>
  </si>
  <si>
    <t>$/unit</t>
  </si>
  <si>
    <t>tons/acre, as-fed</t>
  </si>
  <si>
    <t>tons/acre, dry matter</t>
  </si>
  <si>
    <t>Mechanically harvested forage</t>
  </si>
  <si>
    <t>AUM grazing</t>
  </si>
  <si>
    <t>Cost</t>
  </si>
  <si>
    <t>EquipHrs (hr/ac)</t>
  </si>
  <si>
    <t>Fuel Use</t>
  </si>
  <si>
    <t>LaborHrs (hr/ac)</t>
  </si>
  <si>
    <t>Repairs</t>
  </si>
  <si>
    <t>Chemical 3</t>
  </si>
  <si>
    <t>Chemical 4</t>
  </si>
  <si>
    <t>Chemical 5</t>
  </si>
  <si>
    <t>Chemical 6</t>
  </si>
  <si>
    <t>Chemical 7</t>
  </si>
  <si>
    <t>Chemical 8</t>
  </si>
  <si>
    <t>Chemical 9</t>
  </si>
  <si>
    <t>Chemical 10</t>
  </si>
  <si>
    <t>Chemical price</t>
  </si>
  <si>
    <t>($/acre)</t>
  </si>
  <si>
    <t>Price/acre</t>
  </si>
  <si>
    <t>passes/acre</t>
  </si>
  <si>
    <t>Seed choice</t>
  </si>
  <si>
    <t>Chemical Choice</t>
  </si>
  <si>
    <t>Cover Crop Chemical Selection</t>
  </si>
  <si>
    <t>Cover Crop Fertilizer Selection</t>
  </si>
  <si>
    <t>Fertilizer choice</t>
  </si>
  <si>
    <t>Fertilizer price</t>
  </si>
  <si>
    <t>$/pound</t>
  </si>
  <si>
    <t>Anhydrous Ammonia</t>
  </si>
  <si>
    <t>Urea</t>
  </si>
  <si>
    <t>UAN</t>
  </si>
  <si>
    <t>MAP</t>
  </si>
  <si>
    <t>DAP</t>
  </si>
  <si>
    <t>Potash</t>
  </si>
  <si>
    <t>Sulfur</t>
  </si>
  <si>
    <t>Fertilizer</t>
  </si>
  <si>
    <t>Chemicals</t>
  </si>
  <si>
    <t>Machinery Expenses</t>
  </si>
  <si>
    <t>Potential Added Investment</t>
  </si>
  <si>
    <t>Added Permanent Fencing</t>
  </si>
  <si>
    <t>Added Temporary Fencing</t>
  </si>
  <si>
    <t>Annual Costs</t>
  </si>
  <si>
    <t>Water tank</t>
  </si>
  <si>
    <t>Investment depreciation</t>
  </si>
  <si>
    <t>Water tank life</t>
  </si>
  <si>
    <t>1000 gallons</t>
  </si>
  <si>
    <t>Grazing Specific Costs</t>
  </si>
  <si>
    <t>Total Expense</t>
  </si>
  <si>
    <t>Livestock water</t>
  </si>
  <si>
    <t>Cost Item</t>
  </si>
  <si>
    <t>Value of grazed forage</t>
  </si>
  <si>
    <t>Forage Value</t>
  </si>
  <si>
    <t>Pounds per ton</t>
  </si>
  <si>
    <t>Bales per acre</t>
  </si>
  <si>
    <t>Hay bales weight</t>
  </si>
  <si>
    <t>$/lb N</t>
  </si>
  <si>
    <t>$/lb P2O5</t>
  </si>
  <si>
    <t>$/lb K20</t>
  </si>
  <si>
    <t>$/lb S</t>
  </si>
  <si>
    <t>$/ton product</t>
  </si>
  <si>
    <t>Forage Characteristics</t>
  </si>
  <si>
    <t>Cost of livestock water</t>
  </si>
  <si>
    <t>Seed price table</t>
  </si>
  <si>
    <t>Chemical price table</t>
  </si>
  <si>
    <t>Fertilizer price table</t>
  </si>
  <si>
    <t>Chemical Name</t>
  </si>
  <si>
    <t>Other fertilizer 1</t>
  </si>
  <si>
    <t>Other fertilizer 2</t>
  </si>
  <si>
    <t>Other fertilizer 3</t>
  </si>
  <si>
    <t>Intermediate calculations</t>
  </si>
  <si>
    <t>Custom Rates Table</t>
  </si>
  <si>
    <t xml:space="preserve">Users can modify power unit default prices and other parameters in the PowerUnit database. </t>
  </si>
  <si>
    <t>Go to PowerUnit database.</t>
  </si>
  <si>
    <t>Go to Implements database.</t>
  </si>
  <si>
    <t>Users can modify equipment default prices and other parameters in the Implement database</t>
  </si>
  <si>
    <t>Total grazing specific costs</t>
  </si>
  <si>
    <t>Cost ($ per acre)</t>
  </si>
  <si>
    <t>Crop price</t>
  </si>
  <si>
    <t>Cash crops</t>
  </si>
  <si>
    <t>Yield impact</t>
  </si>
  <si>
    <t>bushels/acre</t>
  </si>
  <si>
    <t>Yield value</t>
  </si>
  <si>
    <t>Prior crop</t>
  </si>
  <si>
    <t>Following crop</t>
  </si>
  <si>
    <t>Crop</t>
  </si>
  <si>
    <t>Corn</t>
  </si>
  <si>
    <t>Grain Sorghum</t>
  </si>
  <si>
    <t>Yield impacts</t>
  </si>
  <si>
    <t>$/hour</t>
  </si>
  <si>
    <t>$/gallon</t>
  </si>
  <si>
    <t>$/1000 gallons</t>
  </si>
  <si>
    <t>Annual percentage rate</t>
  </si>
  <si>
    <t>Cover Crop Yield Impact</t>
  </si>
  <si>
    <t>Aerial seeding</t>
  </si>
  <si>
    <t>Activity using custom service</t>
  </si>
  <si>
    <t>Total owned equipment activity expense avoided</t>
  </si>
  <si>
    <t>Field activities performed because cover crop grown</t>
  </si>
  <si>
    <t>Activity done by operator</t>
  </si>
  <si>
    <t>Cost/unit</t>
  </si>
  <si>
    <t>Purchase price</t>
  </si>
  <si>
    <t>List price</t>
  </si>
  <si>
    <t>Field activities NOT performed because cover crop grown</t>
  </si>
  <si>
    <t>Users can modify custom rate prices in the Custom Rates database.</t>
  </si>
  <si>
    <t>Go to Custom Rates database</t>
  </si>
  <si>
    <t>Other</t>
  </si>
  <si>
    <t>Gal/AU/day</t>
  </si>
  <si>
    <t>lb of grazed forage DM</t>
  </si>
  <si>
    <t>pounds/bale</t>
  </si>
  <si>
    <t>$/ton</t>
  </si>
  <si>
    <t>Cover Crop Grazing Use</t>
  </si>
  <si>
    <t>Total Revenue</t>
  </si>
  <si>
    <t>Net Revenue</t>
  </si>
  <si>
    <t>$/bushel</t>
  </si>
  <si>
    <t>Typical preplant herbicides</t>
  </si>
  <si>
    <t>Cover crop termination</t>
  </si>
  <si>
    <t>applications/acre</t>
  </si>
  <si>
    <t>Cover crop not harvested</t>
  </si>
  <si>
    <t>Cover crop mechanically harvested</t>
  </si>
  <si>
    <t xml:space="preserve">Cover crop mechanically harvested </t>
  </si>
  <si>
    <t>Cover crop grazed</t>
  </si>
  <si>
    <t>160 HP MFWD</t>
  </si>
  <si>
    <t>Acres/hour</t>
  </si>
  <si>
    <t>Switch designators</t>
  </si>
  <si>
    <t>Other (type in here)</t>
  </si>
  <si>
    <t>total hours</t>
  </si>
  <si>
    <t>Total Cost</t>
  </si>
  <si>
    <t>Financing</t>
  </si>
  <si>
    <t>Updated: April 2024</t>
  </si>
  <si>
    <t>Instructions to the right of the table</t>
  </si>
  <si>
    <t>Grazing details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</si>
</sst>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8" formatCode="&quot;$&quot;#,##0.00_);[Red]\(&quot;$&quot;#,##0.00\)"/>
    <numFmt numFmtId="44" formatCode="_(&quot;$&quot;* #,##0.00_);_(&quot;$&quot;* \(#,##0.00\);_(&quot;$&quot;* &quot;-&quot;??_);_(@_)"/>
    <numFmt numFmtId="43" formatCode="_(* #,##0.00_);_(* \(#,##0.00\);_(* &quot;-&quot;??_);_(@_)"/>
    <numFmt numFmtId="164" formatCode="&quot;$&quot;#,##0.00"/>
    <numFmt numFmtId="165" formatCode="0.0%"/>
    <numFmt numFmtId="166" formatCode="0.0"/>
    <numFmt numFmtId="167" formatCode="_(* #,##0_);_(* \(#,##0\);_(* &quot;-&quot;??_);_(@_)"/>
    <numFmt numFmtId="168" formatCode="#,##0.000"/>
    <numFmt numFmtId="169" formatCode="#,##0.0_);\(#,##0.0\)"/>
    <numFmt numFmtId="170" formatCode="_(* #,##0.0000_);_(* \(#,##0.0000\);_(* &quot;-&quot;??_);_(@_)"/>
    <numFmt numFmtId="171" formatCode="#,##0.0"/>
    <numFmt numFmtId="172" formatCode="0.00_);[Red]\(0.00\)"/>
    <numFmt numFmtId="173" formatCode="0.0_);[Red]\(0.0\)"/>
    <numFmt numFmtId="174" formatCode="0_);[Red]\(0\)"/>
  </numFmts>
  <fonts count="55">
    <font>
      <sz val="11"/>
      <color theme="1"/>
      <name val="Segoe UI"/>
      <family val="2"/>
      <scheme val="minor"/>
    </font>
    <font>
      <sz val="10"/>
      <name val="TimesNewRomanPS"/>
    </font>
    <font>
      <sz val="11"/>
      <color theme="1"/>
      <name val="Segoe UI"/>
      <family val="2"/>
      <scheme val="minor"/>
    </font>
    <font>
      <b/>
      <sz val="11"/>
      <color theme="1"/>
      <name val="Segoe UI"/>
      <family val="2"/>
      <scheme val="minor"/>
    </font>
    <font>
      <b/>
      <sz val="11"/>
      <color rgb="FF3F3F3F"/>
      <name val="Segoe UI"/>
      <family val="2"/>
      <scheme val="minor"/>
    </font>
    <font>
      <sz val="12"/>
      <color theme="1"/>
      <name val="Segoe UI"/>
      <family val="2"/>
      <scheme val="minor"/>
    </font>
    <font>
      <sz val="12"/>
      <name val="Segoe UI"/>
      <family val="2"/>
      <scheme val="minor"/>
    </font>
    <font>
      <sz val="11"/>
      <name val="Segoe UI"/>
      <family val="2"/>
      <scheme val="minor"/>
    </font>
    <font>
      <b/>
      <sz val="11"/>
      <name val="Segoe UI"/>
      <family val="2"/>
      <scheme val="minor"/>
    </font>
    <font>
      <i/>
      <sz val="11"/>
      <name val="Segoe UI"/>
      <family val="2"/>
      <scheme val="minor"/>
    </font>
    <font>
      <sz val="10"/>
      <name val="Segoe UI"/>
      <family val="2"/>
      <scheme val="minor"/>
    </font>
    <font>
      <sz val="8"/>
      <name val="Segoe UI"/>
      <family val="2"/>
      <scheme val="minor"/>
    </font>
    <font>
      <sz val="11"/>
      <color theme="1"/>
      <name val="Segoe UI"/>
      <family val="2"/>
    </font>
    <font>
      <b/>
      <sz val="11"/>
      <color theme="1"/>
      <name val="Segoe UI"/>
      <family val="2"/>
    </font>
    <font>
      <sz val="12"/>
      <color theme="1"/>
      <name val="Segoe UI"/>
      <family val="2"/>
    </font>
    <font>
      <sz val="10"/>
      <name val="Segoe UI"/>
      <family val="2"/>
    </font>
    <font>
      <b/>
      <sz val="14"/>
      <color rgb="FFF1B82D"/>
      <name val="Segoe UI Black"/>
      <family val="2"/>
      <scheme val="major"/>
    </font>
    <font>
      <b/>
      <sz val="10"/>
      <color rgb="FF3F3F3F"/>
      <name val="Segoe UI"/>
      <family val="2"/>
    </font>
    <font>
      <sz val="10"/>
      <color theme="1"/>
      <name val="Segoe UI"/>
      <family val="2"/>
      <scheme val="minor"/>
    </font>
    <font>
      <b/>
      <u/>
      <sz val="11"/>
      <name val="Segoe UI"/>
      <family val="2"/>
      <scheme val="minor"/>
    </font>
    <font>
      <b/>
      <sz val="10"/>
      <color theme="1"/>
      <name val="Segoe UI"/>
      <family val="2"/>
    </font>
    <font>
      <sz val="10"/>
      <color theme="1"/>
      <name val="Segoe UI"/>
      <family val="2"/>
    </font>
    <font>
      <b/>
      <sz val="10"/>
      <name val="Segoe UI"/>
      <family val="2"/>
    </font>
    <font>
      <sz val="10"/>
      <color indexed="8"/>
      <name val="Segoe UI"/>
      <family val="2"/>
    </font>
    <font>
      <b/>
      <sz val="10"/>
      <color rgb="FFF1B82D"/>
      <name val="Segoe UI"/>
      <family val="2"/>
    </font>
    <font>
      <sz val="10"/>
      <color rgb="FFF1B82D"/>
      <name val="Segoe UI"/>
      <family val="2"/>
    </font>
    <font>
      <sz val="11"/>
      <name val="Arial"/>
      <family val="2"/>
    </font>
    <font>
      <u/>
      <sz val="11"/>
      <name val="Arial"/>
      <family val="2"/>
    </font>
    <font>
      <b/>
      <sz val="9"/>
      <color indexed="81"/>
      <name val="Tahoma"/>
      <family val="2"/>
    </font>
    <font>
      <sz val="9"/>
      <color indexed="81"/>
      <name val="Tahoma"/>
      <family val="2"/>
    </font>
    <font>
      <b/>
      <sz val="8"/>
      <color indexed="81"/>
      <name val="Tahoma"/>
      <family val="2"/>
    </font>
    <font>
      <sz val="8"/>
      <color indexed="81"/>
      <name val="Tahoma"/>
      <family val="2"/>
    </font>
    <font>
      <i/>
      <sz val="8"/>
      <color theme="1"/>
      <name val="Segoe UI"/>
      <family val="2"/>
    </font>
    <font>
      <sz val="10"/>
      <color rgb="FFFFC000"/>
      <name val="Segoe UI"/>
      <family val="2"/>
    </font>
    <font>
      <b/>
      <sz val="12"/>
      <color rgb="FFFFC000"/>
      <name val="Segoe UI"/>
      <family val="2"/>
      <scheme val="minor"/>
    </font>
    <font>
      <vertAlign val="superscript"/>
      <sz val="11"/>
      <color theme="1"/>
      <name val="Segoe UI"/>
      <family val="2"/>
      <scheme val="minor"/>
    </font>
    <font>
      <b/>
      <sz val="10"/>
      <color theme="1"/>
      <name val="Segoe UI"/>
      <family val="2"/>
      <scheme val="minor"/>
    </font>
    <font>
      <b/>
      <sz val="11"/>
      <color theme="0"/>
      <name val="Segoe UI"/>
      <family val="2"/>
      <scheme val="minor"/>
    </font>
    <font>
      <i/>
      <sz val="9"/>
      <color theme="1"/>
      <name val="Segoe UI"/>
      <family val="2"/>
    </font>
    <font>
      <u/>
      <sz val="11"/>
      <color theme="1"/>
      <name val="Segoe UI"/>
      <family val="2"/>
      <scheme val="minor"/>
    </font>
    <font>
      <u/>
      <sz val="11"/>
      <color theme="1"/>
      <name val="Segoe UI"/>
      <family val="2"/>
    </font>
    <font>
      <i/>
      <sz val="10"/>
      <color theme="1"/>
      <name val="Segoe UI"/>
      <family val="2"/>
      <scheme val="minor"/>
    </font>
    <font>
      <i/>
      <sz val="10"/>
      <color theme="1"/>
      <name val="Segoe UI"/>
      <family val="2"/>
    </font>
    <font>
      <u/>
      <sz val="9"/>
      <color theme="1"/>
      <name val="Segoe UI"/>
      <family val="2"/>
      <scheme val="minor"/>
    </font>
    <font>
      <b/>
      <sz val="10"/>
      <name val="Segoe UI"/>
      <family val="2"/>
      <scheme val="minor"/>
    </font>
    <font>
      <i/>
      <sz val="9"/>
      <color theme="1"/>
      <name val="Segoe UI"/>
      <family val="2"/>
      <scheme val="minor"/>
    </font>
    <font>
      <u/>
      <sz val="11"/>
      <name val="Segoe UI"/>
      <family val="2"/>
      <scheme val="minor"/>
    </font>
    <font>
      <u/>
      <sz val="11"/>
      <color theme="10"/>
      <name val="Segoe UI"/>
      <family val="2"/>
      <scheme val="minor"/>
    </font>
    <font>
      <sz val="9"/>
      <color theme="1"/>
      <name val="Segoe UI"/>
      <family val="2"/>
      <scheme val="minor"/>
    </font>
    <font>
      <u/>
      <sz val="12"/>
      <color theme="1"/>
      <name val="Segoe UI"/>
      <family val="2"/>
      <scheme val="minor"/>
    </font>
    <font>
      <u/>
      <sz val="12"/>
      <color theme="1"/>
      <name val="Segoe UI"/>
      <family val="2"/>
    </font>
    <font>
      <sz val="9"/>
      <color theme="1"/>
      <name val="Segoe UI"/>
      <family val="2"/>
    </font>
    <font>
      <b/>
      <sz val="10"/>
      <color rgb="FFFFC000"/>
      <name val="Segoe UI"/>
      <family val="2"/>
      <scheme val="minor"/>
    </font>
    <font>
      <i/>
      <sz val="10"/>
      <name val="Segoe UI"/>
      <family val="2"/>
      <scheme val="minor"/>
    </font>
    <font>
      <sz val="14"/>
      <color theme="1"/>
      <name val="Segoe UI"/>
      <family val="2"/>
    </font>
  </fonts>
  <fills count="9">
    <fill>
      <patternFill patternType="none"/>
    </fill>
    <fill>
      <patternFill patternType="gray125"/>
    </fill>
    <fill>
      <patternFill patternType="solid">
        <fgColor rgb="FFF2F2F2"/>
      </patternFill>
    </fill>
    <fill>
      <patternFill patternType="solid">
        <fgColor theme="1"/>
        <bgColor indexed="64"/>
      </patternFill>
    </fill>
    <fill>
      <patternFill patternType="solid">
        <fgColor theme="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theme="1"/>
      </patternFill>
    </fill>
  </fills>
  <borders count="105">
    <border>
      <left/>
      <right/>
      <top/>
      <bottom/>
      <diagonal/>
    </border>
    <border>
      <left/>
      <right/>
      <top/>
      <bottom style="thin">
        <color indexed="64"/>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thin">
        <color indexed="64"/>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theme="1"/>
      </left>
      <right/>
      <top style="thin">
        <color theme="1"/>
      </top>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theme="1"/>
      </top>
      <bottom/>
      <diagonal/>
    </border>
    <border>
      <left/>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style="thin">
        <color indexed="64"/>
      </top>
      <bottom style="medium">
        <color indexed="64"/>
      </bottom>
      <diagonal/>
    </border>
    <border>
      <left/>
      <right/>
      <top style="thin">
        <color theme="1"/>
      </top>
      <bottom style="thin">
        <color theme="1"/>
      </bottom>
      <diagonal/>
    </border>
    <border>
      <left style="medium">
        <color indexed="64"/>
      </left>
      <right/>
      <top style="thin">
        <color theme="1"/>
      </top>
      <bottom style="thin">
        <color theme="1"/>
      </bottom>
      <diagonal/>
    </border>
    <border>
      <left/>
      <right style="medium">
        <color indexed="64"/>
      </right>
      <top style="thin">
        <color theme="1"/>
      </top>
      <bottom style="thin">
        <color theme="1"/>
      </bottom>
      <diagonal/>
    </border>
    <border>
      <left style="medium">
        <color indexed="64"/>
      </left>
      <right/>
      <top style="thin">
        <color theme="1"/>
      </top>
      <bottom style="medium">
        <color indexed="64"/>
      </bottom>
      <diagonal/>
    </border>
    <border>
      <left/>
      <right/>
      <top style="thin">
        <color theme="1"/>
      </top>
      <bottom style="medium">
        <color indexed="64"/>
      </bottom>
      <diagonal/>
    </border>
    <border>
      <left/>
      <right style="medium">
        <color indexed="64"/>
      </right>
      <top style="thin">
        <color theme="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theme="1" tint="0.14996795556505021"/>
      </left>
      <right/>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style="thin">
        <color indexed="64"/>
      </bottom>
      <diagonal/>
    </border>
    <border>
      <left style="medium">
        <color indexed="64"/>
      </left>
      <right style="thin">
        <color indexed="64"/>
      </right>
      <top style="double">
        <color indexed="64"/>
      </top>
      <bottom style="thin">
        <color indexed="64"/>
      </bottom>
      <diagonal/>
    </border>
    <border>
      <left style="medium">
        <color theme="1" tint="0.14996795556505021"/>
      </left>
      <right style="thin">
        <color indexed="64"/>
      </right>
      <top style="thin">
        <color indexed="64"/>
      </top>
      <bottom style="double">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theme="1" tint="0.14996795556505021"/>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top/>
      <bottom style="hair">
        <color indexed="64"/>
      </bottom>
      <diagonal/>
    </border>
    <border>
      <left/>
      <right/>
      <top/>
      <bottom style="hair">
        <color indexed="64"/>
      </bottom>
      <diagonal/>
    </border>
    <border>
      <left style="medium">
        <color theme="1" tint="0.14996795556505021"/>
      </left>
      <right style="thin">
        <color indexed="64"/>
      </right>
      <top/>
      <bottom style="hair">
        <color indexed="64"/>
      </bottom>
      <diagonal/>
    </border>
    <border>
      <left style="medium">
        <color indexed="64"/>
      </left>
      <right style="thin">
        <color indexed="64"/>
      </right>
      <top/>
      <bottom style="hair">
        <color indexed="64"/>
      </bottom>
      <diagonal/>
    </border>
    <border>
      <left/>
      <right style="medium">
        <color indexed="64"/>
      </right>
      <top/>
      <bottom style="hair">
        <color indexed="64"/>
      </bottom>
      <diagonal/>
    </border>
    <border>
      <left/>
      <right style="thin">
        <color indexed="64"/>
      </right>
      <top/>
      <bottom style="hair">
        <color indexed="64"/>
      </bottom>
      <diagonal/>
    </border>
    <border>
      <left style="medium">
        <color theme="1" tint="0.14996795556505021"/>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medium">
        <color theme="1" tint="0.14996795556505021"/>
      </left>
      <right style="thin">
        <color indexed="64"/>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thin">
        <color indexed="64"/>
      </top>
      <bottom style="hair">
        <color indexed="64"/>
      </bottom>
      <diagonal/>
    </border>
    <border>
      <left style="medium">
        <color indexed="64"/>
      </left>
      <right/>
      <top style="hair">
        <color indexed="64"/>
      </top>
      <bottom style="double">
        <color indexed="64"/>
      </bottom>
      <diagonal/>
    </border>
    <border>
      <left/>
      <right/>
      <top style="hair">
        <color indexed="64"/>
      </top>
      <bottom style="double">
        <color indexed="64"/>
      </bottom>
      <diagonal/>
    </border>
    <border>
      <left/>
      <right style="medium">
        <color indexed="64"/>
      </right>
      <top style="hair">
        <color indexed="64"/>
      </top>
      <bottom style="double">
        <color indexed="64"/>
      </bottom>
      <diagonal/>
    </border>
    <border>
      <left/>
      <right/>
      <top style="hair">
        <color indexed="64"/>
      </top>
      <bottom/>
      <diagonal/>
    </border>
    <border>
      <left/>
      <right style="medium">
        <color indexed="64"/>
      </right>
      <top style="hair">
        <color indexed="64"/>
      </top>
      <bottom/>
      <diagonal/>
    </border>
  </borders>
  <cellStyleXfs count="8">
    <xf numFmtId="0" fontId="0" fillId="0" borderId="0"/>
    <xf numFmtId="0" fontId="1" fillId="0" borderId="0"/>
    <xf numFmtId="9" fontId="2" fillId="0" borderId="0" applyFont="0" applyFill="0" applyBorder="0" applyAlignment="0" applyProtection="0"/>
    <xf numFmtId="44" fontId="2" fillId="0" borderId="0" applyFont="0" applyFill="0" applyBorder="0" applyAlignment="0" applyProtection="0"/>
    <xf numFmtId="0" fontId="4" fillId="2" borderId="2" applyNumberFormat="0" applyAlignment="0" applyProtection="0"/>
    <xf numFmtId="43" fontId="2" fillId="0" borderId="0" applyFont="0" applyFill="0" applyBorder="0" applyAlignment="0" applyProtection="0"/>
    <xf numFmtId="0" fontId="2" fillId="0" borderId="0"/>
    <xf numFmtId="0" fontId="47" fillId="0" borderId="0" applyNumberFormat="0" applyFill="0" applyBorder="0" applyAlignment="0" applyProtection="0"/>
  </cellStyleXfs>
  <cellXfs count="491">
    <xf numFmtId="0" fontId="0" fillId="0" borderId="0" xfId="0"/>
    <xf numFmtId="0" fontId="7" fillId="0" borderId="0" xfId="1" applyFont="1"/>
    <xf numFmtId="2" fontId="7" fillId="0" borderId="0" xfId="1" applyNumberFormat="1" applyFont="1" applyAlignment="1">
      <alignment horizontal="right"/>
    </xf>
    <xf numFmtId="0" fontId="7" fillId="0" borderId="0" xfId="1" applyFont="1" applyAlignment="1">
      <alignment horizontal="left"/>
    </xf>
    <xf numFmtId="2" fontId="7" fillId="0" borderId="11" xfId="1" applyNumberFormat="1" applyFont="1" applyBorder="1" applyAlignment="1">
      <alignment horizontal="left"/>
    </xf>
    <xf numFmtId="2" fontId="7" fillId="0" borderId="0" xfId="1" applyNumberFormat="1" applyFont="1"/>
    <xf numFmtId="2" fontId="7" fillId="0" borderId="11" xfId="1" applyNumberFormat="1" applyFont="1" applyBorder="1" applyAlignment="1">
      <alignment horizontal="left" indent="1"/>
    </xf>
    <xf numFmtId="0" fontId="12" fillId="0" borderId="0" xfId="0" applyFont="1"/>
    <xf numFmtId="0" fontId="3" fillId="0" borderId="0" xfId="0" applyFont="1"/>
    <xf numFmtId="2" fontId="19" fillId="0" borderId="11" xfId="1" applyNumberFormat="1" applyFont="1" applyBorder="1" applyAlignment="1">
      <alignment horizontal="left"/>
    </xf>
    <xf numFmtId="2" fontId="8" fillId="0" borderId="18" xfId="1" applyNumberFormat="1" applyFont="1" applyBorder="1" applyAlignment="1">
      <alignment horizontal="right"/>
    </xf>
    <xf numFmtId="2" fontId="8" fillId="0" borderId="19" xfId="1" applyNumberFormat="1" applyFont="1" applyBorder="1" applyAlignment="1">
      <alignment horizontal="right"/>
    </xf>
    <xf numFmtId="0" fontId="21" fillId="0" borderId="0" xfId="0" applyFont="1"/>
    <xf numFmtId="0" fontId="21" fillId="4" borderId="0" xfId="0" applyFont="1" applyFill="1"/>
    <xf numFmtId="168" fontId="21" fillId="0" borderId="0" xfId="0" applyNumberFormat="1" applyFont="1"/>
    <xf numFmtId="0" fontId="20" fillId="0" borderId="0" xfId="0" applyFont="1"/>
    <xf numFmtId="0" fontId="22" fillId="0" borderId="0" xfId="0" applyFont="1"/>
    <xf numFmtId="0" fontId="15" fillId="0" borderId="0" xfId="0" applyFont="1"/>
    <xf numFmtId="0" fontId="23" fillId="0" borderId="0" xfId="0" applyFont="1"/>
    <xf numFmtId="0" fontId="15" fillId="0" borderId="0" xfId="0" applyFont="1" applyAlignment="1">
      <alignment horizontal="center"/>
    </xf>
    <xf numFmtId="0" fontId="15" fillId="0" borderId="0" xfId="0" applyFont="1" applyAlignment="1">
      <alignment horizontal="left"/>
    </xf>
    <xf numFmtId="0" fontId="15" fillId="0" borderId="0" xfId="0" quotePrefix="1" applyFont="1" applyAlignment="1">
      <alignment horizontal="left"/>
    </xf>
    <xf numFmtId="0" fontId="24" fillId="3" borderId="0" xfId="0" applyFont="1" applyFill="1" applyAlignment="1">
      <alignment wrapText="1"/>
    </xf>
    <xf numFmtId="0" fontId="25" fillId="0" borderId="0" xfId="0" applyFont="1" applyAlignment="1">
      <alignment horizontal="left" wrapText="1"/>
    </xf>
    <xf numFmtId="0" fontId="25" fillId="0" borderId="0" xfId="0" applyFont="1" applyAlignment="1">
      <alignment wrapText="1"/>
    </xf>
    <xf numFmtId="0" fontId="25" fillId="0" borderId="0" xfId="0" applyFont="1" applyAlignment="1">
      <alignment horizontal="right" wrapText="1"/>
    </xf>
    <xf numFmtId="0" fontId="25" fillId="0" borderId="0" xfId="0" quotePrefix="1" applyFont="1" applyAlignment="1">
      <alignment horizontal="right" wrapText="1"/>
    </xf>
    <xf numFmtId="0" fontId="15" fillId="0" borderId="0" xfId="0" quotePrefix="1" applyFont="1" applyAlignment="1" applyProtection="1">
      <alignment horizontal="left" wrapText="1"/>
      <protection locked="0"/>
    </xf>
    <xf numFmtId="0" fontId="15" fillId="4" borderId="0" xfId="0" quotePrefix="1" applyFont="1" applyFill="1" applyAlignment="1" applyProtection="1">
      <alignment horizontal="left"/>
      <protection locked="0"/>
    </xf>
    <xf numFmtId="0" fontId="15" fillId="4" borderId="0" xfId="0" applyFont="1" applyFill="1" applyProtection="1">
      <protection locked="0"/>
    </xf>
    <xf numFmtId="167" fontId="15" fillId="4" borderId="0" xfId="5" applyNumberFormat="1" applyFont="1" applyFill="1" applyBorder="1" applyProtection="1">
      <protection locked="0"/>
    </xf>
    <xf numFmtId="9" fontId="15" fillId="4" borderId="0" xfId="2" applyFont="1" applyFill="1" applyBorder="1" applyProtection="1">
      <protection locked="0"/>
    </xf>
    <xf numFmtId="3" fontId="15" fillId="4" borderId="0" xfId="0" applyNumberFormat="1" applyFont="1" applyFill="1"/>
    <xf numFmtId="167" fontId="15" fillId="4" borderId="0" xfId="5" applyNumberFormat="1" applyFont="1" applyFill="1" applyBorder="1" applyProtection="1"/>
    <xf numFmtId="165" fontId="21" fillId="0" borderId="0" xfId="0" applyNumberFormat="1" applyFont="1"/>
    <xf numFmtId="6" fontId="21" fillId="0" borderId="0" xfId="0" applyNumberFormat="1" applyFont="1"/>
    <xf numFmtId="43" fontId="21" fillId="0" borderId="0" xfId="0" applyNumberFormat="1" applyFont="1"/>
    <xf numFmtId="164" fontId="15" fillId="0" borderId="0" xfId="5" applyNumberFormat="1" applyFont="1" applyFill="1" applyBorder="1"/>
    <xf numFmtId="43" fontId="21" fillId="0" borderId="0" xfId="3" applyNumberFormat="1" applyFont="1" applyBorder="1"/>
    <xf numFmtId="8" fontId="21" fillId="0" borderId="0" xfId="0" applyNumberFormat="1" applyFont="1"/>
    <xf numFmtId="3" fontId="21" fillId="0" borderId="0" xfId="0" applyNumberFormat="1" applyFont="1"/>
    <xf numFmtId="0" fontId="23" fillId="0" borderId="0" xfId="0" applyFont="1" applyAlignment="1">
      <alignment horizontal="left"/>
    </xf>
    <xf numFmtId="0" fontId="15" fillId="4" borderId="0" xfId="0" applyFont="1" applyFill="1" applyAlignment="1">
      <alignment horizontal="right"/>
    </xf>
    <xf numFmtId="165" fontId="15" fillId="0" borderId="0" xfId="0" applyNumberFormat="1" applyFont="1" applyProtection="1">
      <protection locked="0"/>
    </xf>
    <xf numFmtId="6" fontId="15" fillId="0" borderId="0" xfId="0" applyNumberFormat="1" applyFont="1" applyProtection="1">
      <protection locked="0"/>
    </xf>
    <xf numFmtId="43" fontId="15" fillId="0" borderId="0" xfId="0" applyNumberFormat="1" applyFont="1"/>
    <xf numFmtId="43" fontId="15" fillId="0" borderId="0" xfId="0" applyNumberFormat="1" applyFont="1" applyProtection="1">
      <protection locked="0"/>
    </xf>
    <xf numFmtId="8" fontId="15" fillId="0" borderId="0" xfId="3" applyNumberFormat="1" applyFont="1"/>
    <xf numFmtId="4" fontId="15" fillId="0" borderId="0" xfId="0" applyNumberFormat="1" applyFont="1" applyProtection="1">
      <protection locked="0"/>
    </xf>
    <xf numFmtId="8" fontId="15" fillId="0" borderId="0" xfId="0" applyNumberFormat="1" applyFont="1" applyProtection="1">
      <protection locked="0"/>
    </xf>
    <xf numFmtId="0" fontId="15" fillId="4" borderId="0" xfId="0" applyFont="1" applyFill="1"/>
    <xf numFmtId="0" fontId="15" fillId="0" borderId="0" xfId="0" applyFont="1" applyAlignment="1">
      <alignment horizontal="right"/>
    </xf>
    <xf numFmtId="165" fontId="15" fillId="0" borderId="0" xfId="5" applyNumberFormat="1" applyFont="1" applyFill="1" applyBorder="1" applyProtection="1">
      <protection locked="0"/>
    </xf>
    <xf numFmtId="6" fontId="15" fillId="0" borderId="0" xfId="5" applyNumberFormat="1" applyFont="1" applyFill="1" applyBorder="1"/>
    <xf numFmtId="43" fontId="15" fillId="0" borderId="0" xfId="5" applyFont="1" applyFill="1" applyBorder="1"/>
    <xf numFmtId="8" fontId="15" fillId="0" borderId="0" xfId="3" applyNumberFormat="1" applyFont="1" applyFill="1" applyBorder="1"/>
    <xf numFmtId="165" fontId="15" fillId="4" borderId="0" xfId="0" applyNumberFormat="1" applyFont="1" applyFill="1" applyProtection="1">
      <protection locked="0"/>
    </xf>
    <xf numFmtId="10" fontId="15" fillId="4" borderId="0" xfId="0" applyNumberFormat="1" applyFont="1" applyFill="1" applyProtection="1">
      <protection locked="0"/>
    </xf>
    <xf numFmtId="0" fontId="15" fillId="4" borderId="0" xfId="0" applyFont="1" applyFill="1" applyAlignment="1" applyProtection="1">
      <alignment horizontal="left"/>
      <protection locked="0"/>
    </xf>
    <xf numFmtId="10" fontId="15" fillId="4" borderId="0" xfId="0" applyNumberFormat="1" applyFont="1" applyFill="1"/>
    <xf numFmtId="9" fontId="15" fillId="4" borderId="0" xfId="0" applyNumberFormat="1" applyFont="1" applyFill="1" applyProtection="1">
      <protection locked="0"/>
    </xf>
    <xf numFmtId="169" fontId="15" fillId="4" borderId="0" xfId="3" applyNumberFormat="1" applyFont="1" applyFill="1" applyBorder="1" applyProtection="1">
      <protection locked="0"/>
    </xf>
    <xf numFmtId="43" fontId="15" fillId="4" borderId="0" xfId="5" applyFont="1" applyFill="1" applyBorder="1" applyProtection="1">
      <protection locked="0"/>
    </xf>
    <xf numFmtId="44" fontId="15" fillId="0" borderId="0" xfId="3" applyFont="1" applyFill="1" applyBorder="1" applyProtection="1"/>
    <xf numFmtId="170" fontId="15" fillId="4" borderId="0" xfId="5" applyNumberFormat="1" applyFont="1" applyFill="1" applyBorder="1" applyProtection="1">
      <protection locked="0"/>
    </xf>
    <xf numFmtId="0" fontId="26" fillId="0" borderId="0" xfId="0" quotePrefix="1" applyFont="1" applyAlignment="1">
      <alignment horizontal="left"/>
    </xf>
    <xf numFmtId="0" fontId="26" fillId="0" borderId="0" xfId="0" applyFont="1" applyAlignment="1">
      <alignment horizontal="left"/>
    </xf>
    <xf numFmtId="0" fontId="21" fillId="0" borderId="20" xfId="0" applyFont="1" applyBorder="1"/>
    <xf numFmtId="0" fontId="24" fillId="0" borderId="0" xfId="0" applyFont="1"/>
    <xf numFmtId="8" fontId="15" fillId="4" borderId="0" xfId="0" applyNumberFormat="1" applyFont="1" applyFill="1"/>
    <xf numFmtId="8" fontId="21" fillId="4" borderId="0" xfId="0" applyNumberFormat="1" applyFont="1" applyFill="1"/>
    <xf numFmtId="0" fontId="20" fillId="0" borderId="1" xfId="0" applyFont="1" applyBorder="1" applyAlignment="1">
      <alignment horizontal="center"/>
    </xf>
    <xf numFmtId="0" fontId="32" fillId="0" borderId="0" xfId="0" applyFont="1" applyAlignment="1">
      <alignment horizontal="right"/>
    </xf>
    <xf numFmtId="4" fontId="21" fillId="0" borderId="0" xfId="0" applyNumberFormat="1" applyFont="1"/>
    <xf numFmtId="40" fontId="21" fillId="0" borderId="0" xfId="0" applyNumberFormat="1" applyFont="1"/>
    <xf numFmtId="2" fontId="20" fillId="0" borderId="0" xfId="0" applyNumberFormat="1" applyFont="1" applyAlignment="1">
      <alignment wrapText="1"/>
    </xf>
    <xf numFmtId="8" fontId="15" fillId="0" borderId="0" xfId="5" applyNumberFormat="1" applyFont="1" applyFill="1" applyBorder="1"/>
    <xf numFmtId="164" fontId="15" fillId="0" borderId="0" xfId="0" applyNumberFormat="1" applyFont="1" applyProtection="1">
      <protection locked="0"/>
    </xf>
    <xf numFmtId="0" fontId="20" fillId="0" borderId="0" xfId="0" applyFont="1" applyAlignment="1">
      <alignment horizontal="center"/>
    </xf>
    <xf numFmtId="0" fontId="20" fillId="0" borderId="0" xfId="0" applyFont="1" applyAlignment="1">
      <alignment horizontal="center" wrapText="1"/>
    </xf>
    <xf numFmtId="3" fontId="15" fillId="5" borderId="0" xfId="0" applyNumberFormat="1" applyFont="1" applyFill="1"/>
    <xf numFmtId="0" fontId="33" fillId="3" borderId="0" xfId="0" applyFont="1" applyFill="1" applyAlignment="1">
      <alignment wrapText="1"/>
    </xf>
    <xf numFmtId="0" fontId="12" fillId="5" borderId="0" xfId="0" applyFont="1" applyFill="1"/>
    <xf numFmtId="0" fontId="13" fillId="5" borderId="0" xfId="0" applyFont="1" applyFill="1"/>
    <xf numFmtId="0" fontId="13" fillId="5" borderId="0" xfId="0" applyFont="1" applyFill="1" applyAlignment="1">
      <alignment horizontal="left" indent="4"/>
    </xf>
    <xf numFmtId="40" fontId="8" fillId="0" borderId="12" xfId="1" applyNumberFormat="1" applyFont="1" applyBorder="1" applyAlignment="1">
      <alignment horizontal="right"/>
    </xf>
    <xf numFmtId="40" fontId="7" fillId="0" borderId="12" xfId="1" applyNumberFormat="1" applyFont="1" applyBorder="1" applyAlignment="1">
      <alignment horizontal="right"/>
    </xf>
    <xf numFmtId="44" fontId="0" fillId="0" borderId="0" xfId="3" applyFont="1"/>
    <xf numFmtId="44" fontId="0" fillId="0" borderId="0" xfId="3" applyFont="1" applyBorder="1"/>
    <xf numFmtId="0" fontId="0" fillId="6" borderId="11" xfId="0" applyFill="1" applyBorder="1"/>
    <xf numFmtId="0" fontId="0" fillId="0" borderId="0" xfId="0" quotePrefix="1"/>
    <xf numFmtId="0" fontId="3" fillId="0" borderId="1" xfId="0" applyFont="1" applyBorder="1"/>
    <xf numFmtId="2" fontId="8" fillId="0" borderId="23" xfId="1" applyNumberFormat="1" applyFont="1" applyBorder="1" applyAlignment="1">
      <alignment horizontal="left"/>
    </xf>
    <xf numFmtId="40" fontId="7" fillId="6" borderId="12" xfId="1" applyNumberFormat="1" applyFont="1" applyFill="1" applyBorder="1" applyAlignment="1">
      <alignment horizontal="right"/>
    </xf>
    <xf numFmtId="0" fontId="35" fillId="0" borderId="7" xfId="0" applyFont="1" applyBorder="1" applyAlignment="1">
      <alignment wrapText="1"/>
    </xf>
    <xf numFmtId="0" fontId="0" fillId="0" borderId="0" xfId="0" applyAlignment="1">
      <alignment horizontal="left" indent="1"/>
    </xf>
    <xf numFmtId="8" fontId="0" fillId="0" borderId="0" xfId="0" applyNumberFormat="1"/>
    <xf numFmtId="0" fontId="20" fillId="0" borderId="1" xfId="0" applyFont="1" applyBorder="1" applyAlignment="1">
      <alignment horizontal="center" wrapText="1"/>
    </xf>
    <xf numFmtId="0" fontId="0" fillId="0" borderId="21" xfId="0" applyBorder="1"/>
    <xf numFmtId="0" fontId="0" fillId="0" borderId="0" xfId="0" applyAlignment="1">
      <alignment wrapText="1"/>
    </xf>
    <xf numFmtId="0" fontId="3" fillId="0" borderId="9" xfId="0" applyFont="1" applyBorder="1"/>
    <xf numFmtId="44" fontId="8" fillId="0" borderId="10" xfId="3" applyFont="1" applyBorder="1"/>
    <xf numFmtId="0" fontId="20" fillId="0" borderId="14" xfId="0" applyFont="1" applyBorder="1" applyAlignment="1">
      <alignment horizontal="left"/>
    </xf>
    <xf numFmtId="0" fontId="21" fillId="0" borderId="10" xfId="0" applyFont="1" applyBorder="1"/>
    <xf numFmtId="0" fontId="20" fillId="0" borderId="9" xfId="0" applyFont="1" applyBorder="1"/>
    <xf numFmtId="2" fontId="21" fillId="0" borderId="10" xfId="0" applyNumberFormat="1" applyFont="1" applyBorder="1"/>
    <xf numFmtId="0" fontId="21" fillId="0" borderId="11" xfId="0" applyFont="1" applyBorder="1"/>
    <xf numFmtId="0" fontId="37" fillId="0" borderId="0" xfId="0" applyFont="1"/>
    <xf numFmtId="44" fontId="0" fillId="0" borderId="0" xfId="3" applyFont="1" applyFill="1" applyBorder="1"/>
    <xf numFmtId="0" fontId="34" fillId="0" borderId="11" xfId="0" applyFont="1" applyBorder="1" applyAlignment="1">
      <alignment horizontal="center" vertical="center"/>
    </xf>
    <xf numFmtId="4" fontId="6" fillId="0" borderId="0" xfId="0" applyNumberFormat="1" applyFont="1" applyProtection="1">
      <protection locked="0"/>
    </xf>
    <xf numFmtId="0" fontId="20" fillId="0" borderId="13" xfId="0" applyFont="1" applyBorder="1" applyAlignment="1">
      <alignment horizontal="center" wrapText="1"/>
    </xf>
    <xf numFmtId="0" fontId="21" fillId="0" borderId="7" xfId="0" applyFont="1" applyBorder="1"/>
    <xf numFmtId="0" fontId="0" fillId="0" borderId="0" xfId="0" applyAlignment="1">
      <alignment horizontal="center" wrapText="1"/>
    </xf>
    <xf numFmtId="0" fontId="20" fillId="0" borderId="0" xfId="0" applyFont="1" applyAlignment="1">
      <alignment horizontal="left" wrapText="1"/>
    </xf>
    <xf numFmtId="0" fontId="21" fillId="0" borderId="6" xfId="0" applyFont="1" applyBorder="1"/>
    <xf numFmtId="0" fontId="20" fillId="0" borderId="11" xfId="0" applyFont="1" applyBorder="1"/>
    <xf numFmtId="0" fontId="20" fillId="0" borderId="1" xfId="0" applyFont="1" applyBorder="1"/>
    <xf numFmtId="0" fontId="12" fillId="0" borderId="6" xfId="0" applyFont="1" applyBorder="1"/>
    <xf numFmtId="0" fontId="20" fillId="0" borderId="7" xfId="0" applyFont="1" applyBorder="1" applyAlignment="1">
      <alignment horizontal="right" wrapText="1"/>
    </xf>
    <xf numFmtId="2" fontId="20" fillId="0" borderId="7" xfId="0" applyNumberFormat="1" applyFont="1" applyBorder="1" applyAlignment="1">
      <alignment wrapText="1"/>
    </xf>
    <xf numFmtId="0" fontId="20" fillId="0" borderId="18" xfId="0" applyFont="1" applyBorder="1"/>
    <xf numFmtId="0" fontId="20" fillId="0" borderId="18" xfId="0" applyFont="1" applyBorder="1" applyAlignment="1">
      <alignment horizontal="center" wrapText="1"/>
    </xf>
    <xf numFmtId="0" fontId="20" fillId="0" borderId="19" xfId="0" applyFont="1" applyBorder="1" applyAlignment="1">
      <alignment horizontal="center" wrapText="1"/>
    </xf>
    <xf numFmtId="0" fontId="20" fillId="0" borderId="11" xfId="0" applyFont="1" applyBorder="1" applyAlignment="1">
      <alignment horizontal="center" wrapText="1"/>
    </xf>
    <xf numFmtId="0" fontId="38" fillId="0" borderId="31" xfId="0" applyFont="1" applyBorder="1" applyAlignment="1">
      <alignment horizontal="right"/>
    </xf>
    <xf numFmtId="0" fontId="20" fillId="0" borderId="14" xfId="0" applyFont="1" applyBorder="1" applyAlignment="1">
      <alignment horizontal="center"/>
    </xf>
    <xf numFmtId="0" fontId="34" fillId="0" borderId="0" xfId="0" applyFont="1" applyAlignment="1">
      <alignment horizontal="center" vertical="center"/>
    </xf>
    <xf numFmtId="8" fontId="3" fillId="0" borderId="0" xfId="0" applyNumberFormat="1" applyFont="1"/>
    <xf numFmtId="0" fontId="0" fillId="0" borderId="23" xfId="0" applyBorder="1" applyAlignment="1">
      <alignment horizontal="left"/>
    </xf>
    <xf numFmtId="0" fontId="43" fillId="0" borderId="18" xfId="0" applyFont="1" applyBorder="1" applyAlignment="1">
      <alignment horizontal="center"/>
    </xf>
    <xf numFmtId="0" fontId="38" fillId="0" borderId="28" xfId="0" applyFont="1" applyBorder="1" applyAlignment="1">
      <alignment horizontal="right"/>
    </xf>
    <xf numFmtId="0" fontId="38" fillId="0" borderId="30" xfId="0" applyFont="1" applyBorder="1" applyAlignment="1">
      <alignment horizontal="right"/>
    </xf>
    <xf numFmtId="0" fontId="38" fillId="0" borderId="18" xfId="0" applyFont="1" applyBorder="1" applyAlignment="1">
      <alignment horizontal="right"/>
    </xf>
    <xf numFmtId="8" fontId="10" fillId="0" borderId="0" xfId="3" applyNumberFormat="1" applyFont="1" applyBorder="1"/>
    <xf numFmtId="8" fontId="10" fillId="0" borderId="31" xfId="2" applyNumberFormat="1" applyFont="1" applyFill="1" applyBorder="1"/>
    <xf numFmtId="8" fontId="10" fillId="0" borderId="0" xfId="2" applyNumberFormat="1" applyFont="1" applyFill="1" applyBorder="1"/>
    <xf numFmtId="8" fontId="36" fillId="0" borderId="33" xfId="0" applyNumberFormat="1" applyFont="1" applyBorder="1"/>
    <xf numFmtId="8" fontId="36" fillId="0" borderId="10" xfId="0" applyNumberFormat="1" applyFont="1" applyBorder="1"/>
    <xf numFmtId="0" fontId="38" fillId="0" borderId="19" xfId="0" applyFont="1" applyBorder="1" applyAlignment="1">
      <alignment horizontal="right"/>
    </xf>
    <xf numFmtId="8" fontId="10" fillId="0" borderId="12" xfId="2" applyNumberFormat="1" applyFont="1" applyFill="1" applyBorder="1"/>
    <xf numFmtId="8" fontId="36" fillId="0" borderId="5" xfId="0" applyNumberFormat="1" applyFont="1" applyBorder="1"/>
    <xf numFmtId="44" fontId="44" fillId="0" borderId="10" xfId="3" applyFont="1" applyBorder="1"/>
    <xf numFmtId="0" fontId="45" fillId="0" borderId="18" xfId="0" applyFont="1" applyBorder="1" applyAlignment="1">
      <alignment horizontal="center"/>
    </xf>
    <xf numFmtId="174" fontId="18" fillId="6" borderId="29" xfId="0" applyNumberFormat="1" applyFont="1" applyFill="1" applyBorder="1"/>
    <xf numFmtId="38" fontId="36" fillId="0" borderId="32" xfId="0" applyNumberFormat="1" applyFont="1" applyBorder="1"/>
    <xf numFmtId="174" fontId="36" fillId="0" borderId="32" xfId="0" applyNumberFormat="1" applyFont="1" applyBorder="1"/>
    <xf numFmtId="0" fontId="0" fillId="0" borderId="23" xfId="0" applyBorder="1"/>
    <xf numFmtId="0" fontId="0" fillId="6" borderId="14" xfId="0" applyFill="1" applyBorder="1"/>
    <xf numFmtId="172" fontId="10" fillId="0" borderId="27" xfId="2" applyNumberFormat="1" applyFont="1" applyFill="1" applyBorder="1"/>
    <xf numFmtId="174" fontId="18" fillId="6" borderId="26" xfId="0" applyNumberFormat="1" applyFont="1" applyFill="1" applyBorder="1"/>
    <xf numFmtId="0" fontId="3" fillId="0" borderId="11" xfId="0" applyFont="1" applyBorder="1" applyAlignment="1">
      <alignment horizontal="left"/>
    </xf>
    <xf numFmtId="0" fontId="3" fillId="0" borderId="0" xfId="0" applyFont="1" applyAlignment="1">
      <alignment horizontal="center"/>
    </xf>
    <xf numFmtId="0" fontId="36" fillId="0" borderId="29" xfId="0" applyFont="1" applyBorder="1" applyAlignment="1">
      <alignment horizontal="center"/>
    </xf>
    <xf numFmtId="0" fontId="36" fillId="0" borderId="31" xfId="0" applyFont="1" applyBorder="1" applyAlignment="1">
      <alignment horizontal="center"/>
    </xf>
    <xf numFmtId="0" fontId="36" fillId="0" borderId="0" xfId="0" applyFont="1" applyAlignment="1">
      <alignment horizontal="center"/>
    </xf>
    <xf numFmtId="0" fontId="36" fillId="0" borderId="12" xfId="0" applyFont="1" applyBorder="1" applyAlignment="1">
      <alignment horizontal="center"/>
    </xf>
    <xf numFmtId="8" fontId="7" fillId="0" borderId="0" xfId="1" applyNumberFormat="1" applyFont="1" applyAlignment="1">
      <alignment horizontal="right"/>
    </xf>
    <xf numFmtId="8" fontId="20" fillId="0" borderId="5" xfId="0" applyNumberFormat="1" applyFont="1" applyBorder="1"/>
    <xf numFmtId="40" fontId="7" fillId="0" borderId="12" xfId="1" applyNumberFormat="1" applyFont="1" applyBorder="1" applyAlignment="1">
      <alignment horizontal="center"/>
    </xf>
    <xf numFmtId="8" fontId="7" fillId="0" borderId="12" xfId="1" applyNumberFormat="1" applyFont="1" applyBorder="1" applyAlignment="1">
      <alignment horizontal="center"/>
    </xf>
    <xf numFmtId="2" fontId="9" fillId="0" borderId="6" xfId="1" applyNumberFormat="1" applyFont="1" applyBorder="1" applyAlignment="1">
      <alignment horizontal="left"/>
    </xf>
    <xf numFmtId="2" fontId="8" fillId="0" borderId="11" xfId="1" applyNumberFormat="1" applyFont="1" applyBorder="1" applyAlignment="1">
      <alignment horizontal="left"/>
    </xf>
    <xf numFmtId="2" fontId="8" fillId="0" borderId="12" xfId="1" applyNumberFormat="1" applyFont="1" applyBorder="1" applyAlignment="1">
      <alignment horizontal="right"/>
    </xf>
    <xf numFmtId="2" fontId="19" fillId="0" borderId="14" xfId="1" applyNumberFormat="1" applyFont="1" applyBorder="1" applyAlignment="1">
      <alignment horizontal="left"/>
    </xf>
    <xf numFmtId="2" fontId="8" fillId="0" borderId="1" xfId="1" applyNumberFormat="1" applyFont="1" applyBorder="1" applyAlignment="1">
      <alignment horizontal="right"/>
    </xf>
    <xf numFmtId="2" fontId="8" fillId="0" borderId="13" xfId="1" applyNumberFormat="1" applyFont="1" applyBorder="1" applyAlignment="1">
      <alignment horizontal="right"/>
    </xf>
    <xf numFmtId="2" fontId="46" fillId="0" borderId="7" xfId="1" applyNumberFormat="1" applyFont="1" applyBorder="1" applyAlignment="1">
      <alignment horizontal="center" wrapText="1"/>
    </xf>
    <xf numFmtId="0" fontId="40" fillId="0" borderId="12" xfId="0" applyFont="1" applyBorder="1" applyAlignment="1">
      <alignment horizontal="center" vertical="top" wrapText="1"/>
    </xf>
    <xf numFmtId="4" fontId="7" fillId="0" borderId="12" xfId="1" applyNumberFormat="1" applyFont="1" applyBorder="1" applyAlignment="1">
      <alignment horizontal="center"/>
    </xf>
    <xf numFmtId="4" fontId="7" fillId="0" borderId="12" xfId="1" applyNumberFormat="1" applyFont="1" applyBorder="1" applyAlignment="1">
      <alignment horizontal="center" wrapText="1"/>
    </xf>
    <xf numFmtId="4" fontId="7" fillId="0" borderId="12" xfId="1" applyNumberFormat="1" applyFont="1" applyBorder="1" applyAlignment="1">
      <alignment horizontal="right"/>
    </xf>
    <xf numFmtId="44" fontId="0" fillId="4" borderId="0" xfId="3" applyFont="1" applyFill="1" applyBorder="1"/>
    <xf numFmtId="44" fontId="0" fillId="4" borderId="24" xfId="3" applyFont="1" applyFill="1" applyBorder="1"/>
    <xf numFmtId="44" fontId="0" fillId="4" borderId="0" xfId="3" applyFont="1" applyFill="1"/>
    <xf numFmtId="0" fontId="47" fillId="0" borderId="0" xfId="7"/>
    <xf numFmtId="0" fontId="18" fillId="0" borderId="0" xfId="0" applyFont="1"/>
    <xf numFmtId="43" fontId="0" fillId="4" borderId="0" xfId="5" applyFont="1" applyFill="1" applyBorder="1"/>
    <xf numFmtId="0" fontId="0" fillId="4" borderId="0" xfId="0" applyFill="1"/>
    <xf numFmtId="4" fontId="0" fillId="4" borderId="0" xfId="0" applyNumberFormat="1" applyFill="1"/>
    <xf numFmtId="171" fontId="0" fillId="4" borderId="0" xfId="0" applyNumberFormat="1" applyFill="1"/>
    <xf numFmtId="9" fontId="0" fillId="4" borderId="0" xfId="2" applyFont="1" applyFill="1" applyBorder="1"/>
    <xf numFmtId="0" fontId="0" fillId="0" borderId="1" xfId="0" applyBorder="1"/>
    <xf numFmtId="9" fontId="0" fillId="4" borderId="1" xfId="0" applyNumberFormat="1" applyFill="1" applyBorder="1"/>
    <xf numFmtId="0" fontId="0" fillId="0" borderId="25" xfId="0" applyBorder="1"/>
    <xf numFmtId="1" fontId="0" fillId="0" borderId="0" xfId="0" applyNumberFormat="1"/>
    <xf numFmtId="2" fontId="0" fillId="0" borderId="0" xfId="0" applyNumberFormat="1"/>
    <xf numFmtId="44" fontId="3" fillId="0" borderId="0" xfId="3" applyFont="1" applyFill="1" applyBorder="1"/>
    <xf numFmtId="0" fontId="0" fillId="0" borderId="0" xfId="0" applyAlignment="1">
      <alignment horizontal="right"/>
    </xf>
    <xf numFmtId="0" fontId="21" fillId="0" borderId="0" xfId="0" applyFont="1" applyAlignment="1">
      <alignment horizontal="right"/>
    </xf>
    <xf numFmtId="0" fontId="21" fillId="3" borderId="0" xfId="0" applyFont="1" applyFill="1"/>
    <xf numFmtId="0" fontId="0" fillId="3" borderId="0" xfId="0" applyFill="1"/>
    <xf numFmtId="0" fontId="0" fillId="3" borderId="0" xfId="0" applyFill="1" applyAlignment="1">
      <alignment horizontal="right"/>
    </xf>
    <xf numFmtId="0" fontId="15" fillId="0" borderId="0" xfId="0" applyFont="1" applyProtection="1">
      <protection locked="0"/>
    </xf>
    <xf numFmtId="167" fontId="15" fillId="0" borderId="0" xfId="5" applyNumberFormat="1" applyFont="1" applyFill="1" applyBorder="1" applyProtection="1">
      <protection locked="0"/>
    </xf>
    <xf numFmtId="9" fontId="15" fillId="0" borderId="0" xfId="2" applyFont="1" applyFill="1" applyBorder="1" applyProtection="1">
      <protection locked="0"/>
    </xf>
    <xf numFmtId="3" fontId="15" fillId="0" borderId="0" xfId="0" applyNumberFormat="1" applyFont="1"/>
    <xf numFmtId="2" fontId="8" fillId="0" borderId="0" xfId="1" applyNumberFormat="1" applyFont="1" applyAlignment="1">
      <alignment horizontal="right"/>
    </xf>
    <xf numFmtId="166" fontId="7" fillId="0" borderId="11" xfId="1" applyNumberFormat="1" applyFont="1" applyBorder="1" applyAlignment="1">
      <alignment horizontal="left" indent="1"/>
    </xf>
    <xf numFmtId="1" fontId="7" fillId="6" borderId="0" xfId="1" applyNumberFormat="1" applyFont="1" applyFill="1"/>
    <xf numFmtId="1" fontId="7" fillId="0" borderId="0" xfId="1" applyNumberFormat="1" applyFont="1"/>
    <xf numFmtId="2" fontId="8" fillId="0" borderId="44" xfId="1" applyNumberFormat="1" applyFont="1" applyBorder="1"/>
    <xf numFmtId="2" fontId="7" fillId="0" borderId="25" xfId="1" applyNumberFormat="1" applyFont="1" applyBorder="1"/>
    <xf numFmtId="2" fontId="8" fillId="0" borderId="25" xfId="1" applyNumberFormat="1" applyFont="1" applyBorder="1" applyAlignment="1">
      <alignment horizontal="right"/>
    </xf>
    <xf numFmtId="40" fontId="8" fillId="0" borderId="34" xfId="1" applyNumberFormat="1" applyFont="1" applyBorder="1" applyAlignment="1">
      <alignment horizontal="right"/>
    </xf>
    <xf numFmtId="8" fontId="0" fillId="4" borderId="0" xfId="0" applyNumberFormat="1" applyFill="1"/>
    <xf numFmtId="0" fontId="0" fillId="0" borderId="11" xfId="0" applyBorder="1" applyAlignment="1">
      <alignment horizontal="left"/>
    </xf>
    <xf numFmtId="0" fontId="43" fillId="0" borderId="0" xfId="0" applyFont="1" applyAlignment="1">
      <alignment horizontal="center"/>
    </xf>
    <xf numFmtId="0" fontId="38" fillId="0" borderId="29" xfId="0" applyFont="1" applyBorder="1" applyAlignment="1">
      <alignment horizontal="right"/>
    </xf>
    <xf numFmtId="0" fontId="38" fillId="0" borderId="0" xfId="0" applyFont="1" applyAlignment="1">
      <alignment horizontal="right"/>
    </xf>
    <xf numFmtId="0" fontId="38" fillId="0" borderId="12" xfId="0" applyFont="1" applyBorder="1" applyAlignment="1">
      <alignment horizontal="right"/>
    </xf>
    <xf numFmtId="0" fontId="0" fillId="0" borderId="45" xfId="0" applyBorder="1"/>
    <xf numFmtId="8" fontId="10" fillId="0" borderId="46" xfId="3" applyNumberFormat="1" applyFont="1" applyBorder="1"/>
    <xf numFmtId="172" fontId="10" fillId="0" borderId="48" xfId="2" applyNumberFormat="1" applyFont="1" applyFill="1" applyBorder="1"/>
    <xf numFmtId="40" fontId="10" fillId="0" borderId="46" xfId="2" applyNumberFormat="1" applyFont="1" applyFill="1" applyBorder="1"/>
    <xf numFmtId="40" fontId="10" fillId="0" borderId="49" xfId="2" applyNumberFormat="1" applyFont="1" applyFill="1" applyBorder="1"/>
    <xf numFmtId="8" fontId="10" fillId="0" borderId="1" xfId="3" applyNumberFormat="1" applyFont="1" applyBorder="1"/>
    <xf numFmtId="40" fontId="10" fillId="0" borderId="1" xfId="2" applyNumberFormat="1" applyFont="1" applyFill="1" applyBorder="1"/>
    <xf numFmtId="40" fontId="10" fillId="0" borderId="13" xfId="2" applyNumberFormat="1" applyFont="1" applyFill="1" applyBorder="1"/>
    <xf numFmtId="174" fontId="18" fillId="0" borderId="47" xfId="0" applyNumberFormat="1" applyFont="1" applyBorder="1"/>
    <xf numFmtId="0" fontId="20" fillId="0" borderId="50" xfId="0" applyFont="1" applyBorder="1"/>
    <xf numFmtId="0" fontId="21" fillId="0" borderId="52" xfId="0" applyFont="1" applyBorder="1"/>
    <xf numFmtId="0" fontId="21" fillId="0" borderId="31" xfId="0" applyFont="1" applyBorder="1"/>
    <xf numFmtId="0" fontId="20" fillId="0" borderId="30" xfId="0" applyFont="1" applyBorder="1"/>
    <xf numFmtId="0" fontId="21" fillId="0" borderId="51" xfId="0" applyFont="1" applyBorder="1"/>
    <xf numFmtId="0" fontId="20" fillId="0" borderId="53" xfId="0" applyFont="1" applyBorder="1"/>
    <xf numFmtId="0" fontId="20" fillId="0" borderId="27" xfId="0" applyFont="1" applyBorder="1"/>
    <xf numFmtId="174" fontId="36" fillId="0" borderId="10" xfId="0" applyNumberFormat="1" applyFont="1" applyBorder="1"/>
    <xf numFmtId="0" fontId="36" fillId="0" borderId="11" xfId="0" applyFont="1" applyBorder="1" applyAlignment="1">
      <alignment horizontal="center"/>
    </xf>
    <xf numFmtId="0" fontId="38" fillId="0" borderId="23" xfId="0" applyFont="1" applyBorder="1" applyAlignment="1">
      <alignment horizontal="right"/>
    </xf>
    <xf numFmtId="174" fontId="36" fillId="0" borderId="9" xfId="0" applyNumberFormat="1" applyFont="1" applyBorder="1"/>
    <xf numFmtId="0" fontId="38" fillId="0" borderId="10" xfId="0" applyFont="1" applyBorder="1" applyAlignment="1">
      <alignment horizontal="right"/>
    </xf>
    <xf numFmtId="8" fontId="20" fillId="0" borderId="10" xfId="0" applyNumberFormat="1" applyFont="1" applyBorder="1" applyAlignment="1">
      <alignment horizontal="right"/>
    </xf>
    <xf numFmtId="0" fontId="20" fillId="0" borderId="23" xfId="0" applyFont="1" applyBorder="1" applyAlignment="1">
      <alignment horizontal="center"/>
    </xf>
    <xf numFmtId="2" fontId="20" fillId="0" borderId="0" xfId="0" applyNumberFormat="1" applyFont="1"/>
    <xf numFmtId="0" fontId="20" fillId="0" borderId="10" xfId="0" applyFont="1" applyBorder="1" applyAlignment="1">
      <alignment horizontal="right"/>
    </xf>
    <xf numFmtId="0" fontId="20" fillId="0" borderId="54" xfId="0" applyFont="1" applyBorder="1" applyAlignment="1">
      <alignment horizontal="left" wrapText="1"/>
    </xf>
    <xf numFmtId="0" fontId="21" fillId="0" borderId="55" xfId="0" applyFont="1" applyBorder="1"/>
    <xf numFmtId="2" fontId="20" fillId="0" borderId="55" xfId="0" applyNumberFormat="1" applyFont="1" applyBorder="1" applyAlignment="1">
      <alignment wrapText="1"/>
    </xf>
    <xf numFmtId="8" fontId="21" fillId="0" borderId="55" xfId="0" applyNumberFormat="1" applyFont="1" applyBorder="1"/>
    <xf numFmtId="8" fontId="21" fillId="0" borderId="56" xfId="0" applyNumberFormat="1" applyFont="1" applyBorder="1"/>
    <xf numFmtId="0" fontId="20" fillId="0" borderId="54" xfId="0" applyFont="1" applyBorder="1" applyAlignment="1">
      <alignment horizontal="left"/>
    </xf>
    <xf numFmtId="8" fontId="20" fillId="0" borderId="55" xfId="0" applyNumberFormat="1" applyFont="1" applyBorder="1"/>
    <xf numFmtId="8" fontId="20" fillId="0" borderId="56" xfId="0" applyNumberFormat="1" applyFont="1" applyBorder="1"/>
    <xf numFmtId="8" fontId="7" fillId="6" borderId="0" xfId="1" applyNumberFormat="1" applyFont="1" applyFill="1"/>
    <xf numFmtId="171" fontId="21" fillId="0" borderId="57" xfId="0" applyNumberFormat="1" applyFont="1" applyBorder="1"/>
    <xf numFmtId="171" fontId="21" fillId="0" borderId="58" xfId="0" applyNumberFormat="1" applyFont="1" applyBorder="1"/>
    <xf numFmtId="171" fontId="20" fillId="0" borderId="57" xfId="0" applyNumberFormat="1" applyFont="1" applyBorder="1"/>
    <xf numFmtId="171" fontId="20" fillId="0" borderId="58" xfId="0" applyNumberFormat="1" applyFont="1" applyBorder="1"/>
    <xf numFmtId="165" fontId="15" fillId="0" borderId="0" xfId="2" applyNumberFormat="1" applyFont="1" applyFill="1" applyBorder="1" applyProtection="1">
      <protection locked="0"/>
    </xf>
    <xf numFmtId="0" fontId="48" fillId="0" borderId="0" xfId="0" applyFont="1"/>
    <xf numFmtId="0" fontId="24" fillId="0" borderId="0" xfId="0" applyFont="1" applyAlignment="1">
      <alignment wrapText="1"/>
    </xf>
    <xf numFmtId="0" fontId="21" fillId="7" borderId="0" xfId="0" applyFont="1" applyFill="1"/>
    <xf numFmtId="40" fontId="7" fillId="0" borderId="12" xfId="1" applyNumberFormat="1" applyFont="1" applyBorder="1" applyAlignment="1">
      <alignment horizontal="right" indent="1"/>
    </xf>
    <xf numFmtId="2" fontId="8" fillId="0" borderId="0" xfId="1" applyNumberFormat="1" applyFont="1"/>
    <xf numFmtId="0" fontId="18" fillId="0" borderId="35" xfId="1" applyFont="1" applyBorder="1"/>
    <xf numFmtId="8" fontId="6" fillId="4" borderId="37" xfId="1" applyNumberFormat="1" applyFont="1" applyFill="1" applyBorder="1"/>
    <xf numFmtId="0" fontId="0" fillId="0" borderId="36" xfId="1" applyFont="1" applyBorder="1"/>
    <xf numFmtId="0" fontId="0" fillId="0" borderId="35" xfId="1" applyFont="1" applyBorder="1"/>
    <xf numFmtId="0" fontId="0" fillId="0" borderId="37" xfId="1" applyFont="1" applyBorder="1"/>
    <xf numFmtId="0" fontId="0" fillId="0" borderId="36" xfId="1" applyFont="1" applyBorder="1" applyAlignment="1">
      <alignment horizontal="left" indent="1"/>
    </xf>
    <xf numFmtId="2" fontId="7" fillId="4" borderId="37" xfId="1" applyNumberFormat="1" applyFont="1" applyFill="1" applyBorder="1"/>
    <xf numFmtId="0" fontId="5" fillId="0" borderId="36" xfId="1" applyFont="1" applyBorder="1"/>
    <xf numFmtId="9" fontId="6" fillId="4" borderId="37" xfId="1" applyNumberFormat="1" applyFont="1" applyFill="1" applyBorder="1"/>
    <xf numFmtId="0" fontId="5" fillId="0" borderId="38" xfId="1" applyFont="1" applyBorder="1" applyAlignment="1">
      <alignment horizontal="left"/>
    </xf>
    <xf numFmtId="0" fontId="18" fillId="0" borderId="39" xfId="1" applyFont="1" applyBorder="1"/>
    <xf numFmtId="3" fontId="6" fillId="4" borderId="40" xfId="1" applyNumberFormat="1" applyFont="1" applyFill="1" applyBorder="1"/>
    <xf numFmtId="0" fontId="5" fillId="0" borderId="36" xfId="1" applyFont="1" applyBorder="1" applyAlignment="1">
      <alignment horizontal="left"/>
    </xf>
    <xf numFmtId="0" fontId="37" fillId="8" borderId="41" xfId="0" applyFont="1" applyFill="1" applyBorder="1"/>
    <xf numFmtId="0" fontId="37" fillId="8" borderId="42" xfId="0" applyFont="1" applyFill="1" applyBorder="1"/>
    <xf numFmtId="0" fontId="37" fillId="8" borderId="43" xfId="0" applyFont="1" applyFill="1" applyBorder="1"/>
    <xf numFmtId="0" fontId="18" fillId="0" borderId="35" xfId="1" applyFont="1" applyBorder="1" applyAlignment="1">
      <alignment wrapText="1"/>
    </xf>
    <xf numFmtId="0" fontId="7" fillId="0" borderId="12" xfId="1" applyFont="1" applyBorder="1"/>
    <xf numFmtId="0" fontId="8" fillId="0" borderId="11" xfId="1" applyFont="1" applyBorder="1"/>
    <xf numFmtId="0" fontId="8" fillId="0" borderId="59" xfId="1" applyFont="1" applyBorder="1"/>
    <xf numFmtId="8" fontId="8" fillId="0" borderId="60" xfId="1" applyNumberFormat="1" applyFont="1" applyBorder="1"/>
    <xf numFmtId="8" fontId="8" fillId="0" borderId="61" xfId="1" applyNumberFormat="1" applyFont="1" applyBorder="1"/>
    <xf numFmtId="172" fontId="36" fillId="0" borderId="9" xfId="0" applyNumberFormat="1" applyFont="1" applyBorder="1"/>
    <xf numFmtId="38" fontId="36" fillId="0" borderId="10" xfId="0" applyNumberFormat="1" applyFont="1" applyBorder="1"/>
    <xf numFmtId="0" fontId="21" fillId="0" borderId="25" xfId="0" applyFont="1" applyBorder="1"/>
    <xf numFmtId="2" fontId="20" fillId="0" borderId="57" xfId="0" applyNumberFormat="1" applyFont="1" applyBorder="1" applyAlignment="1">
      <alignment wrapText="1"/>
    </xf>
    <xf numFmtId="2" fontId="20" fillId="0" borderId="64" xfId="0" applyNumberFormat="1" applyFont="1" applyBorder="1" applyAlignment="1">
      <alignment wrapText="1"/>
    </xf>
    <xf numFmtId="0" fontId="21" fillId="0" borderId="65" xfId="0" applyFont="1" applyBorder="1"/>
    <xf numFmtId="0" fontId="38" fillId="0" borderId="66" xfId="0" applyFont="1" applyBorder="1" applyAlignment="1">
      <alignment horizontal="right"/>
    </xf>
    <xf numFmtId="0" fontId="18" fillId="0" borderId="12" xfId="0" applyFont="1" applyBorder="1"/>
    <xf numFmtId="0" fontId="18" fillId="0" borderId="5" xfId="0" applyFont="1" applyBorder="1"/>
    <xf numFmtId="8" fontId="20" fillId="0" borderId="0" xfId="0" applyNumberFormat="1" applyFont="1" applyAlignment="1">
      <alignment horizontal="right"/>
    </xf>
    <xf numFmtId="0" fontId="20" fillId="0" borderId="0" xfId="0" applyFont="1" applyAlignment="1">
      <alignment horizontal="right"/>
    </xf>
    <xf numFmtId="8" fontId="20" fillId="0" borderId="0" xfId="0" applyNumberFormat="1" applyFont="1"/>
    <xf numFmtId="0" fontId="38" fillId="0" borderId="63" xfId="0" applyFont="1" applyBorder="1" applyAlignment="1">
      <alignment horizontal="right"/>
    </xf>
    <xf numFmtId="0" fontId="21" fillId="0" borderId="68" xfId="0" applyFont="1" applyBorder="1"/>
    <xf numFmtId="0" fontId="38" fillId="0" borderId="68" xfId="0" applyFont="1" applyBorder="1" applyAlignment="1">
      <alignment horizontal="right"/>
    </xf>
    <xf numFmtId="0" fontId="38" fillId="0" borderId="62" xfId="0" applyFont="1" applyBorder="1" applyAlignment="1">
      <alignment horizontal="right"/>
    </xf>
    <xf numFmtId="0" fontId="42" fillId="0" borderId="69" xfId="0" applyFont="1" applyBorder="1"/>
    <xf numFmtId="0" fontId="51" fillId="0" borderId="68" xfId="0" applyFont="1" applyBorder="1"/>
    <xf numFmtId="0" fontId="51" fillId="0" borderId="67" xfId="0" applyFont="1" applyBorder="1"/>
    <xf numFmtId="0" fontId="38" fillId="0" borderId="69" xfId="0" applyFont="1" applyBorder="1"/>
    <xf numFmtId="0" fontId="20" fillId="0" borderId="70" xfId="0" applyFont="1" applyBorder="1"/>
    <xf numFmtId="39" fontId="45" fillId="0" borderId="68" xfId="3" applyNumberFormat="1" applyFont="1" applyFill="1" applyBorder="1"/>
    <xf numFmtId="0" fontId="51" fillId="0" borderId="69" xfId="0" applyFont="1" applyBorder="1"/>
    <xf numFmtId="0" fontId="32" fillId="0" borderId="18" xfId="0" applyFont="1" applyBorder="1" applyAlignment="1">
      <alignment horizontal="right"/>
    </xf>
    <xf numFmtId="0" fontId="32" fillId="0" borderId="53" xfId="0" applyFont="1" applyBorder="1" applyAlignment="1">
      <alignment horizontal="right"/>
    </xf>
    <xf numFmtId="0" fontId="32" fillId="0" borderId="19" xfId="0" applyFont="1" applyBorder="1" applyAlignment="1">
      <alignment horizontal="right"/>
    </xf>
    <xf numFmtId="0" fontId="32" fillId="0" borderId="30" xfId="0" applyFont="1" applyBorder="1" applyAlignment="1">
      <alignment horizontal="right"/>
    </xf>
    <xf numFmtId="39" fontId="41" fillId="0" borderId="68" xfId="3" applyNumberFormat="1" applyFont="1" applyFill="1" applyBorder="1"/>
    <xf numFmtId="0" fontId="38" fillId="0" borderId="69" xfId="0" applyFont="1" applyBorder="1" applyAlignment="1">
      <alignment horizontal="right"/>
    </xf>
    <xf numFmtId="0" fontId="38" fillId="0" borderId="1" xfId="0" applyFont="1" applyBorder="1" applyAlignment="1">
      <alignment horizontal="right"/>
    </xf>
    <xf numFmtId="0" fontId="38" fillId="0" borderId="13" xfId="0" applyFont="1" applyBorder="1" applyAlignment="1">
      <alignment horizontal="right"/>
    </xf>
    <xf numFmtId="0" fontId="18" fillId="0" borderId="11" xfId="0" applyFont="1" applyBorder="1" applyAlignment="1">
      <alignment horizontal="left" indent="1"/>
    </xf>
    <xf numFmtId="8" fontId="10" fillId="6" borderId="7" xfId="0" applyNumberFormat="1" applyFont="1" applyFill="1" applyBorder="1"/>
    <xf numFmtId="0" fontId="18" fillId="0" borderId="9" xfId="0" applyFont="1" applyBorder="1" applyAlignment="1">
      <alignment horizontal="left" indent="1"/>
    </xf>
    <xf numFmtId="8" fontId="10" fillId="6" borderId="10" xfId="0" applyNumberFormat="1" applyFont="1" applyFill="1" applyBorder="1"/>
    <xf numFmtId="0" fontId="21" fillId="0" borderId="71" xfId="0" applyFont="1" applyBorder="1"/>
    <xf numFmtId="0" fontId="21" fillId="0" borderId="72" xfId="0" applyFont="1" applyBorder="1"/>
    <xf numFmtId="0" fontId="21" fillId="0" borderId="73" xfId="0" applyFont="1" applyBorder="1"/>
    <xf numFmtId="2" fontId="7" fillId="6" borderId="11" xfId="1" applyNumberFormat="1" applyFont="1" applyFill="1" applyBorder="1" applyAlignment="1">
      <alignment horizontal="left" indent="1"/>
    </xf>
    <xf numFmtId="2" fontId="8" fillId="6" borderId="0" xfId="1" applyNumberFormat="1" applyFont="1" applyFill="1" applyAlignment="1">
      <alignment horizontal="right"/>
    </xf>
    <xf numFmtId="3" fontId="0" fillId="0" borderId="25" xfId="0" applyNumberFormat="1" applyBorder="1"/>
    <xf numFmtId="2" fontId="53" fillId="0" borderId="12" xfId="1" applyNumberFormat="1" applyFont="1" applyBorder="1" applyAlignment="1">
      <alignment horizontal="right"/>
    </xf>
    <xf numFmtId="0" fontId="8" fillId="0" borderId="9" xfId="1" applyFont="1" applyBorder="1"/>
    <xf numFmtId="0" fontId="0" fillId="0" borderId="11" xfId="0" applyBorder="1" applyAlignment="1">
      <alignment horizontal="left" indent="1"/>
    </xf>
    <xf numFmtId="0" fontId="0" fillId="0" borderId="12" xfId="0" applyBorder="1"/>
    <xf numFmtId="0" fontId="0" fillId="0" borderId="9" xfId="0" applyBorder="1" applyAlignment="1">
      <alignment horizontal="left" indent="1"/>
    </xf>
    <xf numFmtId="0" fontId="0" fillId="0" borderId="5" xfId="0" applyBorder="1"/>
    <xf numFmtId="4" fontId="36" fillId="0" borderId="9" xfId="0" applyNumberFormat="1" applyFont="1" applyBorder="1"/>
    <xf numFmtId="4" fontId="36" fillId="0" borderId="10" xfId="0" applyNumberFormat="1" applyFont="1" applyBorder="1"/>
    <xf numFmtId="9" fontId="7" fillId="6" borderId="7" xfId="0" applyNumberFormat="1" applyFont="1" applyFill="1" applyBorder="1"/>
    <xf numFmtId="9" fontId="7" fillId="6" borderId="10" xfId="0" applyNumberFormat="1" applyFont="1" applyFill="1" applyBorder="1"/>
    <xf numFmtId="8" fontId="8" fillId="0" borderId="10" xfId="1" applyNumberFormat="1" applyFont="1" applyBorder="1"/>
    <xf numFmtId="8" fontId="8" fillId="0" borderId="5" xfId="1" applyNumberFormat="1" applyFont="1" applyBorder="1"/>
    <xf numFmtId="172" fontId="7" fillId="6" borderId="0" xfId="1" applyNumberFormat="1" applyFont="1" applyFill="1"/>
    <xf numFmtId="172" fontId="7" fillId="0" borderId="0" xfId="1" applyNumberFormat="1" applyFont="1" applyAlignment="1">
      <alignment horizontal="right"/>
    </xf>
    <xf numFmtId="0" fontId="14" fillId="5" borderId="0" xfId="0" applyFont="1" applyFill="1" applyAlignment="1">
      <alignment wrapText="1"/>
    </xf>
    <xf numFmtId="0" fontId="16" fillId="3" borderId="3" xfId="6" applyFont="1" applyFill="1" applyBorder="1" applyAlignment="1">
      <alignment horizontal="center"/>
    </xf>
    <xf numFmtId="0" fontId="16" fillId="3" borderId="4" xfId="6" applyFont="1" applyFill="1" applyBorder="1" applyAlignment="1">
      <alignment horizontal="center"/>
    </xf>
    <xf numFmtId="0" fontId="16" fillId="3" borderId="22" xfId="6" applyFont="1" applyFill="1" applyBorder="1" applyAlignment="1">
      <alignment horizontal="center"/>
    </xf>
    <xf numFmtId="0" fontId="12" fillId="5" borderId="0" xfId="0" applyFont="1" applyFill="1" applyAlignment="1">
      <alignment horizontal="right"/>
    </xf>
    <xf numFmtId="0" fontId="12" fillId="5" borderId="0" xfId="0" applyFont="1" applyFill="1"/>
    <xf numFmtId="0" fontId="17" fillId="2" borderId="15" xfId="4" applyFont="1" applyBorder="1" applyAlignment="1">
      <alignment horizontal="center"/>
    </xf>
    <xf numFmtId="0" fontId="17" fillId="2" borderId="16" xfId="4" applyFont="1" applyBorder="1" applyAlignment="1">
      <alignment horizontal="center"/>
    </xf>
    <xf numFmtId="0" fontId="17" fillId="2" borderId="17" xfId="4" applyFont="1" applyBorder="1" applyAlignment="1">
      <alignment horizontal="center"/>
    </xf>
    <xf numFmtId="0" fontId="49" fillId="0" borderId="11" xfId="0" applyFont="1" applyBorder="1" applyAlignment="1">
      <alignment horizontal="center" wrapText="1"/>
    </xf>
    <xf numFmtId="0" fontId="49" fillId="0" borderId="12" xfId="0" applyFont="1" applyBorder="1" applyAlignment="1">
      <alignment horizontal="center" wrapText="1"/>
    </xf>
    <xf numFmtId="0" fontId="50" fillId="0" borderId="0" xfId="0" applyFont="1" applyAlignment="1">
      <alignment horizontal="center" wrapText="1"/>
    </xf>
    <xf numFmtId="0" fontId="50" fillId="0" borderId="12" xfId="0" applyFont="1" applyBorder="1" applyAlignment="1">
      <alignment horizontal="center" wrapText="1"/>
    </xf>
    <xf numFmtId="0" fontId="34" fillId="3" borderId="6" xfId="0" applyFont="1" applyFill="1" applyBorder="1" applyAlignment="1">
      <alignment horizontal="center" vertical="center"/>
    </xf>
    <xf numFmtId="0" fontId="34" fillId="3" borderId="7" xfId="0" applyFont="1" applyFill="1" applyBorder="1" applyAlignment="1">
      <alignment horizontal="center" vertical="center"/>
    </xf>
    <xf numFmtId="0" fontId="34" fillId="3" borderId="8" xfId="0" applyFont="1" applyFill="1" applyBorder="1" applyAlignment="1">
      <alignment horizontal="center" vertical="center"/>
    </xf>
    <xf numFmtId="0" fontId="52" fillId="3" borderId="3" xfId="0" applyFont="1" applyFill="1" applyBorder="1" applyAlignment="1">
      <alignment horizontal="center" vertical="center"/>
    </xf>
    <xf numFmtId="0" fontId="52" fillId="3" borderId="4" xfId="0" applyFont="1" applyFill="1" applyBorder="1" applyAlignment="1">
      <alignment horizontal="center" vertical="center"/>
    </xf>
    <xf numFmtId="0" fontId="20" fillId="0" borderId="26" xfId="0" applyFont="1" applyBorder="1" applyAlignment="1">
      <alignment horizontal="center"/>
    </xf>
    <xf numFmtId="0" fontId="20" fillId="0" borderId="1" xfId="0" applyFont="1" applyBorder="1" applyAlignment="1">
      <alignment horizontal="center"/>
    </xf>
    <xf numFmtId="0" fontId="20" fillId="0" borderId="13" xfId="0" applyFont="1" applyBorder="1" applyAlignment="1">
      <alignment horizontal="center"/>
    </xf>
    <xf numFmtId="0" fontId="49" fillId="0" borderId="6" xfId="0" applyFont="1" applyBorder="1" applyAlignment="1">
      <alignment horizontal="center" wrapText="1"/>
    </xf>
    <xf numFmtId="0" fontId="49" fillId="0" borderId="7" xfId="0" applyFont="1" applyBorder="1" applyAlignment="1">
      <alignment horizontal="center" wrapText="1"/>
    </xf>
    <xf numFmtId="0" fontId="49" fillId="0" borderId="8" xfId="0" applyFont="1" applyBorder="1" applyAlignment="1">
      <alignment horizontal="center" wrapText="1"/>
    </xf>
    <xf numFmtId="0" fontId="50" fillId="0" borderId="7" xfId="0" applyFont="1" applyBorder="1" applyAlignment="1">
      <alignment horizontal="center" wrapText="1"/>
    </xf>
    <xf numFmtId="0" fontId="50" fillId="0" borderId="8" xfId="0" applyFont="1" applyBorder="1" applyAlignment="1">
      <alignment horizontal="center" wrapText="1"/>
    </xf>
    <xf numFmtId="0" fontId="50" fillId="0" borderId="6" xfId="0" applyFont="1" applyBorder="1" applyAlignment="1">
      <alignment horizontal="center" wrapText="1"/>
    </xf>
    <xf numFmtId="0" fontId="20" fillId="0" borderId="0" xfId="0" applyFont="1" applyAlignment="1">
      <alignment horizontal="center"/>
    </xf>
    <xf numFmtId="0" fontId="20" fillId="0" borderId="12" xfId="0" applyFont="1" applyBorder="1" applyAlignment="1">
      <alignment horizontal="center"/>
    </xf>
    <xf numFmtId="0" fontId="34" fillId="3" borderId="3" xfId="0" applyFont="1" applyFill="1" applyBorder="1" applyAlignment="1">
      <alignment horizontal="center" vertical="center"/>
    </xf>
    <xf numFmtId="0" fontId="34" fillId="3" borderId="4" xfId="0" applyFont="1" applyFill="1" applyBorder="1" applyAlignment="1">
      <alignment horizontal="center" vertical="center"/>
    </xf>
    <xf numFmtId="0" fontId="49" fillId="0" borderId="29" xfId="0" applyFont="1" applyBorder="1" applyAlignment="1">
      <alignment horizontal="center" wrapText="1"/>
    </xf>
    <xf numFmtId="0" fontId="49" fillId="0" borderId="31" xfId="0" applyFont="1" applyBorder="1" applyAlignment="1">
      <alignment horizontal="center" wrapText="1"/>
    </xf>
    <xf numFmtId="0" fontId="49" fillId="0" borderId="0" xfId="0" applyFont="1" applyAlignment="1">
      <alignment horizontal="center" wrapText="1"/>
    </xf>
    <xf numFmtId="0" fontId="50" fillId="0" borderId="29" xfId="0" applyFont="1" applyBorder="1" applyAlignment="1">
      <alignment horizontal="center" wrapText="1"/>
    </xf>
    <xf numFmtId="0" fontId="0" fillId="0" borderId="0" xfId="0" applyAlignment="1">
      <alignment horizontal="center"/>
    </xf>
    <xf numFmtId="0" fontId="16" fillId="3" borderId="6" xfId="6" applyFont="1" applyFill="1" applyBorder="1" applyAlignment="1">
      <alignment horizontal="center"/>
    </xf>
    <xf numFmtId="0" fontId="16" fillId="3" borderId="7" xfId="6" applyFont="1" applyFill="1" applyBorder="1" applyAlignment="1">
      <alignment horizontal="center"/>
    </xf>
    <xf numFmtId="0" fontId="16" fillId="3" borderId="8" xfId="6" applyFont="1" applyFill="1" applyBorder="1" applyAlignment="1">
      <alignment horizontal="center"/>
    </xf>
    <xf numFmtId="0" fontId="54" fillId="5" borderId="0" xfId="0" applyFont="1" applyFill="1" applyAlignment="1">
      <alignment horizontal="center" vertical="center" wrapText="1"/>
    </xf>
    <xf numFmtId="0" fontId="12" fillId="5" borderId="0" xfId="0" applyFont="1" applyFill="1" applyAlignment="1">
      <alignment horizontal="left"/>
    </xf>
    <xf numFmtId="0" fontId="0" fillId="6" borderId="74" xfId="0" applyFill="1" applyBorder="1"/>
    <xf numFmtId="8" fontId="10" fillId="0" borderId="75" xfId="3" applyNumberFormat="1" applyFont="1" applyBorder="1"/>
    <xf numFmtId="174" fontId="18" fillId="6" borderId="74" xfId="0" applyNumberFormat="1" applyFont="1" applyFill="1" applyBorder="1"/>
    <xf numFmtId="8" fontId="10" fillId="0" borderId="76" xfId="2" applyNumberFormat="1" applyFont="1" applyFill="1" applyBorder="1"/>
    <xf numFmtId="174" fontId="18" fillId="6" borderId="75" xfId="0" applyNumberFormat="1" applyFont="1" applyFill="1" applyBorder="1"/>
    <xf numFmtId="0" fontId="0" fillId="6" borderId="77" xfId="0" applyFill="1" applyBorder="1"/>
    <xf numFmtId="8" fontId="10" fillId="0" borderId="78" xfId="3" applyNumberFormat="1" applyFont="1" applyBorder="1"/>
    <xf numFmtId="174" fontId="18" fillId="6" borderId="77" xfId="0" applyNumberFormat="1" applyFont="1" applyFill="1" applyBorder="1"/>
    <xf numFmtId="172" fontId="10" fillId="0" borderId="79" xfId="2" applyNumberFormat="1" applyFont="1" applyFill="1" applyBorder="1"/>
    <xf numFmtId="40" fontId="10" fillId="0" borderId="79" xfId="2" applyNumberFormat="1" applyFont="1" applyFill="1" applyBorder="1"/>
    <xf numFmtId="174" fontId="18" fillId="6" borderId="78" xfId="0" applyNumberFormat="1" applyFont="1" applyFill="1" applyBorder="1"/>
    <xf numFmtId="0" fontId="0" fillId="0" borderId="80" xfId="0" applyBorder="1"/>
    <xf numFmtId="8" fontId="10" fillId="0" borderId="81" xfId="3" applyNumberFormat="1" applyFont="1" applyBorder="1"/>
    <xf numFmtId="0" fontId="18" fillId="6" borderId="80" xfId="0" applyFont="1" applyFill="1" applyBorder="1" applyAlignment="1">
      <alignment horizontal="right"/>
    </xf>
    <xf numFmtId="172" fontId="18" fillId="0" borderId="82" xfId="0" applyNumberFormat="1" applyFont="1" applyBorder="1"/>
    <xf numFmtId="40" fontId="18" fillId="0" borderId="82" xfId="0" applyNumberFormat="1" applyFont="1" applyBorder="1"/>
    <xf numFmtId="0" fontId="18" fillId="6" borderId="81" xfId="0" applyFont="1" applyFill="1" applyBorder="1" applyAlignment="1">
      <alignment horizontal="right"/>
    </xf>
    <xf numFmtId="172" fontId="18" fillId="6" borderId="74" xfId="0" applyNumberFormat="1" applyFont="1" applyFill="1" applyBorder="1"/>
    <xf numFmtId="172" fontId="18" fillId="6" borderId="75" xfId="0" applyNumberFormat="1" applyFont="1" applyFill="1" applyBorder="1"/>
    <xf numFmtId="172" fontId="18" fillId="6" borderId="77" xfId="0" applyNumberFormat="1" applyFont="1" applyFill="1" applyBorder="1"/>
    <xf numFmtId="172" fontId="18" fillId="6" borderId="78" xfId="0" applyNumberFormat="1" applyFont="1" applyFill="1" applyBorder="1"/>
    <xf numFmtId="0" fontId="0" fillId="6" borderId="80" xfId="0" applyFill="1" applyBorder="1"/>
    <xf numFmtId="8" fontId="10" fillId="0" borderId="82" xfId="3" applyNumberFormat="1" applyFont="1" applyBorder="1"/>
    <xf numFmtId="172" fontId="18" fillId="6" borderId="80" xfId="0" applyNumberFormat="1" applyFont="1" applyFill="1" applyBorder="1"/>
    <xf numFmtId="172" fontId="10" fillId="0" borderId="82" xfId="2" applyNumberFormat="1" applyFont="1" applyFill="1" applyBorder="1"/>
    <xf numFmtId="172" fontId="18" fillId="6" borderId="81" xfId="0" applyNumberFormat="1" applyFont="1" applyFill="1" applyBorder="1"/>
    <xf numFmtId="172" fontId="10" fillId="0" borderId="78" xfId="3" applyNumberFormat="1" applyFont="1" applyBorder="1"/>
    <xf numFmtId="172" fontId="10" fillId="0" borderId="81" xfId="3" applyNumberFormat="1" applyFont="1" applyBorder="1"/>
    <xf numFmtId="174" fontId="18" fillId="6" borderId="80" xfId="0" applyNumberFormat="1" applyFont="1" applyFill="1" applyBorder="1"/>
    <xf numFmtId="174" fontId="18" fillId="6" borderId="81" xfId="0" applyNumberFormat="1" applyFont="1" applyFill="1" applyBorder="1"/>
    <xf numFmtId="0" fontId="21" fillId="6" borderId="83" xfId="0" applyFont="1" applyFill="1" applyBorder="1"/>
    <xf numFmtId="0" fontId="21" fillId="6" borderId="84" xfId="0" applyFont="1" applyFill="1" applyBorder="1"/>
    <xf numFmtId="172" fontId="21" fillId="0" borderId="84" xfId="0" applyNumberFormat="1" applyFont="1" applyBorder="1"/>
    <xf numFmtId="8" fontId="21" fillId="0" borderId="84" xfId="0" applyNumberFormat="1" applyFont="1" applyBorder="1"/>
    <xf numFmtId="173" fontId="21" fillId="6" borderId="85" xfId="0" applyNumberFormat="1" applyFont="1" applyFill="1" applyBorder="1"/>
    <xf numFmtId="173" fontId="21" fillId="6" borderId="86" xfId="0" applyNumberFormat="1" applyFont="1" applyFill="1" applyBorder="1"/>
    <xf numFmtId="8" fontId="21" fillId="0" borderId="87" xfId="0" applyNumberFormat="1" applyFont="1" applyBorder="1"/>
    <xf numFmtId="173" fontId="21" fillId="6" borderId="88" xfId="0" applyNumberFormat="1" applyFont="1" applyFill="1" applyBorder="1"/>
    <xf numFmtId="0" fontId="21" fillId="6" borderId="77" xfId="0" applyFont="1" applyFill="1" applyBorder="1"/>
    <xf numFmtId="0" fontId="21" fillId="6" borderId="78" xfId="0" applyFont="1" applyFill="1" applyBorder="1"/>
    <xf numFmtId="172" fontId="21" fillId="0" borderId="78" xfId="0" applyNumberFormat="1" applyFont="1" applyBorder="1"/>
    <xf numFmtId="173" fontId="21" fillId="6" borderId="89" xfId="0" applyNumberFormat="1" applyFont="1" applyFill="1" applyBorder="1"/>
    <xf numFmtId="173" fontId="21" fillId="6" borderId="90" xfId="0" applyNumberFormat="1" applyFont="1" applyFill="1" applyBorder="1"/>
    <xf numFmtId="8" fontId="21" fillId="0" borderId="79" xfId="0" applyNumberFormat="1" applyFont="1" applyBorder="1"/>
    <xf numFmtId="173" fontId="21" fillId="6" borderId="91" xfId="0" applyNumberFormat="1" applyFont="1" applyFill="1" applyBorder="1"/>
    <xf numFmtId="172" fontId="21" fillId="0" borderId="79" xfId="0" applyNumberFormat="1" applyFont="1" applyBorder="1"/>
    <xf numFmtId="0" fontId="21" fillId="0" borderId="80" xfId="0" applyFont="1" applyBorder="1"/>
    <xf numFmtId="0" fontId="21" fillId="0" borderId="81" xfId="0" applyFont="1" applyBorder="1"/>
    <xf numFmtId="172" fontId="21" fillId="0" borderId="81" xfId="0" applyNumberFormat="1" applyFont="1" applyBorder="1"/>
    <xf numFmtId="172" fontId="21" fillId="0" borderId="92" xfId="0" applyNumberFormat="1" applyFont="1" applyBorder="1"/>
    <xf numFmtId="172" fontId="21" fillId="6" borderId="81" xfId="0" applyNumberFormat="1" applyFont="1" applyFill="1" applyBorder="1"/>
    <xf numFmtId="172" fontId="21" fillId="0" borderId="93" xfId="0" applyNumberFormat="1" applyFont="1" applyBorder="1"/>
    <xf numFmtId="172" fontId="21" fillId="0" borderId="82" xfId="0" applyNumberFormat="1" applyFont="1" applyBorder="1"/>
    <xf numFmtId="172" fontId="21" fillId="0" borderId="94" xfId="0" applyNumberFormat="1" applyFont="1" applyBorder="1"/>
    <xf numFmtId="0" fontId="21" fillId="6" borderId="74" xfId="0" applyFont="1" applyFill="1" applyBorder="1"/>
    <xf numFmtId="8" fontId="18" fillId="0" borderId="75" xfId="3" applyNumberFormat="1" applyFont="1" applyBorder="1"/>
    <xf numFmtId="39" fontId="18" fillId="0" borderId="75" xfId="3" applyNumberFormat="1" applyFont="1" applyBorder="1"/>
    <xf numFmtId="0" fontId="21" fillId="6" borderId="75" xfId="0" applyFont="1" applyFill="1" applyBorder="1"/>
    <xf numFmtId="0" fontId="21" fillId="0" borderId="75" xfId="0" applyFont="1" applyBorder="1"/>
    <xf numFmtId="171" fontId="21" fillId="6" borderId="95" xfId="0" applyNumberFormat="1" applyFont="1" applyFill="1" applyBorder="1"/>
    <xf numFmtId="8" fontId="21" fillId="0" borderId="75" xfId="0" applyNumberFormat="1" applyFont="1" applyBorder="1"/>
    <xf numFmtId="171" fontId="21" fillId="6" borderId="74" xfId="0" applyNumberFormat="1" applyFont="1" applyFill="1" applyBorder="1"/>
    <xf numFmtId="0" fontId="21" fillId="0" borderId="96" xfId="0" applyFont="1" applyBorder="1"/>
    <xf numFmtId="8" fontId="21" fillId="0" borderId="76" xfId="0" applyNumberFormat="1" applyFont="1" applyBorder="1"/>
    <xf numFmtId="39" fontId="18" fillId="0" borderId="78" xfId="3" applyNumberFormat="1" applyFont="1" applyBorder="1"/>
    <xf numFmtId="0" fontId="21" fillId="0" borderId="78" xfId="0" applyFont="1" applyBorder="1"/>
    <xf numFmtId="171" fontId="21" fillId="6" borderId="90" xfId="0" applyNumberFormat="1" applyFont="1" applyFill="1" applyBorder="1"/>
    <xf numFmtId="8" fontId="21" fillId="0" borderId="78" xfId="0" applyNumberFormat="1" applyFont="1" applyBorder="1"/>
    <xf numFmtId="171" fontId="21" fillId="6" borderId="77" xfId="0" applyNumberFormat="1" applyFont="1" applyFill="1" applyBorder="1"/>
    <xf numFmtId="0" fontId="21" fillId="0" borderId="97" xfId="0" applyFont="1" applyBorder="1"/>
    <xf numFmtId="0" fontId="21" fillId="6" borderId="80" xfId="0" applyFont="1" applyFill="1" applyBorder="1"/>
    <xf numFmtId="39" fontId="18" fillId="0" borderId="81" xfId="3" applyNumberFormat="1" applyFont="1" applyBorder="1"/>
    <xf numFmtId="0" fontId="21" fillId="6" borderId="81" xfId="0" applyFont="1" applyFill="1" applyBorder="1"/>
    <xf numFmtId="171" fontId="21" fillId="6" borderId="93" xfId="0" applyNumberFormat="1" applyFont="1" applyFill="1" applyBorder="1"/>
    <xf numFmtId="8" fontId="21" fillId="0" borderId="82" xfId="0" applyNumberFormat="1" applyFont="1" applyBorder="1"/>
    <xf numFmtId="171" fontId="21" fillId="6" borderId="80" xfId="0" applyNumberFormat="1" applyFont="1" applyFill="1" applyBorder="1"/>
    <xf numFmtId="0" fontId="21" fillId="0" borderId="98" xfId="0" applyFont="1" applyBorder="1"/>
    <xf numFmtId="0" fontId="12" fillId="0" borderId="23" xfId="0" applyFont="1" applyBorder="1"/>
    <xf numFmtId="0" fontId="12" fillId="0" borderId="18" xfId="0" applyFont="1" applyBorder="1"/>
    <xf numFmtId="172" fontId="21" fillId="0" borderId="75" xfId="0" applyNumberFormat="1" applyFont="1" applyBorder="1"/>
    <xf numFmtId="174" fontId="18" fillId="6" borderId="95" xfId="0" applyNumberFormat="1" applyFont="1" applyFill="1" applyBorder="1"/>
    <xf numFmtId="173" fontId="21" fillId="6" borderId="95" xfId="0" applyNumberFormat="1" applyFont="1" applyFill="1" applyBorder="1"/>
    <xf numFmtId="173" fontId="21" fillId="6" borderId="99" xfId="0" applyNumberFormat="1" applyFont="1" applyFill="1" applyBorder="1"/>
    <xf numFmtId="173" fontId="21" fillId="6" borderId="93" xfId="0" applyNumberFormat="1" applyFont="1" applyFill="1" applyBorder="1"/>
    <xf numFmtId="172" fontId="21" fillId="0" borderId="98" xfId="0" applyNumberFormat="1" applyFont="1" applyBorder="1"/>
    <xf numFmtId="173" fontId="21" fillId="6" borderId="94" xfId="0" applyNumberFormat="1" applyFont="1" applyFill="1" applyBorder="1"/>
    <xf numFmtId="8" fontId="21" fillId="0" borderId="81" xfId="0" applyNumberFormat="1" applyFont="1" applyBorder="1"/>
    <xf numFmtId="8" fontId="8" fillId="0" borderId="78" xfId="1" applyNumberFormat="1" applyFont="1" applyBorder="1" applyAlignment="1">
      <alignment horizontal="right"/>
    </xf>
    <xf numFmtId="40" fontId="8" fillId="0" borderId="78" xfId="1" applyNumberFormat="1" applyFont="1" applyBorder="1" applyAlignment="1">
      <alignment horizontal="right"/>
    </xf>
    <xf numFmtId="8" fontId="8" fillId="0" borderId="78" xfId="1" applyNumberFormat="1" applyFont="1" applyBorder="1"/>
    <xf numFmtId="0" fontId="7" fillId="0" borderId="83" xfId="1" applyFont="1" applyBorder="1"/>
    <xf numFmtId="8" fontId="7" fillId="0" borderId="84" xfId="1" applyNumberFormat="1" applyFont="1" applyBorder="1"/>
    <xf numFmtId="8" fontId="7" fillId="0" borderId="87" xfId="1" applyNumberFormat="1" applyFont="1" applyBorder="1"/>
    <xf numFmtId="0" fontId="7" fillId="0" borderId="77" xfId="1" applyFont="1" applyBorder="1" applyAlignment="1">
      <alignment horizontal="left"/>
    </xf>
    <xf numFmtId="0" fontId="7" fillId="0" borderId="79" xfId="1" applyFont="1" applyBorder="1"/>
    <xf numFmtId="0" fontId="7" fillId="0" borderId="77" xfId="1" applyFont="1" applyBorder="1" applyAlignment="1">
      <alignment horizontal="left" indent="1"/>
    </xf>
    <xf numFmtId="8" fontId="7" fillId="0" borderId="78" xfId="1" applyNumberFormat="1" applyFont="1" applyBorder="1"/>
    <xf numFmtId="0" fontId="8" fillId="0" borderId="100" xfId="1" applyFont="1" applyBorder="1"/>
    <xf numFmtId="8" fontId="8" fillId="0" borderId="101" xfId="1" applyNumberFormat="1" applyFont="1" applyBorder="1"/>
    <xf numFmtId="8" fontId="8" fillId="0" borderId="102" xfId="1" applyNumberFormat="1" applyFont="1" applyBorder="1"/>
    <xf numFmtId="0" fontId="39" fillId="0" borderId="0" xfId="0" applyFont="1" applyBorder="1" applyAlignment="1">
      <alignment horizontal="center" vertical="top" wrapText="1"/>
    </xf>
    <xf numFmtId="2" fontId="53" fillId="0" borderId="0" xfId="1" applyNumberFormat="1" applyFont="1" applyBorder="1" applyAlignment="1">
      <alignment horizontal="right"/>
    </xf>
    <xf numFmtId="2" fontId="7" fillId="0" borderId="77" xfId="1" applyNumberFormat="1" applyFont="1" applyBorder="1" applyAlignment="1">
      <alignment horizontal="left"/>
    </xf>
    <xf numFmtId="8" fontId="8" fillId="0" borderId="79" xfId="1" applyNumberFormat="1" applyFont="1" applyBorder="1" applyAlignment="1">
      <alignment horizontal="right"/>
    </xf>
    <xf numFmtId="8" fontId="7" fillId="0" borderId="0" xfId="1" applyNumberFormat="1" applyFont="1" applyBorder="1" applyAlignment="1">
      <alignment horizontal="center"/>
    </xf>
    <xf numFmtId="8" fontId="7" fillId="0" borderId="0" xfId="1" applyNumberFormat="1" applyFont="1" applyBorder="1" applyAlignment="1">
      <alignment horizontal="right"/>
    </xf>
    <xf numFmtId="8" fontId="8" fillId="0" borderId="79" xfId="1" applyNumberFormat="1" applyFont="1" applyBorder="1"/>
    <xf numFmtId="4" fontId="7" fillId="0" borderId="0" xfId="1" applyNumberFormat="1" applyFont="1" applyBorder="1" applyAlignment="1">
      <alignment horizontal="center"/>
    </xf>
    <xf numFmtId="40" fontId="7" fillId="0" borderId="0" xfId="1" applyNumberFormat="1" applyFont="1" applyBorder="1" applyAlignment="1">
      <alignment horizontal="center"/>
    </xf>
    <xf numFmtId="40" fontId="8" fillId="7" borderId="0" xfId="1" applyNumberFormat="1" applyFont="1" applyFill="1" applyBorder="1" applyAlignment="1">
      <alignment horizontal="right"/>
    </xf>
    <xf numFmtId="40" fontId="8" fillId="0" borderId="0" xfId="1" applyNumberFormat="1" applyFont="1" applyBorder="1" applyAlignment="1">
      <alignment horizontal="right"/>
    </xf>
    <xf numFmtId="0" fontId="7" fillId="0" borderId="0" xfId="1" applyFont="1" applyBorder="1"/>
    <xf numFmtId="8" fontId="7" fillId="0" borderId="0" xfId="1" applyNumberFormat="1" applyFont="1" applyBorder="1"/>
    <xf numFmtId="0" fontId="7" fillId="0" borderId="84" xfId="1" applyFont="1" applyBorder="1"/>
    <xf numFmtId="0" fontId="7" fillId="7" borderId="0" xfId="1" applyFont="1" applyFill="1" applyBorder="1"/>
    <xf numFmtId="0" fontId="7" fillId="0" borderId="103" xfId="1" applyFont="1" applyBorder="1"/>
    <xf numFmtId="8" fontId="0" fillId="0" borderId="104" xfId="0" applyNumberFormat="1" applyBorder="1"/>
    <xf numFmtId="0" fontId="7" fillId="0" borderId="87" xfId="1" applyFont="1" applyBorder="1"/>
  </cellXfs>
  <cellStyles count="8">
    <cellStyle name="Comma" xfId="5" builtinId="3"/>
    <cellStyle name="Currency" xfId="3" builtinId="4"/>
    <cellStyle name="Hyperlink" xfId="7" builtinId="8"/>
    <cellStyle name="Normal" xfId="0" builtinId="0"/>
    <cellStyle name="Normal 2" xfId="1" xr:uid="{00000000-0005-0000-0000-000001000000}"/>
    <cellStyle name="Normal 2 2" xfId="6" xr:uid="{89C8AF6F-0153-4530-901E-6E7955900719}"/>
    <cellStyle name="Output" xfId="4" builtinId="21"/>
    <cellStyle name="Percent" xfId="2" builtinId="5"/>
  </cellStyles>
  <dxfs count="87">
    <dxf>
      <font>
        <strike val="0"/>
        <color theme="0"/>
      </font>
      <fill>
        <patternFill patternType="none">
          <bgColor auto="1"/>
        </patternFill>
      </fill>
    </dxf>
    <dxf>
      <font>
        <strike val="0"/>
        <color theme="0"/>
      </font>
      <fill>
        <patternFill patternType="none">
          <bgColor auto="1"/>
        </patternFill>
      </fill>
    </dxf>
    <dxf>
      <font>
        <strike val="0"/>
        <color theme="0"/>
      </font>
    </dxf>
    <dxf>
      <font>
        <strike val="0"/>
        <color theme="0"/>
      </font>
      <fill>
        <patternFill patternType="none">
          <bgColor auto="1"/>
        </patternFill>
      </fill>
    </dxf>
    <dxf>
      <font>
        <strike val="0"/>
        <color theme="0"/>
      </font>
    </dxf>
    <dxf>
      <fill>
        <patternFill>
          <fgColor indexed="64"/>
          <bgColor theme="2"/>
        </patternFill>
      </fill>
    </dxf>
    <dxf>
      <alignment horizontal="left" vertical="bottom" textRotation="0" wrapText="0" indent="1" justifyLastLine="0" shrinkToFit="0" readingOrder="0"/>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b/>
        <i val="0"/>
        <strike val="0"/>
        <condense val="0"/>
        <extend val="0"/>
        <outline val="0"/>
        <shadow val="0"/>
        <u val="none"/>
        <vertAlign val="baseline"/>
        <sz val="11"/>
        <color theme="1"/>
        <name val="Segoe UI"/>
        <family val="2"/>
        <scheme val="minor"/>
      </font>
    </dxf>
    <dxf>
      <numFmt numFmtId="12" formatCode="&quot;$&quot;#,##0.00_);[Red]\(&quot;$&quot;#,##0.00\)"/>
      <fill>
        <patternFill patternType="solid">
          <fgColor indexed="64"/>
          <bgColor theme="2"/>
        </patternFill>
      </fill>
    </dxf>
    <dxf>
      <font>
        <b val="0"/>
        <i val="0"/>
        <strike val="0"/>
        <condense val="0"/>
        <extend val="0"/>
        <outline val="0"/>
        <shadow val="0"/>
        <u val="none"/>
        <vertAlign val="baseline"/>
        <sz val="10"/>
        <color auto="1"/>
        <name val="Segoe UI"/>
        <family val="2"/>
        <scheme val="none"/>
      </font>
      <fill>
        <patternFill patternType="none">
          <fgColor indexed="64"/>
          <bgColor auto="1"/>
        </patternFill>
      </fill>
      <alignment horizontal="right"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auto="1"/>
        <name val="Segoe UI"/>
        <family val="2"/>
        <scheme val="none"/>
      </font>
      <fill>
        <patternFill patternType="solid">
          <fgColor indexed="64"/>
          <bgColor theme="2"/>
        </patternFill>
      </fill>
      <border diagonalUp="0" diagonalDown="0" outline="0">
        <left/>
        <right/>
        <top style="thin">
          <color theme="4" tint="0.39997558519241921"/>
        </top>
        <bottom/>
      </border>
    </dxf>
    <dxf>
      <font>
        <strike val="0"/>
        <outline val="0"/>
        <shadow val="0"/>
        <u val="none"/>
        <vertAlign val="baseline"/>
        <sz val="10"/>
        <name val="Segoe UI"/>
        <family val="2"/>
        <scheme val="none"/>
      </font>
      <fill>
        <patternFill patternType="none">
          <fgColor indexed="64"/>
          <bgColor auto="1"/>
        </patternFill>
      </fill>
    </dxf>
    <dxf>
      <font>
        <strike val="0"/>
        <outline val="0"/>
        <shadow val="0"/>
        <u val="none"/>
        <vertAlign val="baseline"/>
        <sz val="10"/>
        <name val="Segoe UI"/>
        <family val="2"/>
        <scheme val="none"/>
      </font>
      <fill>
        <patternFill patternType="none">
          <fgColor indexed="64"/>
          <bgColor auto="1"/>
        </patternFill>
      </fill>
    </dxf>
    <dxf>
      <font>
        <strike val="0"/>
        <outline val="0"/>
        <shadow val="0"/>
        <u val="none"/>
        <vertAlign val="baseline"/>
        <sz val="10"/>
        <name val="Segoe UI"/>
        <family val="2"/>
        <scheme val="none"/>
      </font>
      <fill>
        <patternFill patternType="none">
          <fgColor indexed="64"/>
          <bgColor auto="1"/>
        </patternFill>
      </fill>
    </dxf>
    <dxf>
      <font>
        <strike val="0"/>
        <outline val="0"/>
        <shadow val="0"/>
        <u val="none"/>
        <vertAlign val="baseline"/>
        <sz val="10"/>
        <name val="Segoe UI"/>
        <family val="2"/>
        <scheme val="none"/>
      </font>
      <fill>
        <patternFill patternType="none">
          <fgColor indexed="64"/>
          <bgColor auto="1"/>
        </patternFill>
      </fill>
    </dxf>
    <dxf>
      <font>
        <strike val="0"/>
        <outline val="0"/>
        <shadow val="0"/>
        <u val="none"/>
        <vertAlign val="baseline"/>
        <sz val="10"/>
        <name val="Segoe UI"/>
        <family val="2"/>
        <scheme val="none"/>
      </font>
      <fill>
        <patternFill patternType="none">
          <fgColor indexed="64"/>
          <bgColor auto="1"/>
        </patternFill>
      </fill>
    </dxf>
    <dxf>
      <font>
        <strike val="0"/>
        <outline val="0"/>
        <shadow val="0"/>
        <u val="none"/>
        <vertAlign val="baseline"/>
        <sz val="10"/>
        <name val="Segoe UI"/>
        <family val="2"/>
        <scheme val="none"/>
      </font>
      <fill>
        <patternFill patternType="none">
          <fgColor indexed="64"/>
          <bgColor auto="1"/>
        </patternFill>
      </fill>
    </dxf>
    <dxf>
      <font>
        <strike val="0"/>
        <outline val="0"/>
        <shadow val="0"/>
        <u val="none"/>
        <vertAlign val="baseline"/>
        <sz val="10"/>
        <name val="Segoe UI"/>
        <family val="2"/>
        <scheme val="none"/>
      </font>
      <fill>
        <patternFill patternType="none">
          <fgColor indexed="64"/>
          <bgColor auto="1"/>
        </patternFill>
      </fill>
    </dxf>
    <dxf>
      <font>
        <strike val="0"/>
        <outline val="0"/>
        <shadow val="0"/>
        <u val="none"/>
        <vertAlign val="baseline"/>
        <sz val="10"/>
        <name val="Segoe UI"/>
        <family val="2"/>
        <scheme val="none"/>
      </font>
      <fill>
        <patternFill patternType="none">
          <fgColor indexed="64"/>
          <bgColor auto="1"/>
        </patternFill>
      </fill>
    </dxf>
    <dxf>
      <font>
        <strike val="0"/>
        <outline val="0"/>
        <shadow val="0"/>
        <u val="none"/>
        <vertAlign val="baseline"/>
        <sz val="10"/>
        <name val="Segoe UI"/>
        <family val="2"/>
        <scheme val="none"/>
      </font>
      <fill>
        <patternFill patternType="none">
          <fgColor indexed="64"/>
          <bgColor auto="1"/>
        </patternFill>
      </fill>
    </dxf>
    <dxf>
      <font>
        <strike val="0"/>
        <outline val="0"/>
        <shadow val="0"/>
        <u val="none"/>
        <vertAlign val="baseline"/>
        <sz val="10"/>
        <name val="Segoe UI"/>
        <family val="2"/>
        <scheme val="none"/>
      </font>
      <fill>
        <patternFill patternType="none">
          <fgColor rgb="FF000000"/>
          <bgColor auto="1"/>
        </patternFill>
      </fill>
    </dxf>
    <dxf>
      <font>
        <b val="0"/>
        <i val="0"/>
        <strike val="0"/>
        <condense val="0"/>
        <extend val="0"/>
        <outline val="0"/>
        <shadow val="0"/>
        <u val="none"/>
        <vertAlign val="baseline"/>
        <sz val="10"/>
        <color rgb="FFF1B82D"/>
        <name val="Segoe UI"/>
        <family val="2"/>
        <scheme val="none"/>
      </font>
      <alignment horizontal="right" vertical="bottom" textRotation="0" wrapText="1" indent="0" justifyLastLine="0" shrinkToFit="0" readingOrder="0"/>
    </dxf>
    <dxf>
      <font>
        <b val="0"/>
        <i val="0"/>
        <strike val="0"/>
        <condense val="0"/>
        <extend val="0"/>
        <outline val="0"/>
        <shadow val="0"/>
        <u val="none"/>
        <vertAlign val="baseline"/>
        <sz val="10"/>
        <color auto="1"/>
        <name val="Segoe UI"/>
        <family val="2"/>
        <scheme val="none"/>
      </font>
      <numFmt numFmtId="35" formatCode="_(* #,##0.00_);_(* \(#,##0.00\);_(* &quot;-&quot;??_);_(@_)"/>
      <fill>
        <patternFill patternType="none">
          <fgColor indexed="64"/>
          <bgColor auto="1"/>
        </patternFill>
      </fill>
      <protection locked="0" hidden="0"/>
    </dxf>
    <dxf>
      <font>
        <b val="0"/>
        <i val="0"/>
        <strike val="0"/>
        <condense val="0"/>
        <extend val="0"/>
        <outline val="0"/>
        <shadow val="0"/>
        <u val="none"/>
        <vertAlign val="baseline"/>
        <sz val="10"/>
        <color auto="1"/>
        <name val="Segoe UI"/>
        <family val="2"/>
        <scheme val="none"/>
      </font>
      <numFmt numFmtId="4" formatCode="#,##0.00"/>
      <fill>
        <patternFill patternType="none">
          <fgColor indexed="64"/>
          <bgColor auto="1"/>
        </patternFill>
      </fill>
      <protection locked="0" hidden="0"/>
    </dxf>
    <dxf>
      <font>
        <b val="0"/>
        <i val="0"/>
        <strike val="0"/>
        <condense val="0"/>
        <extend val="0"/>
        <outline val="0"/>
        <shadow val="0"/>
        <u val="none"/>
        <vertAlign val="baseline"/>
        <sz val="10"/>
        <color auto="1"/>
        <name val="Segoe UI"/>
        <family val="2"/>
        <scheme val="none"/>
      </font>
      <numFmt numFmtId="12" formatCode="&quot;$&quot;#,##0.00_);[Red]\(&quot;$&quot;#,##0.00\)"/>
      <fill>
        <patternFill patternType="none">
          <fgColor indexed="64"/>
          <bgColor auto="1"/>
        </patternFill>
      </fill>
      <protection locked="0" hidden="0"/>
    </dxf>
    <dxf>
      <font>
        <b val="0"/>
        <i val="0"/>
        <strike val="0"/>
        <condense val="0"/>
        <extend val="0"/>
        <outline val="0"/>
        <shadow val="0"/>
        <u val="none"/>
        <vertAlign val="baseline"/>
        <sz val="10"/>
        <color auto="1"/>
        <name val="Segoe UI"/>
        <family val="2"/>
        <scheme val="none"/>
      </font>
      <numFmt numFmtId="35" formatCode="_(* #,##0.00_);_(* \(#,##0.00\);_(* &quot;-&quot;??_);_(@_)"/>
      <fill>
        <patternFill patternType="none">
          <fgColor indexed="64"/>
          <bgColor auto="1"/>
        </patternFill>
      </fill>
      <protection locked="0" hidden="0"/>
    </dxf>
    <dxf>
      <font>
        <b val="0"/>
        <i val="0"/>
        <strike val="0"/>
        <condense val="0"/>
        <extend val="0"/>
        <outline val="0"/>
        <shadow val="0"/>
        <u val="none"/>
        <vertAlign val="baseline"/>
        <sz val="10"/>
        <color auto="1"/>
        <name val="Segoe UI"/>
        <family val="2"/>
        <scheme val="none"/>
      </font>
      <numFmt numFmtId="35" formatCode="_(* #,##0.00_);_(* \(#,##0.00\);_(* &quot;-&quot;??_);_(@_)"/>
      <fill>
        <patternFill patternType="none">
          <fgColor indexed="64"/>
          <bgColor auto="1"/>
        </patternFill>
      </fill>
      <protection locked="0" hidden="0"/>
    </dxf>
    <dxf>
      <font>
        <b val="0"/>
        <i val="0"/>
        <strike val="0"/>
        <condense val="0"/>
        <extend val="0"/>
        <outline val="0"/>
        <shadow val="0"/>
        <u val="none"/>
        <vertAlign val="baseline"/>
        <sz val="10"/>
        <color auto="1"/>
        <name val="Segoe UI"/>
        <family val="2"/>
        <scheme val="none"/>
      </font>
      <numFmt numFmtId="10" formatCode="&quot;$&quot;#,##0_);[Red]\(&quot;$&quot;#,##0\)"/>
      <fill>
        <patternFill patternType="none">
          <fgColor indexed="64"/>
          <bgColor auto="1"/>
        </patternFill>
      </fill>
      <protection locked="0" hidden="0"/>
    </dxf>
    <dxf>
      <font>
        <b val="0"/>
        <i val="0"/>
        <strike val="0"/>
        <condense val="0"/>
        <extend val="0"/>
        <outline val="0"/>
        <shadow val="0"/>
        <u val="none"/>
        <vertAlign val="baseline"/>
        <sz val="10"/>
        <color auto="1"/>
        <name val="Segoe UI"/>
        <family val="2"/>
        <scheme val="none"/>
      </font>
      <numFmt numFmtId="165" formatCode="0.0%"/>
      <fill>
        <patternFill patternType="none">
          <fgColor indexed="64"/>
          <bgColor auto="1"/>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numFmt numFmtId="3" formatCode="#,##0"/>
      <fill>
        <patternFill patternType="solid">
          <fgColor indexed="64"/>
          <bgColor theme="0"/>
        </patternFill>
      </fill>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numFmt numFmtId="167" formatCode="_(* #,##0_);_(* \(#,##0\);_(* &quot;-&quot;??_);_(@_)"/>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FF"/>
        <name val="Segoe UI"/>
        <family val="2"/>
        <scheme val="none"/>
      </font>
      <fill>
        <patternFill patternType="solid">
          <fgColor rgb="FF000000"/>
          <bgColor rgb="FFFFFF66"/>
        </patternFill>
      </fill>
      <protection locked="0" hidden="0"/>
    </dxf>
    <dxf>
      <font>
        <b val="0"/>
        <i val="0"/>
        <strike val="0"/>
        <condense val="0"/>
        <extend val="0"/>
        <outline val="0"/>
        <shadow val="0"/>
        <u val="none"/>
        <vertAlign val="baseline"/>
        <sz val="10"/>
        <color rgb="FFF1B82D"/>
        <name val="Segoe UI"/>
        <family val="2"/>
        <scheme val="none"/>
      </font>
      <alignment horizontal="left" vertical="bottom" textRotation="0" wrapText="1" indent="0" justifyLastLine="0" shrinkToFit="0" readingOrder="0"/>
    </dxf>
    <dxf>
      <font>
        <strike val="0"/>
        <outline val="0"/>
        <shadow val="0"/>
        <u val="none"/>
        <vertAlign val="baseline"/>
        <sz val="10"/>
        <color auto="1"/>
        <name val="Segoe UI"/>
        <family val="2"/>
        <scheme val="none"/>
      </font>
      <fill>
        <patternFill patternType="none">
          <fgColor indexed="64"/>
          <bgColor auto="1"/>
        </patternFill>
      </fill>
    </dxf>
    <dxf>
      <font>
        <b val="0"/>
        <i val="0"/>
        <strike val="0"/>
        <condense val="0"/>
        <extend val="0"/>
        <outline val="0"/>
        <shadow val="0"/>
        <u val="none"/>
        <vertAlign val="baseline"/>
        <sz val="10"/>
        <color auto="1"/>
        <name val="Segoe UI"/>
        <family val="2"/>
        <scheme val="none"/>
      </font>
    </dxf>
    <dxf>
      <font>
        <strike val="0"/>
        <outline val="0"/>
        <shadow val="0"/>
        <u val="none"/>
        <vertAlign val="baseline"/>
        <sz val="10"/>
        <name val="Segoe UI"/>
        <family val="2"/>
        <scheme val="none"/>
      </font>
    </dxf>
    <dxf>
      <font>
        <b val="0"/>
        <i val="0"/>
        <strike val="0"/>
        <condense val="0"/>
        <extend val="0"/>
        <outline val="0"/>
        <shadow val="0"/>
        <u val="none"/>
        <vertAlign val="baseline"/>
        <sz val="10"/>
        <color rgb="FFF1B82D"/>
        <name val="Segoe UI"/>
        <family val="2"/>
        <scheme val="none"/>
      </font>
      <alignment horizontal="right" vertical="bottom" textRotation="0" wrapText="1" indent="0" justifyLastLine="0" shrinkToFit="0" readingOrder="0"/>
    </dxf>
    <dxf>
      <font>
        <strike val="0"/>
        <outline val="0"/>
        <shadow val="0"/>
        <u val="none"/>
        <vertAlign val="baseline"/>
        <sz val="10"/>
        <name val="Segoe UI"/>
        <family val="2"/>
        <scheme val="none"/>
      </font>
      <numFmt numFmtId="12" formatCode="&quot;$&quot;#,##0.00_);[Red]\(&quot;$&quot;#,##0.00\)"/>
    </dxf>
    <dxf>
      <font>
        <strike val="0"/>
        <outline val="0"/>
        <shadow val="0"/>
        <u val="none"/>
        <vertAlign val="baseline"/>
        <sz val="10"/>
        <name val="Segoe UI"/>
        <family val="2"/>
        <scheme val="none"/>
      </font>
      <numFmt numFmtId="12" formatCode="&quot;$&quot;#,##0.00_);[Red]\(&quot;$&quot;#,##0.00\)"/>
    </dxf>
    <dxf>
      <font>
        <strike val="0"/>
        <outline val="0"/>
        <shadow val="0"/>
        <u val="none"/>
        <vertAlign val="baseline"/>
        <sz val="10"/>
        <name val="Segoe UI"/>
        <family val="2"/>
        <scheme val="none"/>
      </font>
      <numFmt numFmtId="12" formatCode="&quot;$&quot;#,##0.00_);[Red]\(&quot;$&quot;#,##0.00\)"/>
    </dxf>
    <dxf>
      <font>
        <b val="0"/>
        <i val="0"/>
        <strike val="0"/>
        <condense val="0"/>
        <extend val="0"/>
        <outline val="0"/>
        <shadow val="0"/>
        <u val="none"/>
        <vertAlign val="baseline"/>
        <sz val="10"/>
        <color theme="1"/>
        <name val="Segoe UI"/>
        <family val="2"/>
        <scheme val="none"/>
      </font>
      <numFmt numFmtId="168" formatCode="#,##0.000"/>
    </dxf>
    <dxf>
      <font>
        <strike val="0"/>
        <outline val="0"/>
        <shadow val="0"/>
        <u val="none"/>
        <vertAlign val="baseline"/>
        <sz val="10"/>
        <name val="Segoe UI"/>
        <family val="2"/>
        <scheme val="none"/>
      </font>
      <numFmt numFmtId="168" formatCode="#,##0.000"/>
    </dxf>
    <dxf>
      <font>
        <b val="0"/>
        <i val="0"/>
        <strike val="0"/>
        <condense val="0"/>
        <extend val="0"/>
        <outline val="0"/>
        <shadow val="0"/>
        <u val="none"/>
        <vertAlign val="baseline"/>
        <sz val="10"/>
        <color auto="1"/>
        <name val="Segoe UI"/>
        <family val="2"/>
        <scheme val="none"/>
      </font>
      <numFmt numFmtId="12" formatCode="&quot;$&quot;#,##0.00_);[Red]\(&quot;$&quot;#,##0.00\)"/>
      <fill>
        <patternFill patternType="none">
          <fgColor indexed="64"/>
          <bgColor indexed="65"/>
        </patternFill>
      </fill>
    </dxf>
    <dxf>
      <font>
        <b val="0"/>
        <i val="0"/>
        <strike val="0"/>
        <condense val="0"/>
        <extend val="0"/>
        <outline val="0"/>
        <shadow val="0"/>
        <u val="none"/>
        <vertAlign val="baseline"/>
        <sz val="10"/>
        <color auto="1"/>
        <name val="Segoe UI"/>
        <family val="2"/>
        <scheme val="none"/>
      </font>
      <numFmt numFmtId="12" formatCode="&quot;$&quot;#,##0.00_);[Red]\(&quot;$&quot;#,##0.00\)"/>
      <fill>
        <patternFill patternType="none">
          <fgColor indexed="64"/>
          <bgColor indexed="65"/>
        </patternFill>
      </fill>
    </dxf>
    <dxf>
      <font>
        <b val="0"/>
        <i val="0"/>
        <strike val="0"/>
        <condense val="0"/>
        <extend val="0"/>
        <outline val="0"/>
        <shadow val="0"/>
        <u val="none"/>
        <vertAlign val="baseline"/>
        <sz val="10"/>
        <color auto="1"/>
        <name val="Segoe UI"/>
        <family val="2"/>
        <scheme val="none"/>
      </font>
      <numFmt numFmtId="35" formatCode="_(* #,##0.00_);_(* \(#,##0.00\);_(* &quot;-&quot;??_);_(@_)"/>
      <fill>
        <patternFill patternType="none">
          <fgColor indexed="64"/>
          <bgColor indexed="65"/>
        </patternFill>
      </fill>
    </dxf>
    <dxf>
      <font>
        <b val="0"/>
        <i val="0"/>
        <strike val="0"/>
        <condense val="0"/>
        <extend val="0"/>
        <outline val="0"/>
        <shadow val="0"/>
        <u val="none"/>
        <vertAlign val="baseline"/>
        <sz val="10"/>
        <color auto="1"/>
        <name val="Segoe UI"/>
        <family val="2"/>
        <scheme val="none"/>
      </font>
      <numFmt numFmtId="10" formatCode="&quot;$&quot;#,##0_);[Red]\(&quot;$&quot;#,##0\)"/>
      <fill>
        <patternFill patternType="none">
          <fgColor indexed="64"/>
          <bgColor indexed="65"/>
        </patternFill>
      </fill>
    </dxf>
    <dxf>
      <font>
        <b val="0"/>
        <i val="0"/>
        <strike val="0"/>
        <condense val="0"/>
        <extend val="0"/>
        <outline val="0"/>
        <shadow val="0"/>
        <u val="none"/>
        <vertAlign val="baseline"/>
        <sz val="10"/>
        <color auto="1"/>
        <name val="Segoe UI"/>
        <family val="2"/>
        <scheme val="none"/>
      </font>
      <numFmt numFmtId="165" formatCode="0.0%"/>
      <fill>
        <patternFill patternType="none">
          <fgColor indexed="64"/>
          <bgColor indexed="65"/>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numFmt numFmtId="167" formatCode="_(* #,##0_);_(* \(#,##0\);_(* &quot;-&quot;??_);_(@_)"/>
      <fill>
        <patternFill patternType="solid">
          <fgColor indexed="64"/>
          <bgColor theme="2"/>
        </patternFill>
      </fill>
      <protection locked="1"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numFmt numFmtId="3" formatCode="#,##0"/>
      <fill>
        <patternFill patternType="solid">
          <fgColor indexed="64"/>
          <bgColor theme="2"/>
        </patternFill>
      </fill>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numFmt numFmtId="167" formatCode="_(* #,##0_);_(* \(#,##0\);_(* &quot;-&quot;??_);_(@_)"/>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protection locked="0" hidden="0"/>
    </dxf>
    <dxf>
      <font>
        <b val="0"/>
        <i val="0"/>
        <strike val="0"/>
        <condense val="0"/>
        <extend val="0"/>
        <outline val="0"/>
        <shadow val="0"/>
        <u val="none"/>
        <vertAlign val="baseline"/>
        <sz val="10"/>
        <color auto="1"/>
        <name val="Segoe UI"/>
        <family val="2"/>
        <scheme val="none"/>
      </font>
      <fill>
        <patternFill patternType="solid">
          <fgColor indexed="64"/>
          <bgColor theme="2"/>
        </patternFill>
      </fill>
      <alignment horizontal="left" vertical="bottom" textRotation="0" wrapText="0" indent="0" justifyLastLine="0" shrinkToFit="0" readingOrder="0"/>
      <protection locked="0" hidden="0"/>
    </dxf>
    <dxf>
      <font>
        <strike val="0"/>
        <outline val="0"/>
        <shadow val="0"/>
        <u val="none"/>
        <vertAlign val="baseline"/>
        <sz val="10"/>
        <name val="Segoe UI"/>
        <family val="2"/>
        <scheme val="none"/>
      </font>
      <numFmt numFmtId="0" formatCode="General"/>
    </dxf>
    <dxf>
      <font>
        <strike val="0"/>
        <outline val="0"/>
        <shadow val="0"/>
        <u val="none"/>
        <vertAlign val="baseline"/>
        <sz val="10"/>
        <name val="Segoe UI"/>
        <family val="2"/>
        <scheme val="none"/>
      </font>
    </dxf>
    <dxf>
      <font>
        <b val="0"/>
        <i val="0"/>
        <strike val="0"/>
        <condense val="0"/>
        <extend val="0"/>
        <outline val="0"/>
        <shadow val="0"/>
        <u val="none"/>
        <vertAlign val="baseline"/>
        <sz val="10"/>
        <color rgb="FFFFC000"/>
        <name val="Segoe UI"/>
        <family val="2"/>
        <scheme val="none"/>
      </font>
      <fill>
        <patternFill patternType="solid">
          <fgColor indexed="64"/>
          <bgColor theme="1"/>
        </patternFill>
      </fill>
      <alignment horizontal="general" vertical="bottom" textRotation="0" wrapText="1" indent="0" justifyLastLine="0" shrinkToFit="0" readingOrder="0"/>
    </dxf>
    <dxf>
      <font>
        <strike val="0"/>
        <outline val="0"/>
        <shadow val="0"/>
        <u val="none"/>
        <vertAlign val="baseline"/>
        <sz val="10"/>
        <name val="Segoe UI"/>
        <family val="2"/>
        <scheme val="none"/>
      </font>
      <fill>
        <patternFill patternType="solid">
          <fgColor indexed="64"/>
          <bgColor theme="2"/>
        </patternFill>
      </fill>
    </dxf>
    <dxf>
      <font>
        <strike val="0"/>
        <outline val="0"/>
        <shadow val="0"/>
        <u val="none"/>
        <vertAlign val="baseline"/>
        <sz val="10"/>
        <name val="Segoe UI"/>
        <family val="2"/>
        <scheme val="none"/>
      </font>
      <fill>
        <patternFill patternType="solid">
          <fgColor indexed="64"/>
          <bgColor theme="2"/>
        </patternFill>
      </fill>
    </dxf>
    <dxf>
      <font>
        <strike val="0"/>
        <outline val="0"/>
        <shadow val="0"/>
        <u val="none"/>
        <vertAlign val="baseline"/>
        <sz val="10"/>
        <name val="Segoe UI"/>
        <family val="2"/>
        <scheme val="none"/>
      </font>
      <numFmt numFmtId="12" formatCode="&quot;$&quot;#,##0.00_);[Red]\(&quot;$&quot;#,##0.00\)"/>
      <fill>
        <patternFill patternType="solid">
          <fgColor indexed="64"/>
          <bgColor theme="2"/>
        </patternFill>
      </fill>
    </dxf>
    <dxf>
      <font>
        <strike val="0"/>
        <outline val="0"/>
        <shadow val="0"/>
        <u val="none"/>
        <vertAlign val="baseline"/>
        <sz val="10"/>
        <name val="Segoe UI"/>
        <family val="2"/>
        <scheme val="none"/>
      </font>
      <fill>
        <patternFill patternType="solid">
          <fgColor indexed="64"/>
          <bgColor theme="2"/>
        </patternFill>
      </fill>
    </dxf>
    <dxf>
      <font>
        <strike val="0"/>
        <outline val="0"/>
        <shadow val="0"/>
        <u val="none"/>
        <vertAlign val="baseline"/>
        <sz val="10"/>
        <name val="Segoe UI"/>
        <family val="2"/>
        <scheme val="none"/>
      </font>
      <fill>
        <patternFill patternType="solid">
          <fgColor indexed="64"/>
          <bgColor theme="2"/>
        </patternFill>
      </fill>
    </dxf>
    <dxf>
      <font>
        <b/>
        <i val="0"/>
        <strike val="0"/>
        <condense val="0"/>
        <extend val="0"/>
        <outline val="0"/>
        <shadow val="0"/>
        <u val="none"/>
        <vertAlign val="baseline"/>
        <sz val="10"/>
        <color rgb="FFF1B82D"/>
        <name val="Segoe UI"/>
        <family val="2"/>
        <scheme val="none"/>
      </font>
      <fill>
        <patternFill patternType="none">
          <fgColor indexed="64"/>
          <bgColor auto="1"/>
        </patternFill>
      </fill>
      <alignment horizontal="general" vertical="bottom" textRotation="0" wrapText="0" indent="0" justifyLastLine="0" shrinkToFit="0" readingOrder="0"/>
    </dxf>
    <dxf>
      <fill>
        <patternFill patternType="solid">
          <fgColor indexed="64"/>
          <bgColor theme="2"/>
        </patternFill>
      </fill>
    </dxf>
    <dxf>
      <fill>
        <patternFill patternType="solid">
          <fgColor indexed="64"/>
          <bgColor theme="2"/>
        </patternFill>
      </fill>
    </dxf>
    <dxf>
      <font>
        <b val="0"/>
        <i val="0"/>
        <strike val="0"/>
        <condense val="0"/>
        <extend val="0"/>
        <outline val="0"/>
        <shadow val="0"/>
        <u val="none"/>
        <vertAlign val="baseline"/>
        <sz val="11"/>
        <color theme="1"/>
        <name val="Segoe UI"/>
        <family val="2"/>
        <scheme val="minor"/>
      </font>
    </dxf>
    <dxf>
      <fill>
        <patternFill patternType="solid">
          <fgColor indexed="64"/>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2</xdr:col>
      <xdr:colOff>4162425</xdr:colOff>
      <xdr:row>3</xdr:row>
      <xdr:rowOff>178150</xdr:rowOff>
    </xdr:from>
    <xdr:to>
      <xdr:col>4</xdr:col>
      <xdr:colOff>85725</xdr:colOff>
      <xdr:row>7</xdr:row>
      <xdr:rowOff>57725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43575" y="873475"/>
          <a:ext cx="2292350" cy="717775"/>
        </a:xfrm>
        <a:prstGeom prst="rect">
          <a:avLst/>
        </a:prstGeom>
      </xdr:spPr>
    </xdr:pic>
    <xdr:clientData/>
  </xdr:twoCellAnchor>
  <xdr:twoCellAnchor>
    <xdr:from>
      <xdr:col>1</xdr:col>
      <xdr:colOff>171450</xdr:colOff>
      <xdr:row>10</xdr:row>
      <xdr:rowOff>104775</xdr:rowOff>
    </xdr:from>
    <xdr:to>
      <xdr:col>3</xdr:col>
      <xdr:colOff>488949</xdr:colOff>
      <xdr:row>89</xdr:row>
      <xdr:rowOff>76200</xdr:rowOff>
    </xdr:to>
    <xdr:sp macro="" textlink="">
      <xdr:nvSpPr>
        <xdr:cNvPr id="3" name="TextBox 2">
          <a:extLst>
            <a:ext uri="{FF2B5EF4-FFF2-40B4-BE49-F238E27FC236}">
              <a16:creationId xmlns:a16="http://schemas.microsoft.com/office/drawing/2014/main" id="{7F41A37A-2B31-100C-0EE7-BBDDE8B8C574}"/>
            </a:ext>
          </a:extLst>
        </xdr:cNvPr>
        <xdr:cNvSpPr txBox="1"/>
      </xdr:nvSpPr>
      <xdr:spPr>
        <a:xfrm>
          <a:off x="390525" y="2667000"/>
          <a:ext cx="6737349" cy="1728787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Cover crops are frequently planted, allowed to grow and then terminated prior to or near planting a commercial crop. The biomass from the cover crop growth remains on the field, providing organic matter and various environmental benefits. Cover crop production also may be harvested as a forage crop.</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Two ways of harvesting cover crop forage are grazing and haying. Grazing involves managing livestock on the cover cropped field after sufficient growth occurs for hardy establishment and for feed. Haying includes cutting the cover crop and removing some of its biomass in silage or hay bales – usually under high moisture conditions. </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This cover crop forage utilization budget tool compares the costs and returns of growing cover crops that are not harvested with those that are harvested. The relevant comparisons are whether harvesting forages from cover crops yield better financial outcomes, and which method of harvesting cover crop biomass is optimal.</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This budget decision support tool (DST) follows a partial budgeting approach. Only changes from a base scenario in activities done and products used are considered. Prices are applied to the activity and product changes to estimate the financial result of the alternative scenarios. The base scenario is that no cover crops are planted. All other scenarios represent changes to a “no cover crops planted” scenario.</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This guide explains the use of scenarios that will be used to estimate the difference between cover crop management options. This is followed by a more detailed explanation of how to use each tab in the DST.</a:t>
          </a:r>
        </a:p>
        <a:p>
          <a:pPr marL="0" marR="0">
            <a:lnSpc>
              <a:spcPct val="107000"/>
            </a:lnSpc>
            <a:spcBef>
              <a:spcPts val="1200"/>
            </a:spcBef>
            <a:spcAft>
              <a:spcPts val="0"/>
            </a:spcAft>
          </a:pPr>
          <a:r>
            <a:rPr lang="en-US" sz="1600" b="1" kern="100">
              <a:solidFill>
                <a:srgbClr val="2F5496"/>
              </a:solidFill>
              <a:effectLst/>
              <a:latin typeface="Calibri Light" panose="020F0302020204030204" pitchFamily="34" charset="0"/>
              <a:ea typeface="Times New Roman" panose="02020603050405020304" pitchFamily="18" charset="0"/>
              <a:cs typeface="Times New Roman" panose="02020603050405020304" pitchFamily="18" charset="0"/>
            </a:rPr>
            <a:t>Scenario Explanation</a:t>
          </a:r>
        </a:p>
        <a:p>
          <a:pPr marL="0" marR="0">
            <a:lnSpc>
              <a:spcPct val="107000"/>
            </a:lnSpc>
            <a:spcBef>
              <a:spcPts val="200"/>
            </a:spcBef>
            <a:spcAft>
              <a:spcPts val="0"/>
            </a:spcAft>
          </a:pPr>
          <a:r>
            <a:rPr lang="en-US" sz="1300" b="1" kern="100">
              <a:solidFill>
                <a:srgbClr val="2F5496"/>
              </a:solidFill>
              <a:effectLst/>
              <a:latin typeface="Calibri Light" panose="020F0302020204030204" pitchFamily="34" charset="0"/>
              <a:ea typeface="Times New Roman" panose="02020603050405020304" pitchFamily="18" charset="0"/>
              <a:cs typeface="Times New Roman" panose="02020603050405020304" pitchFamily="18" charset="0"/>
            </a:rPr>
            <a:t>Base scenario: no cover crops planted</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Traditional farming of cash crops such as corn, soybeans and wheat are assumed. Activities such as planting, pest management and harvesting are considered as necessary for typical cash crop production. Seed, fertilizer and chemical inputs are expected costs. Each activity and input needs to be in the mind of the user of this DST. Obtaining a budget for growing the cash crop that lists the inputs and field activities might provide information that can be used as additional scenarios are modelled.</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None of these activities or costs associated with the production of the cash crop are entered in </a:t>
          </a:r>
          <a:r>
            <a:rPr lang="en-US" sz="1100" i="1" kern="100">
              <a:effectLst/>
              <a:latin typeface="Calibri" panose="020F0502020204030204" pitchFamily="34" charset="0"/>
              <a:ea typeface="Calibri" panose="020F0502020204030204" pitchFamily="34" charset="0"/>
              <a:cs typeface="Times New Roman" panose="02020603050405020304" pitchFamily="18" charset="0"/>
            </a:rPr>
            <a:t>this</a:t>
          </a:r>
          <a:r>
            <a:rPr lang="en-US" sz="1100" kern="100">
              <a:effectLst/>
              <a:latin typeface="Calibri" panose="020F0502020204030204" pitchFamily="34" charset="0"/>
              <a:ea typeface="Calibri" panose="020F0502020204030204" pitchFamily="34" charset="0"/>
              <a:cs typeface="Times New Roman" panose="02020603050405020304" pitchFamily="18" charset="0"/>
            </a:rPr>
            <a:t> budget DST. Rather the other scenarios are modelled as additions or subtractions from this base scenario. </a:t>
          </a:r>
        </a:p>
        <a:p>
          <a:pPr marL="0" marR="0">
            <a:lnSpc>
              <a:spcPct val="107000"/>
            </a:lnSpc>
            <a:spcBef>
              <a:spcPts val="200"/>
            </a:spcBef>
            <a:spcAft>
              <a:spcPts val="0"/>
            </a:spcAft>
          </a:pPr>
          <a:r>
            <a:rPr lang="en-US" sz="1300" b="1" kern="100">
              <a:solidFill>
                <a:srgbClr val="2F5496"/>
              </a:solidFill>
              <a:effectLst/>
              <a:latin typeface="Calibri Light" panose="020F0302020204030204" pitchFamily="34" charset="0"/>
              <a:ea typeface="Times New Roman" panose="02020603050405020304" pitchFamily="18" charset="0"/>
              <a:cs typeface="Times New Roman" panose="02020603050405020304" pitchFamily="18" charset="0"/>
            </a:rPr>
            <a:t>Scenario 1: Cover crops not harvested </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This scenario of planting cover crops that are not expected to provide a harvested forage is labelled “Cover crop not harvested” in the DST. The user enters only purchased inputs and field activities that differ from when a cover crop is </a:t>
          </a:r>
          <a:r>
            <a:rPr lang="en-US" sz="1100" u="sng" kern="100">
              <a:effectLst/>
              <a:latin typeface="Calibri" panose="020F0502020204030204" pitchFamily="34" charset="0"/>
              <a:ea typeface="Calibri" panose="020F0502020204030204" pitchFamily="34" charset="0"/>
              <a:cs typeface="Times New Roman" panose="02020603050405020304" pitchFamily="18" charset="0"/>
            </a:rPr>
            <a:t>not</a:t>
          </a:r>
          <a:r>
            <a:rPr lang="en-US" sz="1100" kern="100">
              <a:effectLst/>
              <a:latin typeface="Calibri" panose="020F0502020204030204" pitchFamily="34" charset="0"/>
              <a:ea typeface="Calibri" panose="020F0502020204030204" pitchFamily="34" charset="0"/>
              <a:cs typeface="Times New Roman" panose="02020603050405020304" pitchFamily="18" charset="0"/>
            </a:rPr>
            <a:t> planted.</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This DST permits the user to enter </a:t>
          </a:r>
          <a:r>
            <a:rPr lang="en-US" sz="1100" i="1" kern="100">
              <a:effectLst/>
              <a:latin typeface="Calibri" panose="020F0502020204030204" pitchFamily="34" charset="0"/>
              <a:ea typeface="Calibri" panose="020F0502020204030204" pitchFamily="34" charset="0"/>
              <a:cs typeface="Times New Roman" panose="02020603050405020304" pitchFamily="18" charset="0"/>
            </a:rPr>
            <a:t>changes</a:t>
          </a:r>
          <a:r>
            <a:rPr lang="en-US" sz="1100" kern="100">
              <a:effectLst/>
              <a:latin typeface="Calibri" panose="020F0502020204030204" pitchFamily="34" charset="0"/>
              <a:ea typeface="Calibri" panose="020F0502020204030204" pitchFamily="34" charset="0"/>
              <a:cs typeface="Times New Roman" panose="02020603050405020304" pitchFamily="18" charset="0"/>
            </a:rPr>
            <a:t> to seeding, chemical and fertilizing activities that are expected to occur due to planting a cover crop. The DST also permits the user to enter expected changes in cash crop yield when cover crops are grown.</a:t>
          </a:r>
        </a:p>
        <a:p>
          <a:pPr marL="0" marR="0">
            <a:lnSpc>
              <a:spcPct val="107000"/>
            </a:lnSpc>
            <a:spcBef>
              <a:spcPts val="0"/>
            </a:spcBef>
            <a:spcAft>
              <a:spcPts val="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The example in this DST results in a negative net income from growing cover crops by assuming:</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only cereal rye is going to be planted at 50 lb/acre; </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one chemical choice (the base scenarios burndown program) will be reduced while another chemical choice (and application activity) will be added;</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P and K fertilizer will be saved due to reduced erosion;</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The cover crop will be planted with a no till drill and the additional chemical choice will be applied by hiring a custom applicator; and</a:t>
          </a:r>
        </a:p>
        <a:p>
          <a:pPr marL="342900" marR="0" lvl="0" indent="-342900">
            <a:lnSpc>
              <a:spcPct val="107000"/>
            </a:lnSpc>
            <a:spcBef>
              <a:spcPts val="0"/>
            </a:spcBef>
            <a:spcAft>
              <a:spcPts val="80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No changes are expected in cash crop yields.</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The example is only for education. The user is expected to make changes that mirror their management of the cash crop (base scenario) and the cover crop planted but not harvested.</a:t>
          </a:r>
        </a:p>
        <a:p>
          <a:pPr marL="0" marR="0">
            <a:lnSpc>
              <a:spcPct val="107000"/>
            </a:lnSpc>
            <a:spcBef>
              <a:spcPts val="200"/>
            </a:spcBef>
            <a:spcAft>
              <a:spcPts val="0"/>
            </a:spcAft>
          </a:pPr>
          <a:r>
            <a:rPr lang="en-US" sz="1300" b="1" kern="100">
              <a:solidFill>
                <a:srgbClr val="2F5496"/>
              </a:solidFill>
              <a:effectLst/>
              <a:latin typeface="Calibri Light" panose="020F0302020204030204" pitchFamily="34" charset="0"/>
              <a:ea typeface="Times New Roman" panose="02020603050405020304" pitchFamily="18" charset="0"/>
              <a:cs typeface="Times New Roman" panose="02020603050405020304" pitchFamily="18" charset="0"/>
            </a:rPr>
            <a:t>Scenario 2: Cover crop mechanically harvested</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This scenario assumes that the cover crop will be mechanically harvested as a forage to feed to livestock. It differs from the previous scenario in that seeds likely to produce a desired forage are planted and harvest equipment rather than termination chemicals are used. </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However, the relevant comparison is still to the base scenario – no cover crops planted. The seed, chemical, fertilizer and equipment choices are all made relative to NOT planting a cover crop.</a:t>
          </a:r>
        </a:p>
        <a:p>
          <a:pPr marL="0" marR="0">
            <a:lnSpc>
              <a:spcPct val="107000"/>
            </a:lnSpc>
            <a:spcBef>
              <a:spcPts val="0"/>
            </a:spcBef>
            <a:spcAft>
              <a:spcPts val="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The example in this DST results in a positive net income from growing and harvesting cover crops by assuming:</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a mixture of seeds will be planted that provides the forage desired; </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the base scenarios burndown program will be reduced by 25% and no other chemical will be added;</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Additional N, P and K fertilizer are added to help establish the crop and to compensate for the nutrients removed in the biomass harvested.</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The cover crop will be planted by a custom aerial applicator and several forage harvesting activities are conducted by the farmer with owned equipment; and</a:t>
          </a:r>
        </a:p>
        <a:p>
          <a:pPr marL="342900" marR="0" lvl="0" indent="-342900">
            <a:lnSpc>
              <a:spcPct val="107000"/>
            </a:lnSpc>
            <a:spcBef>
              <a:spcPts val="0"/>
            </a:spcBef>
            <a:spcAft>
              <a:spcPts val="80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Cash crop yields are expected to be reduced by 1 bushel/acre due to a later planting date associated with harvesting the cover crop as a forage.</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The DST assumes that the mechanically harvested forage will be valued at the baleage price. Expected yield, prices and baleage characteristics are entered in the Grazing details table on the Grazing tab.  </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As with the other scenarios, the example is only for education. The user is expected to make changes that mirror their management of the cash crop (base scenario) and the cover crop planted and mechanically harvested as a forage.</a:t>
          </a:r>
        </a:p>
        <a:p>
          <a:pPr marL="0" marR="0">
            <a:lnSpc>
              <a:spcPct val="107000"/>
            </a:lnSpc>
            <a:spcBef>
              <a:spcPts val="200"/>
            </a:spcBef>
            <a:spcAft>
              <a:spcPts val="0"/>
            </a:spcAft>
          </a:pPr>
          <a:r>
            <a:rPr lang="en-US" sz="1300" b="1" kern="100">
              <a:solidFill>
                <a:srgbClr val="2F5496"/>
              </a:solidFill>
              <a:effectLst/>
              <a:latin typeface="Calibri Light" panose="020F0302020204030204" pitchFamily="34" charset="0"/>
              <a:ea typeface="Times New Roman" panose="02020603050405020304" pitchFamily="18" charset="0"/>
              <a:cs typeface="Times New Roman" panose="02020603050405020304" pitchFamily="18" charset="0"/>
            </a:rPr>
            <a:t>Scenario 3: Cover crop grazed</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This scenario assumes that the cover crop will be grazed by livestock. It differs from the previous scenario in that seeds expected to yield a good grazing forage are planted and expenses associated with fencing and livestock management are incurred. </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However, the relevant comparison is still to the base scenario – no planting cover crops. The seed, chemical, fertilizer and equipment choices are all made relative to NOT planting a cover crop.</a:t>
          </a:r>
        </a:p>
        <a:p>
          <a:pPr marL="0" marR="0">
            <a:lnSpc>
              <a:spcPct val="107000"/>
            </a:lnSpc>
            <a:spcBef>
              <a:spcPts val="0"/>
            </a:spcBef>
            <a:spcAft>
              <a:spcPts val="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The example in this DST indicates that growing and harvesting cover crops results in a positive net income. It assumes:</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a mixture of seeds will be planted that provides the forage desired; </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no burndown chemicals are needed in this scenario;</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additional N, P and K fertilizer will are added to help establish the crop, small amounts of P and K are expected to be removed in the form of livestock weight gain but most will be redeposited on the ground in the manure;</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The cover crop will be planted by a custom aerial applicator but few other field activities are listed on the equipment tab since most livestock management activities will be in the grazing tab;</a:t>
          </a:r>
        </a:p>
        <a:p>
          <a:pPr marL="342900" marR="0" lvl="0" indent="-342900">
            <a:lnSpc>
              <a:spcPct val="107000"/>
            </a:lnSpc>
            <a:spcBef>
              <a:spcPts val="0"/>
            </a:spcBef>
            <a:spcAft>
              <a:spcPts val="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expenses for fencing, watering and managing the livestock on the field are entered in the grazing tab; and</a:t>
          </a:r>
        </a:p>
        <a:p>
          <a:pPr marL="342900" marR="0" lvl="0" indent="-342900">
            <a:lnSpc>
              <a:spcPct val="107000"/>
            </a:lnSpc>
            <a:spcBef>
              <a:spcPts val="0"/>
            </a:spcBef>
            <a:spcAft>
              <a:spcPts val="800"/>
            </a:spcAft>
            <a:buFont typeface="Symbol" panose="05050102010706020507" pitchFamily="18" charset="2"/>
            <a:buChar char=""/>
            <a:tabLst>
              <a:tab pos="228600" algn="l"/>
            </a:tabLst>
          </a:pPr>
          <a:r>
            <a:rPr lang="en-US" sz="1100" kern="100">
              <a:effectLst/>
              <a:latin typeface="Calibri" panose="020F0502020204030204" pitchFamily="34" charset="0"/>
              <a:ea typeface="Calibri" panose="020F0502020204030204" pitchFamily="34" charset="0"/>
              <a:cs typeface="Times New Roman" panose="02020603050405020304" pitchFamily="18" charset="0"/>
            </a:rPr>
            <a:t>Cash crop yields are expected to be increased by 1 bushel/acre due to livestock manure and hoof action benefitting the soil.</a:t>
          </a:r>
        </a:p>
        <a:p>
          <a:r>
            <a:rPr lang="en-US" sz="1100">
              <a:effectLst/>
              <a:latin typeface="Calibri" panose="020F0502020204030204" pitchFamily="34" charset="0"/>
              <a:ea typeface="Calibri" panose="020F0502020204030204" pitchFamily="34" charset="0"/>
              <a:cs typeface="Times New Roman" panose="02020603050405020304" pitchFamily="18" charset="0"/>
            </a:rPr>
            <a:t>The DST assumes that the grazed forage will be valued as tons of forage consumed by the livestock times a dry hay price. Expected yield and prices are entered in the Grazing details table on the Grazing tab.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13</xdr:row>
      <xdr:rowOff>209549</xdr:rowOff>
    </xdr:from>
    <xdr:to>
      <xdr:col>8</xdr:col>
      <xdr:colOff>333375</xdr:colOff>
      <xdr:row>23</xdr:row>
      <xdr:rowOff>146049</xdr:rowOff>
    </xdr:to>
    <xdr:sp macro="" textlink="">
      <xdr:nvSpPr>
        <xdr:cNvPr id="2" name="TextBox 1">
          <a:extLst>
            <a:ext uri="{FF2B5EF4-FFF2-40B4-BE49-F238E27FC236}">
              <a16:creationId xmlns:a16="http://schemas.microsoft.com/office/drawing/2014/main" id="{403D505D-2D56-24A9-C396-58B2F61D9766}"/>
            </a:ext>
          </a:extLst>
        </xdr:cNvPr>
        <xdr:cNvSpPr txBox="1"/>
      </xdr:nvSpPr>
      <xdr:spPr>
        <a:xfrm>
          <a:off x="4695825" y="3067049"/>
          <a:ext cx="3952875" cy="20320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300" b="1" kern="100">
              <a:solidFill>
                <a:srgbClr val="2F5496"/>
              </a:solidFill>
              <a:effectLst/>
              <a:latin typeface="Calibri Light" panose="020F0302020204030204" pitchFamily="34" charset="0"/>
              <a:ea typeface="Times New Roman" panose="02020603050405020304" pitchFamily="18" charset="0"/>
              <a:cs typeface="Times New Roman" panose="02020603050405020304" pitchFamily="18" charset="0"/>
            </a:rPr>
            <a:t>Instructions</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Do not enter the cash crop seeds because that is part of the base scenario. Only differences from the base scenario are needed. Each scenario can have its own seeding choices. Enter the cover crop seed species and planting rate for each of the scenarios under consideration.</a:t>
          </a:r>
        </a:p>
        <a:p>
          <a:pPr marL="0" marR="0">
            <a:lnSpc>
              <a:spcPct val="107000"/>
            </a:lnSpc>
            <a:spcBef>
              <a:spcPts val="0"/>
            </a:spcBef>
            <a:spcAft>
              <a:spcPts val="800"/>
            </a:spcAft>
          </a:pPr>
          <a:r>
            <a:rPr lang="en-US" sz="1100" kern="100">
              <a:effectLst/>
              <a:latin typeface="Calibri" panose="020F0502020204030204" pitchFamily="34" charset="0"/>
              <a:ea typeface="Calibri" panose="020F0502020204030204" pitchFamily="34" charset="0"/>
              <a:cs typeface="Times New Roman" panose="02020603050405020304" pitchFamily="18" charset="0"/>
            </a:rPr>
            <a:t>A database of seeds and default prices is provided in the DST. Seed species can be added at the bottom of the Seed Price table and prices can be changed by the user.</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285750</xdr:colOff>
          <xdr:row>12</xdr:row>
          <xdr:rowOff>107950</xdr:rowOff>
        </xdr:from>
        <xdr:to>
          <xdr:col>8</xdr:col>
          <xdr:colOff>876300</xdr:colOff>
          <xdr:row>39</xdr:row>
          <xdr:rowOff>9525</xdr:rowOff>
        </xdr:to>
        <xdr:sp macro="" textlink="">
          <xdr:nvSpPr>
            <xdr:cNvPr id="24578" name="Object 2" hidden="1">
              <a:extLst>
                <a:ext uri="{63B3BB69-23CF-44E3-9099-C40C66FF867C}">
                  <a14:compatExt spid="_x0000_s24578"/>
                </a:ext>
                <a:ext uri="{FF2B5EF4-FFF2-40B4-BE49-F238E27FC236}">
                  <a16:creationId xmlns:a16="http://schemas.microsoft.com/office/drawing/2014/main" id="{4BEE1D26-E7A8-EEC9-0DAB-337C6A470E75}"/>
                </a:ext>
              </a:extLst>
            </xdr:cNvPr>
            <xdr:cNvSpPr/>
          </xdr:nvSpPr>
          <xdr:spPr bwMode="auto">
            <a:xfrm>
              <a:off x="0" y="0"/>
              <a:ext cx="0" cy="0"/>
            </a:xfrm>
            <a:prstGeom prst="rect">
              <a:avLst/>
            </a:prstGeom>
            <a:solidFill>
              <a:srgbClr val="E6E6CE"/>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276225</xdr:colOff>
          <xdr:row>11</xdr:row>
          <xdr:rowOff>209549</xdr:rowOff>
        </xdr:from>
        <xdr:to>
          <xdr:col>8</xdr:col>
          <xdr:colOff>970738</xdr:colOff>
          <xdr:row>29</xdr:row>
          <xdr:rowOff>104774</xdr:rowOff>
        </xdr:to>
        <xdr:sp macro="" textlink="">
          <xdr:nvSpPr>
            <xdr:cNvPr id="25602" name="Object 2" hidden="1">
              <a:extLst>
                <a:ext uri="{63B3BB69-23CF-44E3-9099-C40C66FF867C}">
                  <a14:compatExt spid="_x0000_s25602"/>
                </a:ext>
                <a:ext uri="{FF2B5EF4-FFF2-40B4-BE49-F238E27FC236}">
                  <a16:creationId xmlns:a16="http://schemas.microsoft.com/office/drawing/2014/main" id="{73C19EA9-70AF-D2EB-4CD8-B84819C4C044}"/>
                </a:ext>
              </a:extLst>
            </xdr:cNvPr>
            <xdr:cNvSpPr/>
          </xdr:nvSpPr>
          <xdr:spPr bwMode="auto">
            <a:xfrm>
              <a:off x="0" y="0"/>
              <a:ext cx="0" cy="0"/>
            </a:xfrm>
            <a:prstGeom prst="rect">
              <a:avLst/>
            </a:prstGeom>
            <a:solidFill>
              <a:srgbClr val="E6E6CE"/>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19</xdr:col>
          <xdr:colOff>0</xdr:colOff>
          <xdr:row>2</xdr:row>
          <xdr:rowOff>0</xdr:rowOff>
        </xdr:from>
        <xdr:to>
          <xdr:col>19</xdr:col>
          <xdr:colOff>5949950</xdr:colOff>
          <xdr:row>26</xdr:row>
          <xdr:rowOff>158750</xdr:rowOff>
        </xdr:to>
        <xdr:sp macro="" textlink="">
          <xdr:nvSpPr>
            <xdr:cNvPr id="21581" name="Object 77" hidden="1">
              <a:extLst>
                <a:ext uri="{63B3BB69-23CF-44E3-9099-C40C66FF867C}">
                  <a14:compatExt spid="_x0000_s21581"/>
                </a:ext>
                <a:ext uri="{FF2B5EF4-FFF2-40B4-BE49-F238E27FC236}">
                  <a16:creationId xmlns:a16="http://schemas.microsoft.com/office/drawing/2014/main" id="{6FD90CD9-DC0F-CCE8-2685-B5FE6ADD8C1C}"/>
                </a:ext>
              </a:extLst>
            </xdr:cNvPr>
            <xdr:cNvSpPr/>
          </xdr:nvSpPr>
          <xdr:spPr bwMode="auto">
            <a:xfrm>
              <a:off x="0" y="0"/>
              <a:ext cx="0" cy="0"/>
            </a:xfrm>
            <a:prstGeom prst="rect">
              <a:avLst/>
            </a:prstGeom>
            <a:solidFill>
              <a:srgbClr val="E6E6CE"/>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228600</xdr:colOff>
          <xdr:row>11</xdr:row>
          <xdr:rowOff>25400</xdr:rowOff>
        </xdr:from>
        <xdr:to>
          <xdr:col>7</xdr:col>
          <xdr:colOff>904875</xdr:colOff>
          <xdr:row>22</xdr:row>
          <xdr:rowOff>28575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E024E5F8-1B06-0583-B4B3-86ED49875DA0}"/>
                </a:ext>
              </a:extLst>
            </xdr:cNvPr>
            <xdr:cNvSpPr/>
          </xdr:nvSpPr>
          <xdr:spPr bwMode="auto">
            <a:xfrm>
              <a:off x="0" y="0"/>
              <a:ext cx="0" cy="0"/>
            </a:xfrm>
            <a:prstGeom prst="rect">
              <a:avLst/>
            </a:prstGeom>
            <a:solidFill>
              <a:srgbClr val="E6E6CE"/>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390525</xdr:colOff>
          <xdr:row>1</xdr:row>
          <xdr:rowOff>19050</xdr:rowOff>
        </xdr:from>
        <xdr:to>
          <xdr:col>12</xdr:col>
          <xdr:colOff>514350</xdr:colOff>
          <xdr:row>12</xdr:row>
          <xdr:rowOff>44450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6504394A-CBD0-90BD-632A-3D0E8463BA03}"/>
                </a:ext>
              </a:extLst>
            </xdr:cNvPr>
            <xdr:cNvSpPr/>
          </xdr:nvSpPr>
          <xdr:spPr bwMode="auto">
            <a:xfrm>
              <a:off x="0" y="0"/>
              <a:ext cx="0" cy="0"/>
            </a:xfrm>
            <a:prstGeom prst="rect">
              <a:avLst/>
            </a:prstGeom>
            <a:solidFill>
              <a:srgbClr val="E6E6CE"/>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2</xdr:row>
          <xdr:rowOff>0</xdr:rowOff>
        </xdr:from>
        <xdr:to>
          <xdr:col>14</xdr:col>
          <xdr:colOff>457200</xdr:colOff>
          <xdr:row>14</xdr:row>
          <xdr:rowOff>158750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FCDCA062-2471-AC0D-5E4C-C8544A7E4518}"/>
                </a:ext>
              </a:extLst>
            </xdr:cNvPr>
            <xdr:cNvSpPr/>
          </xdr:nvSpPr>
          <xdr:spPr bwMode="auto">
            <a:xfrm>
              <a:off x="0" y="0"/>
              <a:ext cx="0" cy="0"/>
            </a:xfrm>
            <a:prstGeom prst="rect">
              <a:avLst/>
            </a:prstGeom>
            <a:solidFill>
              <a:srgbClr val="E6E6CE"/>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132EFA5-434D-4DE1-B5E2-6D25A5D2F905}" name="DBSeed" displayName="DBSeed" ref="B16:D43" totalsRowShown="0">
  <autoFilter ref="B16:D43" xr:uid="{787D0AE8-6B47-4CE1-8B79-FD6685B586AE}">
    <filterColumn colId="0" hiddenButton="1"/>
    <filterColumn colId="1" hiddenButton="1"/>
    <filterColumn colId="2" hiddenButton="1"/>
  </autoFilter>
  <sortState xmlns:xlrd2="http://schemas.microsoft.com/office/spreadsheetml/2017/richdata2" ref="B17:D43">
    <sortCondition ref="B17:B43"/>
  </sortState>
  <tableColumns count="3">
    <tableColumn id="1" xr3:uid="{7FEEC7B7-2D0A-4E47-914E-F5A05941DC05}" name="Species"/>
    <tableColumn id="3" xr3:uid="{19F8DA8F-B0E3-4222-8D5D-FCD1E230C33F}" name="Price/lb" dataDxfId="86" dataCellStyle="Currency"/>
    <tableColumn id="2" xr3:uid="{B9E1F34F-4517-4784-82D9-CB0ACF7468B1}" name="Season" dataDxfId="85" dataCellStyle="Currenc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8B4924-3476-4253-B1D0-C5AC9E3F1B37}" name="DBChem" displayName="DBChem" ref="B15:C25" totalsRowShown="0">
  <autoFilter ref="B15:C25" xr:uid="{787D0AE8-6B47-4CE1-8B79-FD6685B586AE}">
    <filterColumn colId="0" hiddenButton="1"/>
    <filterColumn colId="1" hiddenButton="1"/>
  </autoFilter>
  <sortState xmlns:xlrd2="http://schemas.microsoft.com/office/spreadsheetml/2017/richdata2" ref="B16:D25">
    <sortCondition ref="B16:B25"/>
  </sortState>
  <tableColumns count="2">
    <tableColumn id="1" xr3:uid="{F187CDF5-87F8-4B45-9542-255E9255DCB6}" name="Chemical Name"/>
    <tableColumn id="3" xr3:uid="{6C3C4835-DA3E-49A3-AB09-29A20DEDF269}" name="Price/acre" dataDxfId="84" dataCellStyle="Currency"/>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9FD167B-640D-47B1-864B-E30CA64168A1}" name="DBFert" displayName="DBFert" ref="B15:D26" totalsRowShown="0">
  <autoFilter ref="B15:D26" xr:uid="{787D0AE8-6B47-4CE1-8B79-FD6685B586AE}">
    <filterColumn colId="0" hiddenButton="1"/>
    <filterColumn colId="1" hiddenButton="1"/>
    <filterColumn colId="2" hiddenButton="1"/>
  </autoFilter>
  <sortState xmlns:xlrd2="http://schemas.microsoft.com/office/spreadsheetml/2017/richdata2" ref="B16:D26">
    <sortCondition ref="B16:B26"/>
  </sortState>
  <tableColumns count="3">
    <tableColumn id="1" xr3:uid="{FDA5B83A-1016-4061-ACA0-2A2967679F48}" name="Species"/>
    <tableColumn id="3" xr3:uid="{C5D0B96B-2BAC-460B-BF81-606EC19A6C26}" name="Price/acre" dataDxfId="83" dataCellStyle="Currency"/>
    <tableColumn id="4" xr3:uid="{AD26C844-5741-4EAE-8B29-A5B093ADAC9A}" name="Unit" dataCellStyle="Currency">
      <calculatedColumnFormula>DBFert[[#This Row],[Price/acre]]*50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B9BFB3-9F8F-46DF-BBE4-12628DA36BDC}" name="DBCustomHire" displayName="DBCustomHire" ref="X52:AA103" totalsRowShown="0" headerRowDxfId="82" dataDxfId="81">
  <autoFilter ref="X52:AA103" xr:uid="{00000000-0009-0000-0100-000004000000}">
    <filterColumn colId="0" hiddenButton="1"/>
    <filterColumn colId="1" hiddenButton="1"/>
    <filterColumn colId="2" hiddenButton="1"/>
    <filterColumn colId="3" hiddenButton="1"/>
  </autoFilter>
  <tableColumns count="4">
    <tableColumn id="1" xr3:uid="{67340488-1095-48F6-BAC2-0353A6C76D63}" name="Activity" dataDxfId="80"/>
    <tableColumn id="2" xr3:uid="{A119EB06-A15C-40B5-BF7B-1E9CBE51048A}" name="Cost/unit" dataDxfId="79"/>
    <tableColumn id="3" xr3:uid="{7519E974-2559-426B-B0CC-8D8C8B85F48D}" name="Unit" dataDxfId="78"/>
    <tableColumn id="4" xr3:uid="{560B9860-EA81-457D-B08B-38DBCFA9A191}" name="Source" dataDxfId="77"/>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29C319C-2613-41AD-94BC-E8542F5D0B09}" name="DBImplements" displayName="DBImplements" ref="AE111:BE174" totalsRowShown="0" headerRowDxfId="76" dataDxfId="75">
  <autoFilter ref="AE111:BE174" xr:uid="{84A14725-BB4A-4A0D-B4C3-0DBAD43EDE2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sortState xmlns:xlrd2="http://schemas.microsoft.com/office/spreadsheetml/2017/richdata2" ref="AE112:BE174">
    <sortCondition ref="BE112:BE174"/>
    <sortCondition ref="AE112:AE174"/>
  </sortState>
  <tableColumns count="27">
    <tableColumn id="2" xr3:uid="{3ABC6EE9-1718-46D3-8BF8-B4EA4F24336D}" name="Selection" dataDxfId="74">
      <calculatedColumnFormula>DBImplements[[#This Row],[Implement type]]&amp;", "&amp;DBImplements[[#This Row],[Width]]&amp;" "&amp;DBImplements[[#This Row],[Width Unit]]</calculatedColumnFormula>
    </tableColumn>
    <tableColumn id="3" xr3:uid="{528C9054-500F-44CD-9DC3-189BC34E1AAD}" name="Implement type" dataDxfId="73"/>
    <tableColumn id="4" xr3:uid="{622BC8CA-38E4-4982-92F4-36F45A193AD5}" name="Width" dataDxfId="72"/>
    <tableColumn id="5" xr3:uid="{17BD1FF8-078F-475A-AE93-CCAD7F458EAC}" name="Width Unit" dataDxfId="71"/>
    <tableColumn id="6" xr3:uid="{E4CDE399-9DED-4077-8FD2-10A153E11597}" name="Size" dataDxfId="70"/>
    <tableColumn id="7" xr3:uid="{0175ACAB-B2F0-4AD7-9364-3C01C8BED72B}" name="Size unit" dataDxfId="69"/>
    <tableColumn id="9" xr3:uid="{6751A961-76E2-4BA8-9EA2-5B30A2871959}" name="PriceP" dataDxfId="68" dataCellStyle="Comma"/>
    <tableColumn id="10" xr3:uid="{24C19D2E-FCF0-46CE-BC77-9D7E35EB89DF}" name="Discount" dataDxfId="67" dataCellStyle="Percent"/>
    <tableColumn id="11" xr3:uid="{B103D0A2-217A-4654-A653-A4A4DCE9B3C8}" name="PriceL" dataDxfId="66">
      <calculatedColumnFormula>AK112/(1-AL112)</calculatedColumnFormula>
    </tableColumn>
    <tableColumn id="12" xr3:uid="{EE70CF50-17EA-485D-92C6-4A4B4CF6034C}" name="Life (yr)" dataDxfId="65"/>
    <tableColumn id="13" xr3:uid="{599F9094-2AB4-46DA-BE57-9DA8319C6C2C}" name="Use (hr/yr)" dataDxfId="64"/>
    <tableColumn id="14" xr3:uid="{9CE60452-FC00-4CB2-B42C-5F6BA34C5FA7}" name="Use (ac/yr)" dataDxfId="63" dataCellStyle="Comma">
      <calculatedColumnFormula>IF(AND(AR112&lt;&gt;0,AS112&lt;&gt;0),AO112*(AG112*AR112*AS112)/8.25,AO112*AG112)</calculatedColumnFormula>
    </tableColumn>
    <tableColumn id="15" xr3:uid="{28BF7273-47B3-467A-8528-E1F3522D2477}" name="ASABEtype" dataDxfId="62"/>
    <tableColumn id="16" xr3:uid="{4FA6D2AB-8BFD-4F6D-B20C-06448E61F18D}" name="Speed" dataDxfId="61"/>
    <tableColumn id="17" xr3:uid="{26BD63DF-2045-4A9C-BF9F-733F9438F00D}" name="Efficiency" dataDxfId="60" dataCellStyle="Percent"/>
    <tableColumn id="19" xr3:uid="{C10D85B2-D005-4036-88B1-EFD8F418ECB7}" name="LaborUse" dataDxfId="59" dataCellStyle="Percent"/>
    <tableColumn id="22" xr3:uid="{1B85DE5A-6419-41AA-AB98-898AFEC139B1}" name="Shed (ft^2)" dataDxfId="58"/>
    <tableColumn id="23" xr3:uid="{1C94E5AE-17A9-46EE-BE39-8321D42127CB}" name="TradeIn%" dataDxfId="57" dataCellStyle="Comma">
      <calculatedColumnFormula>(VLOOKUP(DBImplements[[#This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calculatedColumnFormula>
    </tableColumn>
    <tableColumn id="24" xr3:uid="{7A4CEC78-032F-4039-95CD-1E0ABB2ACD62}" name="TradeIn$" dataDxfId="56" dataCellStyle="Comma">
      <calculatedColumnFormula>DBImplements[[#This Row],[TradeIn%]]*DBImplements[[#This Row],[PriceL]]</calculatedColumnFormula>
    </tableColumn>
    <tableColumn id="25" xr3:uid="{B1B713EC-64DD-4D69-BF98-6EBCAA15496F}" name="Depr ($/ac)" dataDxfId="55" dataCellStyle="Comma">
      <calculatedColumnFormula>(DBImplements[[#This Row],[PriceP]]-DBImplements[[#This Row],[TradeIn$]])/DBImplements[[#This Row],[Life (yr)]]/DBImplements[[#This Row],[Use (ac/yr)]]</calculatedColumnFormula>
    </tableColumn>
    <tableColumn id="26" xr3:uid="{CD9531BB-04F4-43F1-B92F-51FFEC732693}" name="OH ($/ac)" dataDxfId="54" dataCellStyle="Comma">
      <calculatedColumnFormula>((DBImplements[[#This Row],[PriceP]]+DBImplements[[#This Row],[TradeIn$]])/2*(Equipment!$CS$256+Equipment!$CS$257+Equipment!$CS$258)+DBImplements[[#This Row],[Shed (ft^2)]]*Equipment!$CS$260)/DBImplements[[#This Row],[Use (ac/yr)]]</calculatedColumnFormula>
    </tableColumn>
    <tableColumn id="27" xr3:uid="{34E06006-A52E-46D8-8640-5304AAD14F1F}" name="Rep ($/ac)" dataDxfId="53" dataCellStyle="Currency">
      <calculatedColumnFormula>DBImplements[[#This Row],[PriceL]]*(VLOOKUP(DBImplements[[#This Row],[ASABEtype]],DB_ASABECoef[],2)*(DBImplements[[#This Row],[Life (yr)]]*DBImplements[[#This Row],[Use (hr/yr)]]/1000)^VLOOKUP(DBImplements[[#This Row],[ASABEtype]],DB_ASABECoef[],3))/DBImplements[[#This Row],[Life (yr)]]/DBImplements[[#This Row],[Use (ac/yr)]]</calculatedColumnFormula>
    </tableColumn>
    <tableColumn id="8" xr3:uid="{0BC0CC8F-2620-484E-BFEA-753ED4FC9E36}" name="EquipHrs (hr/ac)" dataDxfId="52">
      <calculatedColumnFormula>Equipment!$CS$265/(DBImplements[[#This Row],[Width]]*DBImplements[[#This Row],[Speed]]*DBImplements[[#This Row],[Efficiency]])</calculatedColumnFormula>
    </tableColumn>
    <tableColumn id="20" xr3:uid="{2EF25159-606E-40BE-BFDD-1ECAA87D8B98}" name="LaborHrs (hr/ac)" dataDxfId="51">
      <calculatedColumnFormula>DBImplements[[#This Row],[EquipHrs (hr/ac)]]*DBImplements[[#This Row],[LaborUse]]</calculatedColumnFormula>
    </tableColumn>
    <tableColumn id="1" xr3:uid="{513E84CF-AC84-41C7-B93B-4895C7170D48}" name="Ownership costs($/ac)" dataDxfId="50">
      <calculatedColumnFormula>SUM(DBImplements[[#This Row],[Depr ($/ac)]:[OH ($/ac)]])</calculatedColumnFormula>
    </tableColumn>
    <tableColumn id="18" xr3:uid="{6197422C-A729-4D30-8619-A67AE2FB41FB}" name="Order in Lazarus" dataDxfId="49"/>
    <tableColumn id="21" xr3:uid="{8F1B5A24-34AA-4809-A777-CC320A107BF3}" name="Operation type" dataDxfId="4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A1F38DD-CE4E-4F1D-B709-3BB06172B287}" name="DBEquipRV" displayName="DBEquipRV" ref="CR255:CS265" totalsRowShown="0" headerRowDxfId="47" dataDxfId="46">
  <autoFilter ref="CR255:CS265" xr:uid="{CF1319A9-3CEE-4A31-AA49-C632A8017268}">
    <filterColumn colId="0" hiddenButton="1"/>
    <filterColumn colId="1" hiddenButton="1"/>
  </autoFilter>
  <tableColumns count="2">
    <tableColumn id="1" xr3:uid="{C1BDFBD1-DCC5-4149-A69B-5606D27BDD51}" name="Item" dataDxfId="45"/>
    <tableColumn id="2" xr3:uid="{39C86535-6B8A-4153-829B-04051F5D7E4F}" name="Value" dataDxfId="4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6EED994-94FD-42F4-B740-91681656DC2B}" name="DBPower" displayName="DBPower" ref="BI180:BZ198" totalsRowShown="0" headerRowDxfId="43" dataDxfId="42">
  <autoFilter ref="BI180:BZ198" xr:uid="{240C76D1-DF28-4C0F-9814-9FD24E01EC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1110F444-67F7-4DE3-ADE7-62DBB5D0C98C}" name="HP &amp; descriptive information" dataDxfId="41">
      <calculatedColumnFormula>CONCATENATE(BJ181&amp;" "&amp;BK181)</calculatedColumnFormula>
    </tableColumn>
    <tableColumn id="2" xr3:uid="{AE5BA0C3-9CC6-4F37-9FC6-9EC4E7FDDAA6}" name="HP" dataDxfId="40"/>
    <tableColumn id="3" xr3:uid="{B73C04DA-2E36-4206-B338-088D6ADC83A1}" name="Information" dataDxfId="39"/>
    <tableColumn id="4" xr3:uid="{5042434B-4CAA-4D4D-93DC-249929C25066}" name="Purchase price" dataDxfId="38" dataCellStyle="Comma"/>
    <tableColumn id="5" xr3:uid="{15D9696A-0AD4-47D6-9649-BC4890E36280}" name="Discount" dataDxfId="37" dataCellStyle="Percent"/>
    <tableColumn id="6" xr3:uid="{7B7F1460-2A5E-4D4A-B0F8-5F86D866761B}" name="List price" dataDxfId="36">
      <calculatedColumnFormula>BL181/(1-BM181)</calculatedColumnFormula>
    </tableColumn>
    <tableColumn id="7" xr3:uid="{EE6DE91D-A023-45BB-91C4-0034F3FD690E}" name="Life (yr)" dataDxfId="35"/>
    <tableColumn id="8" xr3:uid="{E0045E3C-CC5A-49FE-8507-7EEA27C2595F}" name="Use (hr/yr)" dataDxfId="34"/>
    <tableColumn id="9" xr3:uid="{19FFBFAD-3156-49B3-A078-2B55948F6FF8}" name="Fuel (gal/hph)" dataDxfId="33"/>
    <tableColumn id="10" xr3:uid="{EB7FDAAB-024F-4A80-A08A-CD455522F165}" name="ASABEtype" dataDxfId="32"/>
    <tableColumn id="11" xr3:uid="{B839D428-5A3C-4C02-A8DC-1EAE3364552C}" name="Shed (ft^2)" dataDxfId="31"/>
    <tableColumn id="13" xr3:uid="{D66B1F3C-F598-491C-BB6D-BB445FB7F966}" name="TradeIn%" dataDxfId="30">
      <calculatedColumnFormula>(VLOOKUP(DBPower[[#This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calculatedColumnFormula>
    </tableColumn>
    <tableColumn id="14" xr3:uid="{2AA0251B-ADE8-4B7F-8C3B-AE43824CD881}" name="TradeIn$" dataDxfId="29">
      <calculatedColumnFormula>DBPower[[#This Row],[TradeIn%]]*DBPower[[#This Row],[List price]]</calculatedColumnFormula>
    </tableColumn>
    <tableColumn id="15" xr3:uid="{C868DFDB-DBCB-49D6-AF7E-43B251D69CC5}" name="Depr ($/hr)" dataDxfId="28">
      <calculatedColumnFormula>(DBPower[[#This Row],[Purchase price]]-DBPower[[#This Row],[TradeIn$]])/DBPower[[#This Row],[Life (yr)]]/DBPower[[#This Row],[Use (hr/yr)]]</calculatedColumnFormula>
    </tableColumn>
    <tableColumn id="16" xr3:uid="{5FD424A4-0FDE-475F-943A-E1F0FD4AC903}" name="OH ($/hr)" dataDxfId="27">
      <calculatedColumnFormula>((DBPower[[#This Row],[Purchase price]]+DBPower[[#This Row],[TradeIn$]])*(Equipment!$CS$256+Equipment!$CS$257+Equipment!$CS$258)+DBPower[[#This Row],[Shed (ft^2)]]*Equipment!$CS$260)/DBPower[[#This Row],[Use (hr/yr)]]</calculatedColumnFormula>
    </tableColumn>
    <tableColumn id="17" xr3:uid="{00BC1226-D53A-41CE-9C36-F9E465FC7E84}" name="Rep ($/hr)" dataDxfId="26">
      <calculatedColumnFormula>DBPower[[#This Row],[List price]]*(VLOOKUP(DBPower[[#This Row],[ASABEtype]],DB_ASABECoef[],2)*(DBPower[[#This Row],[Life (yr)]]*DBPower[[#This Row],[Use (hr/yr)]]/1000)^VLOOKUP(DBPower[[#This Row],[ASABEtype]],DB_ASABECoef[],3))/DBPower[[#This Row],[Life (yr)]]/DBPower[[#This Row],[Use (hr/yr)]]</calculatedColumnFormula>
    </tableColumn>
    <tableColumn id="18" xr3:uid="{1C1EACDA-8FE8-42AD-8951-9445E10D3F87}" name="Fuel (gal/hr)" dataDxfId="25">
      <calculatedColumnFormula>DBPower[[#This Row],[Fuel (gal/hph)]]*DBPower[[#This Row],[HP]]*(1+Equipment!$CS$259)</calculatedColumnFormula>
    </tableColumn>
    <tableColumn id="12" xr3:uid="{48EDDF20-D870-4A75-A0A3-92EDE0CE3A8C}" name="Ownership costs ($/hr)" dataDxfId="24">
      <calculatedColumnFormula>SUM(BV181:BW181)</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F448E96-052F-457A-AD0C-3C8D6427255D}" name="DB_ASABECoef" displayName="DB_ASABECoef" ref="CD206:CN250" totalsRowShown="0" headerRowDxfId="23" dataDxfId="22">
  <autoFilter ref="CD206:CN250" xr:uid="{C121A10E-9958-40F7-A4B0-D018206F364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CD207:CL249">
    <sortCondition ref="CD408:CD459"/>
  </sortState>
  <tableColumns count="11">
    <tableColumn id="5" xr3:uid="{B606D7C9-69F9-40B1-97D8-7DE3E009EED4}" name="ASABE Category" dataDxfId="21"/>
    <tableColumn id="6" xr3:uid="{A62909D0-597D-426F-9997-EC6C9B72BE76}" name="RF1" dataDxfId="20"/>
    <tableColumn id="7" xr3:uid="{0465166F-A6EF-4330-8594-D8231BBF6352}" name="RF2" dataDxfId="19"/>
    <tableColumn id="8" xr3:uid="{058FC197-010F-4F82-AB67-434522771A40}" name="Life (hr)" dataDxfId="18"/>
    <tableColumn id="9" xr3:uid="{D72C2C9A-CA85-4156-991C-D4448BBF3AF7}" name="RV1" dataDxfId="17"/>
    <tableColumn id="10" xr3:uid="{4D0C14A0-FC65-4955-855C-1EB3AABF3328}" name="RV2" dataDxfId="16"/>
    <tableColumn id="11" xr3:uid="{08E5335B-4052-4337-B0CD-C2165597A81C}" name="RV3" dataDxfId="15"/>
    <tableColumn id="12" xr3:uid="{9D06B964-8D86-4BA9-95B6-787417896F19}" name="RV4" dataDxfId="14"/>
    <tableColumn id="14" xr3:uid="{8A6CB8B7-1356-4350-ADBB-2759FCB28EE5}" name="RV5" dataDxfId="13"/>
    <tableColumn id="1" xr3:uid="{90B6FF2B-69B5-4C91-A407-D2A5AD23E874}" name="δ" dataDxfId="12"/>
    <tableColumn id="2" xr3:uid="{54C13A13-A578-497E-A10D-C55E93DD15F5}" name="Note" dataDxfId="11"/>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E06AD8-46DA-4199-B9B5-D66FC25B88A8}" name="DBCrops" displayName="DBCrops" ref="B14:C19" totalsRowShown="0">
  <autoFilter ref="B14:C19" xr:uid="{7BE06AD8-46DA-4199-B9B5-D66FC25B88A8}"/>
  <tableColumns count="2">
    <tableColumn id="1" xr3:uid="{53DD409B-AB69-47D1-8512-F823DBF5FB4C}" name="Crop"/>
    <tableColumn id="2" xr3:uid="{AF83FC7A-39E9-4601-89B7-9F02EA07CF69}" name="Price" dataDxfId="10"/>
  </tableColumns>
  <tableStyleInfo name="TableStyleMedium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F309B7-F49D-4DCF-85D5-07F36ED1B792}" name="Table2" displayName="Table2" ref="B36:D50" totalsRowShown="0" headerRowDxfId="9" headerRowBorderDxfId="8" tableBorderDxfId="7">
  <autoFilter ref="B36:D50" xr:uid="{81F309B7-F49D-4DCF-85D5-07F36ED1B792}">
    <filterColumn colId="0" hiddenButton="1"/>
    <filterColumn colId="1" hiddenButton="1"/>
    <filterColumn colId="2" hiddenButton="1"/>
  </autoFilter>
  <tableColumns count="3">
    <tableColumn id="1" xr3:uid="{6AFF6DEA-D584-4201-998F-DF78E799452F}" name="Activity" dataDxfId="6"/>
    <tableColumn id="2" xr3:uid="{860C388F-50D3-403B-938F-4C1D844DFF4D}" name="Unit"/>
    <tableColumn id="3" xr3:uid="{D56E2C7D-C28B-4133-B4AD-68A4B3FFE0A4}" name="Value" dataDxfId="5"/>
  </tableColumns>
  <tableStyleInfo name="TableStyleMedium1" showFirstColumn="0" showLastColumn="0" showRowStripes="0" showColumnStripes="0"/>
</table>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ustom 2">
      <a:majorFont>
        <a:latin typeface="Segoe UI Black"/>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table" Target="../tables/table2.xml"/><Relationship Id="rId5" Type="http://schemas.openxmlformats.org/officeDocument/2006/relationships/image" Target="../media/image2.emf"/><Relationship Id="rId4" Type="http://schemas.openxmlformats.org/officeDocument/2006/relationships/package" Target="../embeddings/Microsoft_Word_Document.docx"/></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3.xml"/><Relationship Id="rId5" Type="http://schemas.openxmlformats.org/officeDocument/2006/relationships/image" Target="../media/image3.emf"/><Relationship Id="rId4" Type="http://schemas.openxmlformats.org/officeDocument/2006/relationships/package" Target="../embeddings/Microsoft_Word_Document1.docx"/></Relationships>
</file>

<file path=xl/worksheets/_rels/sheet5.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vmlDrawing" Target="../drawings/vmlDrawing3.vml"/><Relationship Id="rId7"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table" Target="../tables/table4.xml"/><Relationship Id="rId11" Type="http://schemas.openxmlformats.org/officeDocument/2006/relationships/comments" Target="../comments1.xml"/><Relationship Id="rId5" Type="http://schemas.openxmlformats.org/officeDocument/2006/relationships/image" Target="../media/image4.emf"/><Relationship Id="rId10" Type="http://schemas.openxmlformats.org/officeDocument/2006/relationships/table" Target="../tables/table8.xml"/><Relationship Id="rId4" Type="http://schemas.openxmlformats.org/officeDocument/2006/relationships/package" Target="../embeddings/Microsoft_Word_Document2.docx"/><Relationship Id="rId9"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table" Target="../tables/table9.xml"/><Relationship Id="rId5" Type="http://schemas.openxmlformats.org/officeDocument/2006/relationships/image" Target="../media/image5.emf"/><Relationship Id="rId4" Type="http://schemas.openxmlformats.org/officeDocument/2006/relationships/package" Target="../embeddings/Microsoft_Word_Document3.docx"/></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table" Target="../tables/table10.xml"/><Relationship Id="rId5" Type="http://schemas.openxmlformats.org/officeDocument/2006/relationships/image" Target="../media/image6.emf"/><Relationship Id="rId4" Type="http://schemas.openxmlformats.org/officeDocument/2006/relationships/package" Target="../embeddings/Microsoft_Word_Document4.docx"/></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5" Type="http://schemas.openxmlformats.org/officeDocument/2006/relationships/image" Target="../media/image7.emf"/><Relationship Id="rId4" Type="http://schemas.openxmlformats.org/officeDocument/2006/relationships/package" Target="../embeddings/Microsoft_Word_Document5.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7721E-FC66-4515-94B2-0CCD049481B5}">
  <dimension ref="A1:M92"/>
  <sheetViews>
    <sheetView showGridLines="0" workbookViewId="0">
      <selection activeCell="B9" sqref="B9"/>
    </sheetView>
  </sheetViews>
  <sheetFormatPr defaultColWidth="0" defaultRowHeight="16.5" zeroHeight="1"/>
  <cols>
    <col min="1" max="1" width="2.83203125" style="7" customWidth="1"/>
    <col min="2" max="2" width="9.58203125" style="7" customWidth="1"/>
    <col min="3" max="3" width="74.58203125" style="7" customWidth="1"/>
    <col min="4" max="5" width="9" style="7" customWidth="1"/>
    <col min="6" max="16384" width="9" style="7" hidden="1"/>
  </cols>
  <sheetData>
    <row r="1" spans="1:13" ht="17" thickBot="1">
      <c r="A1" s="82"/>
      <c r="B1" s="82"/>
      <c r="C1" s="82"/>
      <c r="D1" s="82"/>
      <c r="E1" s="82"/>
      <c r="F1" s="82"/>
      <c r="G1" s="82"/>
      <c r="H1" s="82"/>
      <c r="I1" s="82"/>
      <c r="J1" s="82"/>
      <c r="K1" s="82"/>
      <c r="L1" s="82"/>
      <c r="M1" s="82"/>
    </row>
    <row r="2" spans="1:13" ht="21.5" thickBot="1">
      <c r="A2" s="82"/>
      <c r="B2" s="333" t="s">
        <v>321</v>
      </c>
      <c r="C2" s="334"/>
      <c r="D2" s="335"/>
      <c r="E2" s="82"/>
      <c r="F2" s="82"/>
      <c r="G2" s="82"/>
      <c r="H2" s="82"/>
    </row>
    <row r="3" spans="1:13">
      <c r="A3" s="82"/>
      <c r="B3" s="336" t="s">
        <v>474</v>
      </c>
      <c r="C3" s="336"/>
      <c r="D3" s="336"/>
      <c r="E3" s="82"/>
      <c r="F3" s="82"/>
      <c r="G3" s="82"/>
      <c r="H3" s="82"/>
    </row>
    <row r="4" spans="1:13">
      <c r="A4" s="82"/>
      <c r="B4" s="337"/>
      <c r="C4" s="337"/>
      <c r="D4" s="337"/>
      <c r="E4" s="82"/>
      <c r="F4" s="82"/>
      <c r="G4" s="82"/>
      <c r="H4" s="82"/>
    </row>
    <row r="5" spans="1:13">
      <c r="A5" s="82"/>
      <c r="B5" s="83" t="s">
        <v>0</v>
      </c>
      <c r="C5" s="82"/>
      <c r="D5" s="82"/>
      <c r="E5" s="82"/>
      <c r="F5" s="82"/>
      <c r="G5" s="82"/>
      <c r="H5" s="82"/>
    </row>
    <row r="6" spans="1:13">
      <c r="A6" s="82"/>
      <c r="B6" s="84" t="s">
        <v>322</v>
      </c>
      <c r="C6" s="82"/>
      <c r="D6" s="82"/>
      <c r="E6" s="82"/>
      <c r="F6" s="82"/>
      <c r="G6" s="82"/>
      <c r="H6" s="82"/>
    </row>
    <row r="7" spans="1:13">
      <c r="A7" s="82"/>
      <c r="B7" s="84" t="s">
        <v>1</v>
      </c>
      <c r="C7" s="82"/>
      <c r="D7" s="82"/>
      <c r="E7" s="82"/>
      <c r="F7" s="82"/>
      <c r="G7" s="82"/>
      <c r="H7" s="82"/>
    </row>
    <row r="8" spans="1:13">
      <c r="A8" s="82"/>
      <c r="B8" s="82"/>
      <c r="C8" s="82"/>
      <c r="D8" s="82"/>
      <c r="E8" s="372"/>
      <c r="F8" s="82"/>
      <c r="G8" s="82"/>
      <c r="H8" s="82"/>
    </row>
    <row r="9" spans="1:13" ht="49" customHeight="1">
      <c r="A9" s="82"/>
      <c r="C9" s="371" t="s">
        <v>320</v>
      </c>
      <c r="D9" s="332"/>
      <c r="E9" s="82"/>
      <c r="F9" s="82"/>
      <c r="G9" s="82"/>
      <c r="H9" s="82"/>
    </row>
    <row r="10" spans="1:13" ht="15" customHeight="1">
      <c r="A10" s="82"/>
      <c r="B10" s="338" t="s">
        <v>2</v>
      </c>
      <c r="C10" s="339"/>
      <c r="D10" s="340"/>
      <c r="E10" s="82"/>
      <c r="F10" s="82"/>
      <c r="G10" s="82"/>
      <c r="H10" s="82"/>
    </row>
    <row r="11" spans="1:13" ht="81" customHeight="1">
      <c r="A11" s="82"/>
      <c r="E11" s="82"/>
      <c r="F11" s="82"/>
      <c r="G11" s="82"/>
      <c r="H11" s="82"/>
    </row>
    <row r="12" spans="1:13">
      <c r="A12" s="82"/>
      <c r="E12" s="82"/>
      <c r="F12" s="82"/>
      <c r="G12" s="82"/>
      <c r="H12" s="82"/>
    </row>
    <row r="13" spans="1:13">
      <c r="A13" s="82"/>
      <c r="E13" s="82"/>
      <c r="F13" s="82"/>
      <c r="G13" s="82"/>
      <c r="H13" s="82"/>
    </row>
    <row r="14" spans="1:13">
      <c r="A14" s="82"/>
      <c r="E14" s="82"/>
      <c r="F14" s="82"/>
      <c r="G14" s="82"/>
      <c r="H14" s="82"/>
    </row>
    <row r="15" spans="1:13">
      <c r="A15" s="82"/>
      <c r="E15" s="82"/>
      <c r="F15" s="82"/>
      <c r="G15" s="82"/>
      <c r="H15" s="82"/>
    </row>
    <row r="16" spans="1:13"/>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spans="2:4"/>
    <row r="82" spans="2:4"/>
    <row r="83" spans="2:4"/>
    <row r="84" spans="2:4"/>
    <row r="85" spans="2:4"/>
    <row r="86" spans="2:4"/>
    <row r="87" spans="2:4"/>
    <row r="88" spans="2:4"/>
    <row r="89" spans="2:4"/>
    <row r="90" spans="2:4" ht="17" thickBot="1"/>
    <row r="91" spans="2:4" ht="21.5" thickBot="1">
      <c r="B91" s="333"/>
      <c r="C91" s="334"/>
      <c r="D91" s="335"/>
    </row>
    <row r="92" spans="2:4"/>
  </sheetData>
  <mergeCells count="5">
    <mergeCell ref="B91:D91"/>
    <mergeCell ref="B2:D2"/>
    <mergeCell ref="B3:D3"/>
    <mergeCell ref="B4:D4"/>
    <mergeCell ref="B10:D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60E5A-53C2-4412-82E2-FBC0B1E1C3EE}">
  <dimension ref="B1:T44"/>
  <sheetViews>
    <sheetView showGridLines="0" zoomScaleNormal="100" workbookViewId="0">
      <selection activeCell="G14" sqref="G14"/>
    </sheetView>
  </sheetViews>
  <sheetFormatPr defaultColWidth="0" defaultRowHeight="16.5" zeroHeight="1"/>
  <cols>
    <col min="1" max="1" width="2.58203125" customWidth="1"/>
    <col min="2" max="2" width="17.9140625" customWidth="1"/>
    <col min="3" max="3" width="13" customWidth="1"/>
    <col min="4" max="4" width="13.83203125" customWidth="1"/>
    <col min="5" max="5" width="14.08203125" customWidth="1"/>
    <col min="6" max="6" width="14.83203125" customWidth="1"/>
    <col min="7" max="7" width="16.83203125" customWidth="1"/>
    <col min="8" max="8" width="15.9140625" customWidth="1"/>
    <col min="9" max="9" width="14.58203125" customWidth="1"/>
    <col min="10" max="10" width="5.25" customWidth="1"/>
    <col min="11" max="11" width="21.33203125" hidden="1"/>
    <col min="12" max="12" width="14.58203125" hidden="1"/>
    <col min="13" max="13" width="15.75" hidden="1"/>
    <col min="14" max="14" width="9.5" hidden="1"/>
    <col min="15" max="16" width="11.08203125" hidden="1"/>
    <col min="17" max="17" width="8.6640625" hidden="1"/>
    <col min="18" max="18" width="19.08203125" hidden="1"/>
    <col min="19" max="19" width="9.83203125" hidden="1"/>
    <col min="20" max="20" width="11.5" hidden="1"/>
    <col min="21" max="16384" width="8.6640625" hidden="1"/>
  </cols>
  <sheetData>
    <row r="1" spans="2:20" ht="17" thickBot="1"/>
    <row r="2" spans="2:20" ht="25" customHeight="1">
      <c r="B2" s="345" t="s">
        <v>277</v>
      </c>
      <c r="C2" s="346"/>
      <c r="D2" s="346"/>
      <c r="E2" s="346"/>
      <c r="F2" s="346"/>
      <c r="G2" s="346"/>
      <c r="H2" s="346"/>
      <c r="I2" s="347"/>
      <c r="J2" s="128"/>
      <c r="K2" s="128"/>
    </row>
    <row r="3" spans="2:20" ht="17.5">
      <c r="B3" s="109"/>
      <c r="C3" s="127"/>
      <c r="D3" s="341" t="s">
        <v>463</v>
      </c>
      <c r="E3" s="342"/>
      <c r="F3" s="341" t="s">
        <v>464</v>
      </c>
      <c r="G3" s="342"/>
      <c r="H3" s="343" t="s">
        <v>466</v>
      </c>
      <c r="I3" s="344"/>
      <c r="J3" s="128"/>
      <c r="K3" s="128"/>
    </row>
    <row r="4" spans="2:20" ht="16.5" customHeight="1">
      <c r="B4" s="151" t="s">
        <v>368</v>
      </c>
      <c r="C4" s="152" t="s">
        <v>331</v>
      </c>
      <c r="D4" s="228" t="s">
        <v>344</v>
      </c>
      <c r="E4" s="156" t="s">
        <v>343</v>
      </c>
      <c r="F4" s="228" t="s">
        <v>344</v>
      </c>
      <c r="G4" s="156" t="s">
        <v>343</v>
      </c>
      <c r="H4" s="155" t="s">
        <v>344</v>
      </c>
      <c r="I4" s="156" t="s">
        <v>343</v>
      </c>
      <c r="J4" s="113"/>
      <c r="K4" s="113"/>
    </row>
    <row r="5" spans="2:20">
      <c r="B5" s="129"/>
      <c r="C5" s="143" t="s">
        <v>374</v>
      </c>
      <c r="D5" s="229" t="s">
        <v>345</v>
      </c>
      <c r="E5" s="139" t="s">
        <v>293</v>
      </c>
      <c r="F5" s="229" t="s">
        <v>345</v>
      </c>
      <c r="G5" s="139" t="s">
        <v>293</v>
      </c>
      <c r="H5" s="133" t="s">
        <v>345</v>
      </c>
      <c r="I5" s="139" t="s">
        <v>293</v>
      </c>
      <c r="J5" s="72"/>
      <c r="K5" s="72"/>
    </row>
    <row r="6" spans="2:20">
      <c r="B6" s="373" t="s">
        <v>274</v>
      </c>
      <c r="C6" s="374">
        <f>IFERROR(VLOOKUP(B6,DBSeed[],2,FALSE),"")</f>
        <v>0.6</v>
      </c>
      <c r="D6" s="375">
        <v>50</v>
      </c>
      <c r="E6" s="376">
        <f>IFERROR(D6*$C6,"")</f>
        <v>30</v>
      </c>
      <c r="F6" s="375">
        <v>50</v>
      </c>
      <c r="G6" s="376">
        <f>IFERROR(F6*$C6,"")</f>
        <v>30</v>
      </c>
      <c r="H6" s="377">
        <v>25</v>
      </c>
      <c r="I6" s="376">
        <f>IFERROR(H6*$C6,"")</f>
        <v>15</v>
      </c>
      <c r="J6" s="96"/>
      <c r="K6" s="96"/>
      <c r="L6" s="96"/>
    </row>
    <row r="7" spans="2:20">
      <c r="B7" s="378" t="s">
        <v>267</v>
      </c>
      <c r="C7" s="379">
        <f>IFERROR(VLOOKUP(B7,DBSeed[],2,FALSE),"")</f>
        <v>1.1299999999999999</v>
      </c>
      <c r="D7" s="380"/>
      <c r="E7" s="381">
        <f>IFERROR(D7*$C7,"")</f>
        <v>0</v>
      </c>
      <c r="F7" s="380">
        <v>6</v>
      </c>
      <c r="G7" s="382">
        <f>IFERROR(F7*$C7,"")</f>
        <v>6.7799999999999994</v>
      </c>
      <c r="H7" s="383">
        <v>6</v>
      </c>
      <c r="I7" s="382">
        <f>IFERROR(H7*$C7,"")</f>
        <v>6.7799999999999994</v>
      </c>
      <c r="J7" s="96"/>
      <c r="K7" s="96"/>
      <c r="L7" s="96"/>
    </row>
    <row r="8" spans="2:20">
      <c r="B8" s="378" t="s">
        <v>265</v>
      </c>
      <c r="C8" s="379">
        <f>IFERROR(VLOOKUP(B8,DBSeed[],2,FALSE),"")</f>
        <v>2.34</v>
      </c>
      <c r="D8" s="380"/>
      <c r="E8" s="381">
        <f>IFERROR(D8*$C8,"")</f>
        <v>0</v>
      </c>
      <c r="F8" s="380">
        <v>6</v>
      </c>
      <c r="G8" s="382">
        <f>IFERROR(F8*$C8,"")</f>
        <v>14.04</v>
      </c>
      <c r="H8" s="383">
        <v>6</v>
      </c>
      <c r="I8" s="382">
        <f>IFERROR(H8*$C8,"")</f>
        <v>14.04</v>
      </c>
      <c r="J8" s="96"/>
      <c r="K8" s="96"/>
      <c r="L8" s="96"/>
    </row>
    <row r="9" spans="2:20">
      <c r="B9" s="378" t="s">
        <v>271</v>
      </c>
      <c r="C9" s="379">
        <f>IFERROR(VLOOKUP(B9,DBSeed[],2,FALSE),"")</f>
        <v>3</v>
      </c>
      <c r="D9" s="380"/>
      <c r="E9" s="381">
        <f>IFERROR(D9*$C9,"")</f>
        <v>0</v>
      </c>
      <c r="F9" s="380"/>
      <c r="G9" s="382">
        <f>IFERROR(F9*$C9,"")</f>
        <v>0</v>
      </c>
      <c r="H9" s="383">
        <v>8</v>
      </c>
      <c r="I9" s="382">
        <f>IFERROR(H9*$C9,"")</f>
        <v>24</v>
      </c>
      <c r="J9" s="96"/>
      <c r="K9" s="96"/>
      <c r="L9" s="96"/>
    </row>
    <row r="10" spans="2:20">
      <c r="B10" s="378"/>
      <c r="C10" s="379" t="str">
        <f>IFERROR(VLOOKUP(B10,DBSeed[],2,FALSE),"")</f>
        <v/>
      </c>
      <c r="D10" s="380"/>
      <c r="E10" s="381" t="str">
        <f>IFERROR(D10*$C10,"")</f>
        <v/>
      </c>
      <c r="F10" s="380"/>
      <c r="G10" s="382" t="str">
        <f>IFERROR(F10*$C10,"")</f>
        <v/>
      </c>
      <c r="H10" s="383"/>
      <c r="I10" s="382" t="str">
        <f>IFERROR(H10*$C10,"")</f>
        <v/>
      </c>
      <c r="J10" s="96"/>
      <c r="K10" s="96"/>
      <c r="L10" s="96"/>
    </row>
    <row r="11" spans="2:20">
      <c r="B11" s="384" t="s">
        <v>282</v>
      </c>
      <c r="C11" s="385">
        <f>IFERROR(VLOOKUP(B11,DBSeed[],2,FALSE),"")</f>
        <v>2</v>
      </c>
      <c r="D11" s="386" t="s">
        <v>292</v>
      </c>
      <c r="E11" s="387">
        <f>IF(D11="yes",C11,0)</f>
        <v>0</v>
      </c>
      <c r="F11" s="386" t="s">
        <v>291</v>
      </c>
      <c r="G11" s="388">
        <f>IF(F11="yes",C11,0)</f>
        <v>2</v>
      </c>
      <c r="H11" s="389" t="s">
        <v>291</v>
      </c>
      <c r="I11" s="388">
        <f>IF(H11="yes",C11,0)</f>
        <v>2</v>
      </c>
      <c r="J11" s="96"/>
      <c r="K11" s="96"/>
      <c r="L11" s="96"/>
    </row>
    <row r="12" spans="2:20" ht="17" thickBot="1">
      <c r="B12" s="100" t="s">
        <v>17</v>
      </c>
      <c r="C12" s="101"/>
      <c r="D12" s="230">
        <f>SUM(D6:D10)</f>
        <v>50</v>
      </c>
      <c r="E12" s="141">
        <f>SUM(E6:E11)</f>
        <v>30</v>
      </c>
      <c r="F12" s="230">
        <f>SUM(F6:F10)</f>
        <v>62</v>
      </c>
      <c r="G12" s="141">
        <f>SUM(G6:G11)</f>
        <v>52.82</v>
      </c>
      <c r="H12" s="278">
        <f>SUM(H6:H10)</f>
        <v>45</v>
      </c>
      <c r="I12" s="141">
        <f>SUM(I6:I11)</f>
        <v>61.82</v>
      </c>
      <c r="J12" s="128"/>
      <c r="K12" s="128"/>
      <c r="L12" s="96"/>
    </row>
    <row r="13" spans="2:20"/>
    <row r="14" spans="2:20">
      <c r="S14" s="108"/>
      <c r="T14" s="108"/>
    </row>
    <row r="15" spans="2:20">
      <c r="B15" s="8" t="s">
        <v>409</v>
      </c>
      <c r="S15" s="108"/>
      <c r="T15" s="108"/>
    </row>
    <row r="16" spans="2:20">
      <c r="B16" t="s">
        <v>262</v>
      </c>
      <c r="C16" t="s">
        <v>263</v>
      </c>
      <c r="D16" t="s">
        <v>340</v>
      </c>
      <c r="S16" s="108"/>
      <c r="T16" s="108"/>
    </row>
    <row r="17" spans="2:20">
      <c r="B17" t="s">
        <v>3</v>
      </c>
      <c r="C17" s="172">
        <v>4.29</v>
      </c>
      <c r="D17" s="88" t="s">
        <v>342</v>
      </c>
      <c r="S17" s="108"/>
      <c r="T17" s="108"/>
    </row>
    <row r="18" spans="2:20">
      <c r="B18" t="s">
        <v>267</v>
      </c>
      <c r="C18" s="172">
        <v>1.1299999999999999</v>
      </c>
      <c r="D18" s="88" t="s">
        <v>341</v>
      </c>
      <c r="S18" s="108"/>
      <c r="T18" s="108"/>
    </row>
    <row r="19" spans="2:20">
      <c r="B19" t="s">
        <v>270</v>
      </c>
      <c r="C19" s="172">
        <v>1.74</v>
      </c>
      <c r="D19" s="88" t="s">
        <v>341</v>
      </c>
      <c r="S19" s="108"/>
      <c r="T19" s="108"/>
    </row>
    <row r="20" spans="2:20">
      <c r="B20" t="s">
        <v>274</v>
      </c>
      <c r="C20" s="172">
        <v>0.6</v>
      </c>
      <c r="D20" s="88" t="s">
        <v>341</v>
      </c>
      <c r="S20" s="108"/>
      <c r="T20" s="108"/>
    </row>
    <row r="21" spans="2:20">
      <c r="B21" t="s">
        <v>268</v>
      </c>
      <c r="C21" s="172">
        <v>1.22</v>
      </c>
      <c r="D21" s="88" t="s">
        <v>341</v>
      </c>
      <c r="S21" s="108"/>
      <c r="T21" s="108"/>
    </row>
    <row r="22" spans="2:20">
      <c r="B22" t="s">
        <v>265</v>
      </c>
      <c r="C22" s="172">
        <v>2.34</v>
      </c>
      <c r="D22" s="88" t="s">
        <v>341</v>
      </c>
      <c r="S22" s="108"/>
      <c r="T22" s="108"/>
    </row>
    <row r="23" spans="2:20">
      <c r="B23" t="s">
        <v>271</v>
      </c>
      <c r="C23" s="172">
        <v>3</v>
      </c>
      <c r="D23" s="88" t="s">
        <v>341</v>
      </c>
      <c r="S23" s="108"/>
      <c r="T23" s="108"/>
    </row>
    <row r="24" spans="2:20">
      <c r="B24" t="s">
        <v>284</v>
      </c>
      <c r="C24" s="172">
        <v>1.32</v>
      </c>
      <c r="D24" s="88" t="s">
        <v>342</v>
      </c>
      <c r="S24" s="108"/>
      <c r="T24" s="108"/>
    </row>
    <row r="25" spans="2:20">
      <c r="B25" t="s">
        <v>287</v>
      </c>
      <c r="C25" s="172">
        <v>1.25</v>
      </c>
      <c r="D25" s="88" t="s">
        <v>342</v>
      </c>
    </row>
    <row r="26" spans="2:20">
      <c r="B26" t="s">
        <v>269</v>
      </c>
      <c r="C26" s="172">
        <v>2.4300000000000002</v>
      </c>
      <c r="D26" s="88" t="s">
        <v>341</v>
      </c>
    </row>
    <row r="27" spans="2:20">
      <c r="B27" s="90" t="s">
        <v>282</v>
      </c>
      <c r="C27" s="174">
        <v>2</v>
      </c>
      <c r="D27" s="87"/>
    </row>
    <row r="28" spans="2:20">
      <c r="B28" t="s">
        <v>288</v>
      </c>
      <c r="C28" s="172">
        <v>2.15</v>
      </c>
      <c r="D28" s="88" t="s">
        <v>342</v>
      </c>
    </row>
    <row r="29" spans="2:20">
      <c r="B29" t="s">
        <v>286</v>
      </c>
      <c r="C29" s="172">
        <v>1.88</v>
      </c>
      <c r="D29" s="88" t="s">
        <v>342</v>
      </c>
    </row>
    <row r="30" spans="2:20">
      <c r="B30" t="s">
        <v>273</v>
      </c>
      <c r="C30" s="172">
        <v>1.9</v>
      </c>
      <c r="D30" s="88" t="s">
        <v>341</v>
      </c>
    </row>
    <row r="31" spans="2:20">
      <c r="B31" s="98" t="s">
        <v>272</v>
      </c>
      <c r="C31" s="173">
        <v>1.8</v>
      </c>
      <c r="D31" s="88" t="s">
        <v>341</v>
      </c>
    </row>
    <row r="32" spans="2:20">
      <c r="B32" s="98" t="s">
        <v>266</v>
      </c>
      <c r="C32" s="173">
        <v>3.25</v>
      </c>
      <c r="D32" s="88" t="s">
        <v>341</v>
      </c>
    </row>
    <row r="33" spans="2:4">
      <c r="B33" s="98" t="s">
        <v>290</v>
      </c>
      <c r="C33" s="173">
        <v>0.8</v>
      </c>
      <c r="D33" s="88" t="s">
        <v>342</v>
      </c>
    </row>
    <row r="34" spans="2:4">
      <c r="B34" s="98" t="s">
        <v>283</v>
      </c>
      <c r="C34" s="173">
        <v>1.39</v>
      </c>
      <c r="D34" s="88" t="s">
        <v>342</v>
      </c>
    </row>
    <row r="35" spans="2:4">
      <c r="B35" s="98" t="s">
        <v>285</v>
      </c>
      <c r="C35" s="173">
        <v>1.28</v>
      </c>
      <c r="D35" s="88" t="s">
        <v>342</v>
      </c>
    </row>
    <row r="36" spans="2:4">
      <c r="B36" s="98" t="s">
        <v>264</v>
      </c>
      <c r="C36" s="173">
        <v>0.8</v>
      </c>
      <c r="D36" s="88" t="s">
        <v>341</v>
      </c>
    </row>
    <row r="37" spans="2:4">
      <c r="B37" s="98" t="s">
        <v>278</v>
      </c>
      <c r="C37" s="173">
        <v>1.39</v>
      </c>
      <c r="D37" s="88" t="s">
        <v>342</v>
      </c>
    </row>
    <row r="38" spans="2:4">
      <c r="B38" s="98" t="s">
        <v>289</v>
      </c>
      <c r="C38" s="173">
        <v>1.51</v>
      </c>
      <c r="D38" s="88" t="s">
        <v>342</v>
      </c>
    </row>
    <row r="39" spans="2:4">
      <c r="B39" s="98" t="s">
        <v>280</v>
      </c>
      <c r="C39" s="173">
        <v>1.89</v>
      </c>
      <c r="D39" s="88" t="s">
        <v>342</v>
      </c>
    </row>
    <row r="40" spans="2:4">
      <c r="B40" s="98" t="s">
        <v>279</v>
      </c>
      <c r="C40" s="173">
        <v>2.87</v>
      </c>
      <c r="D40" s="88" t="s">
        <v>342</v>
      </c>
    </row>
    <row r="41" spans="2:4">
      <c r="B41" s="98" t="s">
        <v>276</v>
      </c>
      <c r="C41" s="173">
        <v>0.55000000000000004</v>
      </c>
      <c r="D41" s="88" t="s">
        <v>341</v>
      </c>
    </row>
    <row r="42" spans="2:4">
      <c r="B42" s="98" t="s">
        <v>275</v>
      </c>
      <c r="C42" s="173">
        <v>0.42</v>
      </c>
      <c r="D42" s="88" t="s">
        <v>341</v>
      </c>
    </row>
    <row r="43" spans="2:4">
      <c r="B43" t="s">
        <v>281</v>
      </c>
      <c r="C43" s="172">
        <v>0.82</v>
      </c>
      <c r="D43" s="88" t="s">
        <v>341</v>
      </c>
    </row>
    <row r="44" spans="2:4"/>
  </sheetData>
  <mergeCells count="4">
    <mergeCell ref="D3:E3"/>
    <mergeCell ref="F3:G3"/>
    <mergeCell ref="H3:I3"/>
    <mergeCell ref="B2:I2"/>
  </mergeCells>
  <dataValidations count="2">
    <dataValidation type="list" allowBlank="1" showInputMessage="1" showErrorMessage="1" sqref="D11 F11 H11" xr:uid="{E5471214-FA9D-4F3B-8EAD-614B49BBB243}">
      <formula1>"yes,no"</formula1>
    </dataValidation>
    <dataValidation type="list" allowBlank="1" showInputMessage="1" showErrorMessage="1" sqref="B6:B10" xr:uid="{97556BEE-3E05-444C-96EB-D5FEB98FB651}">
      <formula1>$B$17:$B$43</formula1>
    </dataValidation>
  </dataValidation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E010-BEDE-4830-BD70-A4B70124196D}">
  <dimension ref="B1:S40"/>
  <sheetViews>
    <sheetView showGridLines="0" zoomScaleNormal="100" workbookViewId="0">
      <selection activeCell="F12" sqref="F12"/>
    </sheetView>
  </sheetViews>
  <sheetFormatPr defaultColWidth="0" defaultRowHeight="16.5" zeroHeight="1"/>
  <cols>
    <col min="1" max="1" width="2.58203125" customWidth="1"/>
    <col min="2" max="2" width="21.75" customWidth="1"/>
    <col min="3" max="3" width="13" customWidth="1"/>
    <col min="4" max="5" width="13.08203125" customWidth="1"/>
    <col min="6" max="6" width="14.83203125" customWidth="1"/>
    <col min="7" max="7" width="18.1640625" customWidth="1"/>
    <col min="8" max="8" width="13.83203125" customWidth="1"/>
    <col min="9" max="9" width="13.58203125" customWidth="1"/>
    <col min="10" max="10" width="7.83203125" customWidth="1"/>
    <col min="11" max="11" width="14.58203125" hidden="1"/>
    <col min="12" max="12" width="15.75" hidden="1"/>
    <col min="13" max="13" width="9.5" hidden="1"/>
    <col min="14" max="15" width="11.08203125" hidden="1"/>
    <col min="16" max="16" width="8.6640625" hidden="1"/>
    <col min="17" max="17" width="19.08203125" hidden="1"/>
    <col min="18" max="18" width="9.83203125" hidden="1"/>
    <col min="19" max="19" width="11.5" hidden="1"/>
  </cols>
  <sheetData>
    <row r="1" spans="2:19" ht="17" thickBot="1"/>
    <row r="2" spans="2:19" ht="25" customHeight="1">
      <c r="B2" s="345" t="s">
        <v>370</v>
      </c>
      <c r="C2" s="346"/>
      <c r="D2" s="346"/>
      <c r="E2" s="346"/>
      <c r="F2" s="346"/>
      <c r="G2" s="346"/>
      <c r="H2" s="346"/>
      <c r="I2" s="347"/>
      <c r="J2" s="96"/>
    </row>
    <row r="3" spans="2:19" ht="25" customHeight="1">
      <c r="B3" s="109"/>
      <c r="C3" s="127"/>
      <c r="D3" s="341" t="s">
        <v>463</v>
      </c>
      <c r="E3" s="342"/>
      <c r="F3" s="341" t="s">
        <v>464</v>
      </c>
      <c r="G3" s="342"/>
      <c r="H3" s="343" t="s">
        <v>466</v>
      </c>
      <c r="I3" s="344"/>
      <c r="J3" s="127"/>
    </row>
    <row r="4" spans="2:19" ht="16.5" customHeight="1">
      <c r="B4" s="151" t="s">
        <v>369</v>
      </c>
      <c r="C4" s="155" t="s">
        <v>364</v>
      </c>
      <c r="D4" s="228" t="s">
        <v>245</v>
      </c>
      <c r="E4" s="156" t="s">
        <v>351</v>
      </c>
      <c r="F4" s="228" t="s">
        <v>245</v>
      </c>
      <c r="G4" s="156" t="s">
        <v>351</v>
      </c>
      <c r="H4" s="155" t="s">
        <v>245</v>
      </c>
      <c r="I4" s="156" t="s">
        <v>351</v>
      </c>
      <c r="J4" s="113"/>
    </row>
    <row r="5" spans="2:19">
      <c r="B5" s="147"/>
      <c r="C5" s="143" t="s">
        <v>365</v>
      </c>
      <c r="D5" s="229" t="s">
        <v>462</v>
      </c>
      <c r="E5" s="139" t="s">
        <v>293</v>
      </c>
      <c r="F5" s="229" t="s">
        <v>462</v>
      </c>
      <c r="G5" s="139" t="s">
        <v>293</v>
      </c>
      <c r="H5" s="229" t="s">
        <v>462</v>
      </c>
      <c r="I5" s="139" t="s">
        <v>293</v>
      </c>
      <c r="J5" s="72"/>
    </row>
    <row r="6" spans="2:19">
      <c r="B6" s="373" t="s">
        <v>460</v>
      </c>
      <c r="C6" s="374">
        <f>IFERROR(VLOOKUP(B6,DBChem[],2,FALSE),"")</f>
        <v>20</v>
      </c>
      <c r="D6" s="390">
        <v>-1</v>
      </c>
      <c r="E6" s="376">
        <f>IFERROR(D6*$C6,"")</f>
        <v>-20</v>
      </c>
      <c r="F6" s="390">
        <v>-0.75</v>
      </c>
      <c r="G6" s="376">
        <f>IFERROR(F6*$C6,"")</f>
        <v>-15</v>
      </c>
      <c r="H6" s="391"/>
      <c r="I6" s="376">
        <f>IFERROR(H6*$C6,"")</f>
        <v>0</v>
      </c>
      <c r="J6" s="96"/>
      <c r="K6" s="96"/>
    </row>
    <row r="7" spans="2:19">
      <c r="B7" s="378" t="s">
        <v>461</v>
      </c>
      <c r="C7" s="379">
        <f>IFERROR(VLOOKUP(B7,DBChem[],2,FALSE),"")</f>
        <v>30</v>
      </c>
      <c r="D7" s="392">
        <v>1</v>
      </c>
      <c r="E7" s="381">
        <f>IFERROR(D7*$C7,"")</f>
        <v>30</v>
      </c>
      <c r="F7" s="392"/>
      <c r="G7" s="381">
        <f>IFERROR(F7*$C7,"")</f>
        <v>0</v>
      </c>
      <c r="H7" s="393"/>
      <c r="I7" s="381">
        <f>IFERROR(H7*$C7,"")</f>
        <v>0</v>
      </c>
      <c r="J7" s="96"/>
      <c r="K7" s="96"/>
    </row>
    <row r="8" spans="2:19">
      <c r="B8" s="378"/>
      <c r="C8" s="379" t="str">
        <f>IFERROR(VLOOKUP(B8,DBChem[],2,FALSE),"")</f>
        <v/>
      </c>
      <c r="D8" s="392"/>
      <c r="E8" s="381" t="str">
        <f>IFERROR(D8*$C8,"")</f>
        <v/>
      </c>
      <c r="F8" s="392"/>
      <c r="G8" s="381" t="str">
        <f>IFERROR(F8*$C8,"")</f>
        <v/>
      </c>
      <c r="H8" s="393"/>
      <c r="I8" s="381" t="str">
        <f>IFERROR(H8*$C8,"")</f>
        <v/>
      </c>
      <c r="J8" s="96"/>
      <c r="K8" s="96"/>
    </row>
    <row r="9" spans="2:19">
      <c r="B9" s="378"/>
      <c r="C9" s="379" t="str">
        <f>IFERROR(VLOOKUP(B9,DBChem[],2,FALSE),"")</f>
        <v/>
      </c>
      <c r="D9" s="392"/>
      <c r="E9" s="381" t="str">
        <f>IFERROR(D9*$C9,"")</f>
        <v/>
      </c>
      <c r="F9" s="392"/>
      <c r="G9" s="381" t="str">
        <f>IFERROR(F9*$C9,"")</f>
        <v/>
      </c>
      <c r="H9" s="393"/>
      <c r="I9" s="381" t="str">
        <f>IFERROR(H9*$C9,"")</f>
        <v/>
      </c>
      <c r="J9" s="96"/>
      <c r="K9" s="96"/>
    </row>
    <row r="10" spans="2:19">
      <c r="B10" s="394"/>
      <c r="C10" s="395" t="str">
        <f>IFERROR(VLOOKUP(B10,DBChem[],2,FALSE),"")</f>
        <v/>
      </c>
      <c r="D10" s="396"/>
      <c r="E10" s="397" t="str">
        <f>IFERROR(D10*$C10,"")</f>
        <v/>
      </c>
      <c r="F10" s="396"/>
      <c r="G10" s="397" t="str">
        <f>IFERROR(F10*$C10,"")</f>
        <v/>
      </c>
      <c r="H10" s="398"/>
      <c r="I10" s="397" t="str">
        <f>IFERROR(H10*$C10,"")</f>
        <v/>
      </c>
      <c r="J10" s="96"/>
      <c r="K10" s="96"/>
    </row>
    <row r="11" spans="2:19" ht="17" thickBot="1">
      <c r="B11" s="100" t="s">
        <v>17</v>
      </c>
      <c r="C11" s="142"/>
      <c r="D11" s="277">
        <f>SUM(D6:D9)</f>
        <v>0</v>
      </c>
      <c r="E11" s="141">
        <f>SUM(E6:E10)</f>
        <v>10</v>
      </c>
      <c r="F11" s="324">
        <f>SUM(F6:F10)</f>
        <v>-0.75</v>
      </c>
      <c r="G11" s="141">
        <f>SUM(G6:G10)</f>
        <v>-15</v>
      </c>
      <c r="H11" s="325">
        <f>SUM(H6:H10)</f>
        <v>0</v>
      </c>
      <c r="I11" s="141">
        <f>SUM(I6:I10)</f>
        <v>0</v>
      </c>
      <c r="J11" s="128"/>
      <c r="K11" s="96"/>
    </row>
    <row r="12" spans="2:19"/>
    <row r="13" spans="2:19">
      <c r="Q13" s="107"/>
      <c r="R13" s="107"/>
      <c r="S13" s="107"/>
    </row>
    <row r="14" spans="2:19">
      <c r="B14" s="8" t="s">
        <v>410</v>
      </c>
      <c r="R14" s="108"/>
      <c r="S14" s="108"/>
    </row>
    <row r="15" spans="2:19">
      <c r="B15" t="s">
        <v>412</v>
      </c>
      <c r="C15" t="s">
        <v>366</v>
      </c>
      <c r="R15" s="108"/>
      <c r="S15" s="108"/>
    </row>
    <row r="16" spans="2:19">
      <c r="B16" t="s">
        <v>460</v>
      </c>
      <c r="C16" s="172">
        <v>20</v>
      </c>
      <c r="D16" s="108"/>
      <c r="R16" s="108"/>
      <c r="S16" s="108"/>
    </row>
    <row r="17" spans="2:19">
      <c r="B17" t="s">
        <v>461</v>
      </c>
      <c r="C17" s="172">
        <v>30</v>
      </c>
      <c r="D17" s="108"/>
      <c r="R17" s="108"/>
      <c r="S17" s="108"/>
    </row>
    <row r="18" spans="2:19">
      <c r="B18" t="s">
        <v>356</v>
      </c>
      <c r="C18" s="172">
        <v>10</v>
      </c>
      <c r="D18" s="108"/>
      <c r="R18" s="108"/>
      <c r="S18" s="108"/>
    </row>
    <row r="19" spans="2:19">
      <c r="B19" t="s">
        <v>357</v>
      </c>
      <c r="C19" s="172">
        <v>10</v>
      </c>
      <c r="D19" s="108"/>
      <c r="R19" s="108"/>
      <c r="S19" s="108"/>
    </row>
    <row r="20" spans="2:19">
      <c r="B20" t="s">
        <v>358</v>
      </c>
      <c r="C20" s="172">
        <v>10</v>
      </c>
      <c r="D20" s="108"/>
      <c r="R20" s="108"/>
      <c r="S20" s="108"/>
    </row>
    <row r="21" spans="2:19">
      <c r="B21" t="s">
        <v>359</v>
      </c>
      <c r="C21" s="172">
        <v>10</v>
      </c>
      <c r="D21" s="108"/>
      <c r="R21" s="108"/>
      <c r="S21" s="108"/>
    </row>
    <row r="22" spans="2:19">
      <c r="B22" t="s">
        <v>360</v>
      </c>
      <c r="C22" s="172">
        <v>10</v>
      </c>
      <c r="D22" s="108"/>
      <c r="R22" s="108"/>
      <c r="S22" s="108"/>
    </row>
    <row r="23" spans="2:19">
      <c r="B23" t="s">
        <v>361</v>
      </c>
      <c r="C23" s="172">
        <v>10</v>
      </c>
      <c r="D23" s="108"/>
      <c r="R23" s="108"/>
      <c r="S23" s="108"/>
    </row>
    <row r="24" spans="2:19">
      <c r="B24" t="s">
        <v>362</v>
      </c>
      <c r="C24" s="172">
        <v>10</v>
      </c>
      <c r="D24" s="108"/>
      <c r="R24" s="108"/>
      <c r="S24" s="108"/>
    </row>
    <row r="25" spans="2:19">
      <c r="B25" t="s">
        <v>363</v>
      </c>
      <c r="C25" s="172">
        <v>10</v>
      </c>
      <c r="D25" s="108"/>
      <c r="R25" s="108"/>
      <c r="S25" s="108"/>
    </row>
    <row r="26" spans="2:19"/>
    <row r="27" spans="2:19"/>
    <row r="28" spans="2:19"/>
    <row r="29" spans="2:19"/>
    <row r="30" spans="2:19"/>
    <row r="31" spans="2:19"/>
    <row r="32" spans="2:19"/>
    <row r="33"/>
    <row r="34"/>
    <row r="35"/>
    <row r="36"/>
    <row r="37"/>
    <row r="38"/>
    <row r="39"/>
    <row r="40"/>
  </sheetData>
  <mergeCells count="4">
    <mergeCell ref="D3:E3"/>
    <mergeCell ref="F3:G3"/>
    <mergeCell ref="H3:I3"/>
    <mergeCell ref="B2:I2"/>
  </mergeCells>
  <phoneticPr fontId="11" type="noConversion"/>
  <dataValidations count="1">
    <dataValidation type="list" allowBlank="1" showInputMessage="1" showErrorMessage="1" sqref="B6:B10" xr:uid="{03A83F61-59CC-4CE6-BBC1-C31EAFBAEEBB}">
      <formula1>$B$16:$B$25</formula1>
    </dataValidation>
  </dataValidation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4578" r:id="rId4">
          <objectPr defaultSize="0" autoPict="0" r:id="rId5">
            <anchor moveWithCells="1">
              <from>
                <xdr:col>3</xdr:col>
                <xdr:colOff>285750</xdr:colOff>
                <xdr:row>12</xdr:row>
                <xdr:rowOff>107950</xdr:rowOff>
              </from>
              <to>
                <xdr:col>8</xdr:col>
                <xdr:colOff>876300</xdr:colOff>
                <xdr:row>39</xdr:row>
                <xdr:rowOff>12700</xdr:rowOff>
              </to>
            </anchor>
          </objectPr>
        </oleObject>
      </mc:Choice>
      <mc:Fallback>
        <oleObject progId="Word.Document.12" shapeId="24578" r:id="rId4"/>
      </mc:Fallback>
    </mc:AlternateContent>
  </oleObjects>
  <tableParts count="1">
    <tablePart r:id="rId6"/>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DCD8-9876-440E-B611-10E4175B2705}">
  <dimension ref="B1:S31"/>
  <sheetViews>
    <sheetView showGridLines="0" workbookViewId="0">
      <selection activeCell="D13" sqref="D13"/>
    </sheetView>
  </sheetViews>
  <sheetFormatPr defaultColWidth="0" defaultRowHeight="16.5" zeroHeight="1"/>
  <cols>
    <col min="1" max="1" width="2.58203125" customWidth="1"/>
    <col min="2" max="2" width="21.1640625" customWidth="1"/>
    <col min="3" max="3" width="13" customWidth="1"/>
    <col min="4" max="4" width="13.83203125" customWidth="1"/>
    <col min="5" max="5" width="15.58203125" customWidth="1"/>
    <col min="6" max="6" width="14.83203125" customWidth="1"/>
    <col min="7" max="7" width="17" customWidth="1"/>
    <col min="8" max="8" width="15.1640625" customWidth="1"/>
    <col min="9" max="9" width="13.1640625" customWidth="1"/>
    <col min="10" max="10" width="8.08203125" customWidth="1"/>
    <col min="11" max="11" width="14.58203125" hidden="1"/>
    <col min="12" max="12" width="15.75" hidden="1"/>
    <col min="13" max="13" width="9.5" hidden="1"/>
    <col min="14" max="15" width="11.08203125" hidden="1"/>
    <col min="16" max="16" width="8.6640625" hidden="1"/>
    <col min="17" max="17" width="19.08203125" hidden="1"/>
    <col min="18" max="18" width="9.83203125" hidden="1"/>
    <col min="19" max="19" width="11.5" hidden="1"/>
    <col min="20" max="16384" width="8.6640625" hidden="1"/>
  </cols>
  <sheetData>
    <row r="1" spans="2:19" ht="17" thickBot="1"/>
    <row r="2" spans="2:19" ht="25" customHeight="1">
      <c r="B2" s="345" t="s">
        <v>371</v>
      </c>
      <c r="C2" s="346"/>
      <c r="D2" s="346"/>
      <c r="E2" s="346"/>
      <c r="F2" s="346"/>
      <c r="G2" s="346"/>
      <c r="H2" s="346"/>
      <c r="I2" s="347"/>
      <c r="J2" s="96"/>
    </row>
    <row r="3" spans="2:19" ht="25" customHeight="1">
      <c r="B3" s="109"/>
      <c r="C3" s="127"/>
      <c r="D3" s="341" t="s">
        <v>463</v>
      </c>
      <c r="E3" s="342"/>
      <c r="F3" s="341" t="s">
        <v>464</v>
      </c>
      <c r="G3" s="342"/>
      <c r="H3" s="343" t="s">
        <v>466</v>
      </c>
      <c r="I3" s="344"/>
      <c r="J3" s="127"/>
    </row>
    <row r="4" spans="2:19" ht="16.5" customHeight="1">
      <c r="B4" s="151" t="s">
        <v>372</v>
      </c>
      <c r="C4" s="155" t="s">
        <v>373</v>
      </c>
      <c r="D4" s="228" t="s">
        <v>245</v>
      </c>
      <c r="E4" s="156" t="s">
        <v>351</v>
      </c>
      <c r="F4" s="228" t="s">
        <v>245</v>
      </c>
      <c r="G4" s="156" t="s">
        <v>351</v>
      </c>
      <c r="H4" s="155" t="s">
        <v>245</v>
      </c>
      <c r="I4" s="156" t="s">
        <v>351</v>
      </c>
      <c r="J4" s="113"/>
    </row>
    <row r="5" spans="2:19">
      <c r="B5" s="147"/>
      <c r="C5" s="143" t="s">
        <v>374</v>
      </c>
      <c r="D5" s="229" t="s">
        <v>345</v>
      </c>
      <c r="E5" s="139" t="s">
        <v>293</v>
      </c>
      <c r="F5" s="229" t="s">
        <v>345</v>
      </c>
      <c r="G5" s="139" t="s">
        <v>293</v>
      </c>
      <c r="H5" s="133" t="s">
        <v>345</v>
      </c>
      <c r="I5" s="139" t="s">
        <v>293</v>
      </c>
      <c r="J5" s="72"/>
    </row>
    <row r="6" spans="2:19">
      <c r="B6" s="373" t="s">
        <v>376</v>
      </c>
      <c r="C6" s="374">
        <f>IFERROR(VLOOKUP(B6,DBFert[],2,FALSE),"")</f>
        <v>0.6</v>
      </c>
      <c r="D6" s="375"/>
      <c r="E6" s="376">
        <f>IFERROR(D6*$C6,"")</f>
        <v>0</v>
      </c>
      <c r="F6" s="375">
        <v>20</v>
      </c>
      <c r="G6" s="376">
        <f>IFERROR(F6*$C6,"")</f>
        <v>12</v>
      </c>
      <c r="H6" s="377">
        <v>20</v>
      </c>
      <c r="I6" s="376">
        <f>IFERROR(H6*$C6,"")</f>
        <v>12</v>
      </c>
      <c r="J6" s="96"/>
      <c r="K6" s="96"/>
    </row>
    <row r="7" spans="2:19">
      <c r="B7" s="378" t="s">
        <v>379</v>
      </c>
      <c r="C7" s="399">
        <f>IFERROR(VLOOKUP(B7,DBFert[],2,FALSE),"")</f>
        <v>0.62</v>
      </c>
      <c r="D7" s="380">
        <v>-15</v>
      </c>
      <c r="E7" s="381">
        <f>IFERROR(D7*$C7,"")</f>
        <v>-9.3000000000000007</v>
      </c>
      <c r="F7" s="380">
        <v>10</v>
      </c>
      <c r="G7" s="381">
        <f>IFERROR(F7*$C7,"")</f>
        <v>6.2</v>
      </c>
      <c r="H7" s="383">
        <v>5</v>
      </c>
      <c r="I7" s="381">
        <f>IFERROR(H7*$C7,"")</f>
        <v>3.1</v>
      </c>
      <c r="J7" s="96"/>
      <c r="K7" s="96"/>
    </row>
    <row r="8" spans="2:19">
      <c r="B8" s="378" t="s">
        <v>380</v>
      </c>
      <c r="C8" s="399">
        <f>IFERROR(VLOOKUP(B8,DBFert[],2,FALSE),"")</f>
        <v>0.41</v>
      </c>
      <c r="D8" s="380"/>
      <c r="E8" s="381">
        <f>IFERROR(D8*$C8,"")</f>
        <v>0</v>
      </c>
      <c r="F8" s="380">
        <v>50</v>
      </c>
      <c r="G8" s="381">
        <f>IFERROR(F8*$C8,"")</f>
        <v>20.5</v>
      </c>
      <c r="H8" s="383">
        <v>10</v>
      </c>
      <c r="I8" s="381">
        <f>IFERROR(H8*$C8,"")</f>
        <v>4.0999999999999996</v>
      </c>
      <c r="J8" s="96"/>
      <c r="K8" s="96"/>
    </row>
    <row r="9" spans="2:19">
      <c r="B9" s="378"/>
      <c r="C9" s="399" t="str">
        <f>IFERROR(VLOOKUP(B9,DBFert[],2,FALSE),"")</f>
        <v/>
      </c>
      <c r="D9" s="380"/>
      <c r="E9" s="381" t="str">
        <f>IFERROR(D9*$C9,"")</f>
        <v/>
      </c>
      <c r="F9" s="380"/>
      <c r="G9" s="381" t="str">
        <f>IFERROR(F9*$C9,"")</f>
        <v/>
      </c>
      <c r="H9" s="383"/>
      <c r="I9" s="381" t="str">
        <f>IFERROR(H9*$C9,"")</f>
        <v/>
      </c>
      <c r="J9" s="96"/>
      <c r="K9" s="96"/>
    </row>
    <row r="10" spans="2:19">
      <c r="B10" s="394"/>
      <c r="C10" s="400" t="str">
        <f>IFERROR(VLOOKUP(B10,DBFert[],2,FALSE),"")</f>
        <v/>
      </c>
      <c r="D10" s="401"/>
      <c r="E10" s="397" t="str">
        <f>IFERROR(D10*$C10,"")</f>
        <v/>
      </c>
      <c r="F10" s="401"/>
      <c r="G10" s="397" t="str">
        <f>IFERROR(F10*$C10,"")</f>
        <v/>
      </c>
      <c r="H10" s="402"/>
      <c r="I10" s="397" t="str">
        <f>IFERROR(H10*$C10,"")</f>
        <v/>
      </c>
      <c r="J10" s="96"/>
      <c r="K10" s="96"/>
    </row>
    <row r="11" spans="2:19" ht="17" thickBot="1">
      <c r="B11" s="100" t="s">
        <v>17</v>
      </c>
      <c r="C11" s="142"/>
      <c r="D11" s="230"/>
      <c r="E11" s="141">
        <f>SUM(E6:E10)</f>
        <v>-9.3000000000000007</v>
      </c>
      <c r="F11" s="230"/>
      <c r="G11" s="141">
        <f>SUM(G6:G10)</f>
        <v>38.700000000000003</v>
      </c>
      <c r="H11" s="227"/>
      <c r="I11" s="141">
        <f>SUM(I6:I10)</f>
        <v>19.2</v>
      </c>
      <c r="J11" s="128"/>
      <c r="K11" s="96"/>
    </row>
    <row r="12" spans="2:19"/>
    <row r="13" spans="2:19">
      <c r="Q13" s="107"/>
      <c r="R13" s="107"/>
      <c r="S13" s="107"/>
    </row>
    <row r="14" spans="2:19">
      <c r="B14" s="8" t="s">
        <v>411</v>
      </c>
      <c r="R14" s="108"/>
      <c r="S14" s="108"/>
    </row>
    <row r="15" spans="2:19">
      <c r="B15" t="s">
        <v>262</v>
      </c>
      <c r="C15" t="s">
        <v>366</v>
      </c>
      <c r="D15" t="s">
        <v>19</v>
      </c>
      <c r="R15" s="108"/>
      <c r="S15" s="108"/>
    </row>
    <row r="16" spans="2:19">
      <c r="B16" t="s">
        <v>375</v>
      </c>
      <c r="C16" s="172">
        <v>0.55000000000000004</v>
      </c>
      <c r="D16" s="88" t="s">
        <v>402</v>
      </c>
      <c r="R16" s="108"/>
      <c r="S16" s="108"/>
    </row>
    <row r="17" spans="2:19">
      <c r="B17" t="s">
        <v>376</v>
      </c>
      <c r="C17" s="172">
        <v>0.6</v>
      </c>
      <c r="D17" s="88" t="s">
        <v>402</v>
      </c>
      <c r="R17" s="108"/>
      <c r="S17" s="108"/>
    </row>
    <row r="18" spans="2:19">
      <c r="B18" t="s">
        <v>377</v>
      </c>
      <c r="C18" s="172">
        <v>0.6</v>
      </c>
      <c r="D18" s="88" t="s">
        <v>402</v>
      </c>
      <c r="R18" s="108"/>
      <c r="S18" s="108"/>
    </row>
    <row r="19" spans="2:19">
      <c r="B19" t="s">
        <v>378</v>
      </c>
      <c r="C19" s="172">
        <v>0.62</v>
      </c>
      <c r="D19" s="88" t="s">
        <v>403</v>
      </c>
      <c r="R19" s="108"/>
      <c r="S19" s="108"/>
    </row>
    <row r="20" spans="2:19">
      <c r="B20" t="s">
        <v>379</v>
      </c>
      <c r="C20" s="172">
        <v>0.62</v>
      </c>
      <c r="D20" s="88" t="s">
        <v>403</v>
      </c>
      <c r="R20" s="108"/>
      <c r="S20" s="108"/>
    </row>
    <row r="21" spans="2:19">
      <c r="B21" t="s">
        <v>380</v>
      </c>
      <c r="C21" s="172">
        <v>0.41</v>
      </c>
      <c r="D21" s="88" t="s">
        <v>404</v>
      </c>
      <c r="R21" s="108"/>
      <c r="S21" s="108"/>
    </row>
    <row r="22" spans="2:19">
      <c r="B22" t="s">
        <v>381</v>
      </c>
      <c r="C22" s="172">
        <v>1</v>
      </c>
      <c r="D22" s="88" t="s">
        <v>405</v>
      </c>
      <c r="R22" s="108"/>
      <c r="S22" s="108"/>
    </row>
    <row r="23" spans="2:19">
      <c r="B23" t="s">
        <v>4</v>
      </c>
      <c r="C23" s="172">
        <v>27.5</v>
      </c>
      <c r="D23" s="88" t="s">
        <v>406</v>
      </c>
      <c r="R23" s="108"/>
      <c r="S23" s="108"/>
    </row>
    <row r="24" spans="2:19">
      <c r="B24" t="s">
        <v>413</v>
      </c>
      <c r="C24" s="172"/>
      <c r="D24" s="88"/>
      <c r="R24" s="108"/>
      <c r="S24" s="108"/>
    </row>
    <row r="25" spans="2:19">
      <c r="B25" t="s">
        <v>414</v>
      </c>
      <c r="C25" s="172"/>
      <c r="D25" s="88"/>
      <c r="R25" s="108"/>
      <c r="S25" s="108"/>
    </row>
    <row r="26" spans="2:19">
      <c r="B26" t="s">
        <v>415</v>
      </c>
      <c r="C26" s="172"/>
      <c r="D26" s="88"/>
    </row>
    <row r="27" spans="2:19">
      <c r="C27" s="108"/>
      <c r="D27" s="88"/>
    </row>
    <row r="28" spans="2:19"/>
    <row r="29" spans="2:19"/>
    <row r="30" spans="2:19"/>
    <row r="31" spans="2:19"/>
  </sheetData>
  <mergeCells count="4">
    <mergeCell ref="D3:E3"/>
    <mergeCell ref="F3:G3"/>
    <mergeCell ref="H3:I3"/>
    <mergeCell ref="B2:I2"/>
  </mergeCells>
  <dataValidations count="1">
    <dataValidation type="list" allowBlank="1" showInputMessage="1" showErrorMessage="1" sqref="B6:B10" xr:uid="{13E59001-402D-4C35-A9F7-7F0849BEA13C}">
      <formula1>$B$16:$B$26</formula1>
    </dataValidation>
  </dataValidation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5602" r:id="rId4">
          <objectPr defaultSize="0" autoPict="0" r:id="rId5">
            <anchor moveWithCells="1">
              <from>
                <xdr:col>4</xdr:col>
                <xdr:colOff>279400</xdr:colOff>
                <xdr:row>12</xdr:row>
                <xdr:rowOff>0</xdr:rowOff>
              </from>
              <to>
                <xdr:col>8</xdr:col>
                <xdr:colOff>965200</xdr:colOff>
                <xdr:row>29</xdr:row>
                <xdr:rowOff>107950</xdr:rowOff>
              </to>
            </anchor>
          </objectPr>
        </oleObject>
      </mc:Choice>
      <mc:Fallback>
        <oleObject progId="Word.Document.12" shapeId="25602" r:id="rId4"/>
      </mc:Fallback>
    </mc:AlternateContent>
  </oleObjects>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B994D-0FAA-4141-B4C0-7A1AC98C77AD}">
  <dimension ref="B1:DP268"/>
  <sheetViews>
    <sheetView showGridLines="0" topLeftCell="A3" zoomScaleNormal="100" workbookViewId="0">
      <selection activeCell="L45" sqref="L45"/>
    </sheetView>
  </sheetViews>
  <sheetFormatPr defaultColWidth="9" defaultRowHeight="16"/>
  <cols>
    <col min="1" max="1" width="2.33203125" style="12" customWidth="1"/>
    <col min="2" max="2" width="25.33203125" style="12" bestFit="1" customWidth="1"/>
    <col min="3" max="3" width="11.83203125" style="12" bestFit="1" customWidth="1"/>
    <col min="4" max="4" width="10.83203125" style="12" customWidth="1"/>
    <col min="5" max="6" width="9.33203125" style="12" customWidth="1"/>
    <col min="7" max="7" width="11.75" style="12" customWidth="1"/>
    <col min="8" max="10" width="9.33203125" style="12" customWidth="1"/>
    <col min="11" max="11" width="12.33203125" style="12" customWidth="1"/>
    <col min="12" max="12" width="13.08203125" style="12" customWidth="1"/>
    <col min="13" max="13" width="13.83203125" style="12" customWidth="1"/>
    <col min="14" max="14" width="12.33203125" style="12" customWidth="1"/>
    <col min="15" max="15" width="12.5" style="12" customWidth="1"/>
    <col min="16" max="16" width="11.83203125" style="12" customWidth="1"/>
    <col min="17" max="17" width="12.83203125" style="12" customWidth="1"/>
    <col min="18" max="18" width="11.75" style="12" customWidth="1"/>
    <col min="19" max="19" width="3.58203125" style="12" customWidth="1"/>
    <col min="20" max="20" width="81.08203125" style="12" customWidth="1"/>
    <col min="21" max="21" width="3.58203125" style="12" customWidth="1"/>
    <col min="22" max="22" width="3.33203125" style="12" customWidth="1"/>
    <col min="23" max="23" width="4" style="12" customWidth="1"/>
    <col min="24" max="24" width="24.75" style="12" customWidth="1"/>
    <col min="25" max="26" width="10.75" style="12" customWidth="1"/>
    <col min="27" max="27" width="20" style="12" customWidth="1"/>
    <col min="28" max="30" width="3.58203125" style="12" customWidth="1"/>
    <col min="31" max="31" width="38.75" style="12" customWidth="1"/>
    <col min="32" max="32" width="17.58203125" style="12" customWidth="1"/>
    <col min="33" max="40" width="10.58203125" style="12" customWidth="1"/>
    <col min="41" max="41" width="10.83203125" style="12" customWidth="1"/>
    <col min="42" max="53" width="10.58203125" style="12" customWidth="1"/>
    <col min="54" max="54" width="8" style="12" customWidth="1"/>
    <col min="55" max="55" width="15.08203125" style="12" customWidth="1"/>
    <col min="56" max="56" width="34.5" style="12" customWidth="1"/>
    <col min="57" max="57" width="23" style="12" customWidth="1"/>
    <col min="58" max="60" width="3.58203125" style="12" customWidth="1"/>
    <col min="61" max="61" width="47.83203125" style="12" customWidth="1"/>
    <col min="62" max="62" width="7.83203125" style="12" customWidth="1"/>
    <col min="63" max="63" width="10.33203125" style="12" customWidth="1"/>
    <col min="64" max="64" width="9" style="12" customWidth="1"/>
    <col min="65" max="65" width="11" style="12" customWidth="1"/>
    <col min="66" max="66" width="9.83203125" style="12" customWidth="1"/>
    <col min="67" max="67" width="10.5" style="12" customWidth="1"/>
    <col min="68" max="68" width="11.5" style="12" customWidth="1"/>
    <col min="69" max="69" width="11.58203125" style="12" customWidth="1"/>
    <col min="70" max="70" width="18.33203125" style="12" customWidth="1"/>
    <col min="71" max="71" width="10.33203125" style="12" customWidth="1"/>
    <col min="72" max="72" width="11.83203125" style="12" customWidth="1"/>
    <col min="73" max="73" width="12" style="12" customWidth="1"/>
    <col min="74" max="74" width="9.75" style="12" customWidth="1"/>
    <col min="75" max="75" width="13.25" style="12" customWidth="1"/>
    <col min="76" max="76" width="19" style="12" customWidth="1"/>
    <col min="77" max="77" width="6.75" style="12" customWidth="1"/>
    <col min="78" max="78" width="12.58203125" style="12" customWidth="1"/>
    <col min="79" max="81" width="3.58203125" style="12" customWidth="1"/>
    <col min="82" max="82" width="29.75" style="12" customWidth="1"/>
    <col min="83" max="85" width="9" style="12" customWidth="1"/>
    <col min="86" max="86" width="6.5" style="12" customWidth="1"/>
    <col min="87" max="87" width="6.58203125" style="12" customWidth="1"/>
    <col min="88" max="88" width="12.08203125" style="12" customWidth="1"/>
    <col min="89" max="89" width="9.5" style="12" customWidth="1"/>
    <col min="90" max="91" width="9" style="12" customWidth="1"/>
    <col min="92" max="92" width="8.83203125" style="12" customWidth="1"/>
    <col min="93" max="95" width="3.58203125" style="12" customWidth="1"/>
    <col min="96" max="96" width="25.08203125" style="12" customWidth="1"/>
    <col min="97" max="98" width="9" style="12" customWidth="1"/>
    <col min="99" max="99" width="8.75" style="12" customWidth="1"/>
    <col min="100" max="100" width="12.33203125" style="12" customWidth="1"/>
    <col min="101" max="101" width="8.75" style="12" customWidth="1"/>
    <col min="102" max="102" width="10.5" style="12" customWidth="1"/>
    <col min="103" max="103" width="10" style="12" customWidth="1"/>
    <col min="104" max="108" width="8.75" style="12" customWidth="1"/>
    <col min="109" max="109" width="28.5" style="12" customWidth="1"/>
    <col min="110" max="111" width="10.5" style="12" customWidth="1"/>
    <col min="112" max="113" width="8.75" style="12" customWidth="1"/>
    <col min="114" max="114" width="10.5" style="12" customWidth="1"/>
    <col min="115" max="115" width="8.75" style="12" customWidth="1"/>
    <col min="116" max="116" width="9.33203125" style="12" customWidth="1"/>
    <col min="117" max="117" width="14.33203125" style="12" customWidth="1"/>
    <col min="118" max="118" width="8.75" style="12" customWidth="1"/>
    <col min="119" max="119" width="11" style="12" customWidth="1"/>
    <col min="120" max="120" width="11.83203125" style="12" customWidth="1"/>
    <col min="121" max="16384" width="9" style="12"/>
  </cols>
  <sheetData>
    <row r="1" spans="2:94" ht="16.5" thickBot="1"/>
    <row r="2" spans="2:94" ht="16.5" thickBot="1">
      <c r="B2" s="348" t="s">
        <v>252</v>
      </c>
      <c r="C2" s="349"/>
      <c r="D2" s="349"/>
      <c r="F2" s="15" t="s">
        <v>475</v>
      </c>
    </row>
    <row r="3" spans="2:94">
      <c r="B3" s="308" t="s">
        <v>11</v>
      </c>
      <c r="C3" s="309">
        <v>17.5</v>
      </c>
      <c r="D3" s="284" t="s">
        <v>435</v>
      </c>
    </row>
    <row r="4" spans="2:94" ht="16.5" thickBot="1">
      <c r="B4" s="310" t="s">
        <v>14</v>
      </c>
      <c r="C4" s="311">
        <v>4</v>
      </c>
      <c r="D4" s="285" t="s">
        <v>436</v>
      </c>
    </row>
    <row r="5" spans="2:94" ht="16.5" thickBot="1">
      <c r="B5" s="15"/>
      <c r="CP5" s="252"/>
    </row>
    <row r="6" spans="2:94" ht="19" customHeight="1" thickBot="1">
      <c r="B6" s="361" t="s">
        <v>443</v>
      </c>
      <c r="C6" s="362"/>
      <c r="D6" s="362"/>
      <c r="E6" s="362"/>
      <c r="F6" s="362"/>
      <c r="G6" s="362"/>
      <c r="H6" s="362"/>
      <c r="I6" s="362"/>
      <c r="J6" s="362"/>
      <c r="K6" s="362"/>
      <c r="L6" s="362"/>
      <c r="M6" s="362"/>
      <c r="N6" s="362"/>
      <c r="O6" s="362"/>
      <c r="P6" s="362"/>
      <c r="Q6" s="362"/>
      <c r="R6" s="362"/>
      <c r="T6" s="75"/>
      <c r="U6" s="75"/>
      <c r="CP6" s="252"/>
    </row>
    <row r="7" spans="2:94" ht="16.5" customHeight="1">
      <c r="B7" s="118"/>
      <c r="C7" s="119"/>
      <c r="D7" s="120"/>
      <c r="E7" s="120"/>
      <c r="F7" s="120"/>
      <c r="G7" s="353" t="s">
        <v>463</v>
      </c>
      <c r="H7" s="354"/>
      <c r="I7" s="354"/>
      <c r="J7" s="355"/>
      <c r="K7" s="353" t="s">
        <v>464</v>
      </c>
      <c r="L7" s="354"/>
      <c r="M7" s="354"/>
      <c r="N7" s="354"/>
      <c r="O7" s="358" t="s">
        <v>466</v>
      </c>
      <c r="P7" s="356"/>
      <c r="Q7" s="356"/>
      <c r="R7" s="357"/>
      <c r="S7" s="75"/>
      <c r="T7" s="75"/>
      <c r="U7" s="75"/>
      <c r="CP7" s="252"/>
    </row>
    <row r="8" spans="2:94" ht="16" customHeight="1">
      <c r="B8" s="106"/>
      <c r="G8" s="221"/>
      <c r="H8" s="350" t="s">
        <v>18</v>
      </c>
      <c r="I8" s="351"/>
      <c r="J8" s="351"/>
      <c r="K8" s="224"/>
      <c r="L8" s="359" t="s">
        <v>18</v>
      </c>
      <c r="M8" s="359"/>
      <c r="N8" s="360"/>
      <c r="O8" s="222"/>
      <c r="P8" s="359" t="s">
        <v>18</v>
      </c>
      <c r="Q8" s="359"/>
      <c r="R8" s="360"/>
      <c r="CP8" s="252"/>
    </row>
    <row r="9" spans="2:94" ht="16.5" customHeight="1" thickBot="1">
      <c r="B9" s="102" t="s">
        <v>444</v>
      </c>
      <c r="C9" s="71"/>
      <c r="D9" s="121" t="s">
        <v>209</v>
      </c>
      <c r="E9" s="121" t="s">
        <v>210</v>
      </c>
      <c r="F9" s="121" t="s">
        <v>355</v>
      </c>
      <c r="G9" s="297" t="s">
        <v>8</v>
      </c>
      <c r="H9" s="97" t="s">
        <v>15</v>
      </c>
      <c r="I9" s="97" t="s">
        <v>16</v>
      </c>
      <c r="J9" s="97" t="s">
        <v>17</v>
      </c>
      <c r="K9" s="225" t="s">
        <v>8</v>
      </c>
      <c r="L9" s="122" t="s">
        <v>15</v>
      </c>
      <c r="M9" s="122" t="s">
        <v>16</v>
      </c>
      <c r="N9" s="123" t="s">
        <v>17</v>
      </c>
      <c r="O9" s="223" t="s">
        <v>8</v>
      </c>
      <c r="P9" s="122" t="s">
        <v>15</v>
      </c>
      <c r="Q9" s="122" t="s">
        <v>16</v>
      </c>
      <c r="R9" s="123" t="s">
        <v>17</v>
      </c>
      <c r="S9" s="124"/>
      <c r="T9" s="79"/>
      <c r="U9" s="79"/>
      <c r="CP9" s="252"/>
    </row>
    <row r="10" spans="2:94" ht="17" thickTop="1">
      <c r="B10" s="450"/>
      <c r="C10" s="451"/>
      <c r="D10" s="306" t="s">
        <v>332</v>
      </c>
      <c r="E10" s="306" t="s">
        <v>333</v>
      </c>
      <c r="F10" s="306" t="s">
        <v>293</v>
      </c>
      <c r="G10" s="289" t="s">
        <v>367</v>
      </c>
      <c r="H10" s="306" t="s">
        <v>293</v>
      </c>
      <c r="I10" s="306" t="s">
        <v>293</v>
      </c>
      <c r="J10" s="306" t="s">
        <v>293</v>
      </c>
      <c r="K10" s="289" t="s">
        <v>367</v>
      </c>
      <c r="L10" s="306" t="s">
        <v>293</v>
      </c>
      <c r="M10" s="306" t="s">
        <v>293</v>
      </c>
      <c r="N10" s="307" t="s">
        <v>293</v>
      </c>
      <c r="O10" s="289" t="s">
        <v>367</v>
      </c>
      <c r="P10" s="306" t="s">
        <v>293</v>
      </c>
      <c r="Q10" s="306" t="s">
        <v>293</v>
      </c>
      <c r="R10" s="307" t="s">
        <v>293</v>
      </c>
      <c r="S10" s="72"/>
      <c r="T10" s="72"/>
      <c r="U10" s="72"/>
      <c r="CP10" s="252"/>
    </row>
    <row r="11" spans="2:94">
      <c r="B11" s="403" t="s">
        <v>231</v>
      </c>
      <c r="C11" s="404" t="s">
        <v>467</v>
      </c>
      <c r="D11" s="405">
        <f>IF(ISBLANK(C11),"",VLOOKUP(C11,DBPower[],17,FALSE)*VLOOKUP(B11,DBImplements[],23,FALSE))</f>
        <v>0.94648888888888882</v>
      </c>
      <c r="E11" s="405">
        <f>IF(ISBLANK(B11),"",VLOOKUP(B11,DBImplements[],24,FALSE))</f>
        <v>0.13566666666666669</v>
      </c>
      <c r="F11" s="406">
        <f>IFERROR(IF(ISBLANK(C11),"",VLOOKUP(C11,DBPower[],16,FALSE)*VLOOKUP(B11,DBImplements[],23,FALSE))+VLOOKUP(B11,DBImplements[],22,FALSE),"")</f>
        <v>5.2309889579662112</v>
      </c>
      <c r="G11" s="407">
        <v>1</v>
      </c>
      <c r="H11" s="406">
        <f>IFERROR(IF(ISBLANK(B11),"",(D11*Equipment!$C$4+E11*Equipment!$C$3+F11)*G11),"")</f>
        <v>11.391111180188433</v>
      </c>
      <c r="I11" s="406">
        <f>IF(ISBLANK(B11),"",(VLOOKUP(B11,DBImplements[],25,FALSE)+VLOOKUP(C11,DBPower[],18,FALSE)*VLOOKUP(B11,DBImplements[],23,FALSE))*G11)</f>
        <v>11.432740033000279</v>
      </c>
      <c r="J11" s="406">
        <f>IF(ISBLANK(B11),"",SUM(H11:I11))</f>
        <v>22.823851213188711</v>
      </c>
      <c r="K11" s="408"/>
      <c r="L11" s="406">
        <f>IFERROR(IF(ISBLANK(C11),"",(D11*Equipment!$C$4+E11*Equipment!$C$3+F11)*K11),"")</f>
        <v>0</v>
      </c>
      <c r="M11" s="406">
        <f>IF(ISBLANK(B11),"",(VLOOKUP(B11,DBImplements[],25,FALSE)+VLOOKUP(C11,DBPower[],18,FALSE)*VLOOKUP(B11,DBImplements[],23,FALSE))*K11)</f>
        <v>0</v>
      </c>
      <c r="N11" s="409">
        <f>IF(ISBLANK(B11),"",SUM(L11:M11))</f>
        <v>0</v>
      </c>
      <c r="O11" s="410"/>
      <c r="P11" s="406">
        <f>IFERROR(IF(ISBLANK(B11),"",(D11*Equipment!$C$4+E11*Equipment!$C$3+F11)*O11),"")</f>
        <v>0</v>
      </c>
      <c r="Q11" s="406">
        <f>IF(ISBLANK(B11),"",(VLOOKUP(B11,DBImplements[],25,FALSE)+VLOOKUP(C11,DBPower[],18,FALSE)*VLOOKUP(B11,DBImplements[],23,FALSE))*O11)</f>
        <v>0</v>
      </c>
      <c r="R11" s="409">
        <f>IF(ISBLANK(B11),"",SUM(P11:Q11))</f>
        <v>0</v>
      </c>
      <c r="S11" s="73"/>
      <c r="T11" s="74"/>
      <c r="U11" s="74"/>
      <c r="CP11" s="252"/>
    </row>
    <row r="12" spans="2:94">
      <c r="B12" s="411" t="s">
        <v>219</v>
      </c>
      <c r="C12" s="412" t="s">
        <v>211</v>
      </c>
      <c r="D12" s="413">
        <f>IF(ISBLANK(C12),"",VLOOKUP(C12,DBPower[],17,FALSE)*VLOOKUP(B12,DBImplements[],23,FALSE))</f>
        <v>0.83187499999999981</v>
      </c>
      <c r="E12" s="413">
        <f>IF(ISBLANK(B12),"",VLOOKUP(B12,DBImplements[],24,FALSE))</f>
        <v>0.13882211538461536</v>
      </c>
      <c r="F12" s="413">
        <f>IFERROR(IF(ISBLANK(C12),"",VLOOKUP(C12,DBPower[],16,FALSE)*VLOOKUP(B12,DBImplements[],23,FALSE))+VLOOKUP(B12,DBImplements[],22,FALSE),"")</f>
        <v>1.6673637820512819</v>
      </c>
      <c r="G12" s="414"/>
      <c r="H12" s="413">
        <f>IFERROR(IF(ISBLANK(B12),"",(D12*Equipment!$C$4+E12*Equipment!$C$3+F12)*G12),"")</f>
        <v>0</v>
      </c>
      <c r="I12" s="413">
        <f>IF(ISBLANK(B12),"",(VLOOKUP(B12,DBImplements[],25,FALSE)+VLOOKUP(C12,DBPower[],18,FALSE)*VLOOKUP(B12,DBImplements[],23,FALSE))*G12)</f>
        <v>0</v>
      </c>
      <c r="J12" s="413">
        <f t="shared" ref="J12:J16" si="0">IF(ISBLANK(B12),"",SUM(H12:I12))</f>
        <v>0</v>
      </c>
      <c r="K12" s="415">
        <v>1</v>
      </c>
      <c r="L12" s="413">
        <f>IFERROR(IF(ISBLANK(C12),"",(D12*Equipment!$C$4+E12*Equipment!$C$3+F12)*K12),"")</f>
        <v>7.4242508012820494</v>
      </c>
      <c r="M12" s="413">
        <f>IF(ISBLANK(B12),"",(VLOOKUP(B12,DBImplements[],25,FALSE)+VLOOKUP(C12,DBPower[],18,FALSE)*VLOOKUP(B12,DBImplements[],23,FALSE))*K12)</f>
        <v>11.79143688110536</v>
      </c>
      <c r="N12" s="416">
        <f t="shared" ref="N12:N16" si="1">IF(ISBLANK(B12),"",SUM(L12:M12))</f>
        <v>19.215687682387411</v>
      </c>
      <c r="O12" s="417"/>
      <c r="P12" s="413">
        <f>IFERROR(IF(ISBLANK(B12),"",(D12*Equipment!$C$4+E12*Equipment!$C$3+F12)*O12),"")</f>
        <v>0</v>
      </c>
      <c r="Q12" s="413">
        <f>IF(ISBLANK(B12),"",(VLOOKUP(B12,DBImplements[],25,FALSE)+VLOOKUP(C12,DBPower[],18,FALSE)*VLOOKUP(B12,DBImplements[],23,FALSE))*O12)</f>
        <v>0</v>
      </c>
      <c r="R12" s="418">
        <f t="shared" ref="R12:R16" si="2">IF(ISBLANK(B12),"",SUM(P12:Q12))</f>
        <v>0</v>
      </c>
      <c r="S12" s="73"/>
      <c r="T12" s="74"/>
      <c r="U12" s="74"/>
      <c r="CP12" s="252"/>
    </row>
    <row r="13" spans="2:94">
      <c r="B13" s="411" t="s">
        <v>220</v>
      </c>
      <c r="C13" s="412" t="s">
        <v>233</v>
      </c>
      <c r="D13" s="413">
        <f>IF(ISBLANK(C13),"",VLOOKUP(C13,DBPower[],17,FALSE)*VLOOKUP(B13,DBImplements[],23,FALSE))</f>
        <v>0.1559765625</v>
      </c>
      <c r="E13" s="413">
        <f>IF(ISBLANK(B13),"",VLOOKUP(B13,DBImplements[],24,FALSE))</f>
        <v>4.3828125000000002E-2</v>
      </c>
      <c r="F13" s="413">
        <f>IFERROR(IF(ISBLANK(C13),"",VLOOKUP(C13,DBPower[],16,FALSE)*VLOOKUP(B13,DBImplements[],23,FALSE))+VLOOKUP(B13,DBImplements[],22,FALSE),"")</f>
        <v>0.2555963159477313</v>
      </c>
      <c r="G13" s="414"/>
      <c r="H13" s="413">
        <f>IFERROR(IF(ISBLANK(B13),"",(D13*Equipment!$C$4+E13*Equipment!$C$3+F13)*G13),"")</f>
        <v>0</v>
      </c>
      <c r="I13" s="413">
        <f>IF(ISBLANK(B13),"",(VLOOKUP(B13,DBImplements[],25,FALSE)+VLOOKUP(C13,DBPower[],18,FALSE)*VLOOKUP(B13,DBImplements[],23,FALSE))*G13)</f>
        <v>0</v>
      </c>
      <c r="J13" s="413">
        <f t="shared" si="0"/>
        <v>0</v>
      </c>
      <c r="K13" s="415">
        <v>1</v>
      </c>
      <c r="L13" s="413">
        <f>IFERROR(IF(ISBLANK(C13),"",(D13*Equipment!$C$4+E13*Equipment!$C$3+F13)*K13),"")</f>
        <v>1.6464947534477314</v>
      </c>
      <c r="M13" s="413">
        <f>IF(ISBLANK(B13),"",(VLOOKUP(B13,DBImplements[],25,FALSE)+VLOOKUP(C13,DBPower[],18,FALSE)*VLOOKUP(B13,DBImplements[],23,FALSE))*K13)</f>
        <v>1.6794004194562353</v>
      </c>
      <c r="N13" s="416">
        <f t="shared" si="1"/>
        <v>3.3258951729039667</v>
      </c>
      <c r="O13" s="417"/>
      <c r="P13" s="413">
        <f>IFERROR(IF(ISBLANK(B13),"",(D13*Equipment!$C$4+E13*Equipment!$C$3+F13)*O13),"")</f>
        <v>0</v>
      </c>
      <c r="Q13" s="413">
        <f>IF(ISBLANK(B13),"",(VLOOKUP(B13,DBImplements[],25,FALSE)+VLOOKUP(C13,DBPower[],18,FALSE)*VLOOKUP(B13,DBImplements[],23,FALSE))*O13)</f>
        <v>0</v>
      </c>
      <c r="R13" s="418">
        <f t="shared" si="2"/>
        <v>0</v>
      </c>
      <c r="S13" s="73"/>
      <c r="T13" s="74"/>
      <c r="U13" s="74"/>
      <c r="CP13" s="252"/>
    </row>
    <row r="14" spans="2:94">
      <c r="B14" s="411" t="s">
        <v>226</v>
      </c>
      <c r="C14" s="412" t="s">
        <v>211</v>
      </c>
      <c r="D14" s="413">
        <f>IF(ISBLANK(C14),"",VLOOKUP(C14,DBPower[],17,FALSE)*VLOOKUP(B14,DBImplements[],23,FALSE))</f>
        <v>0.53239999999999998</v>
      </c>
      <c r="E14" s="413">
        <f>IF(ISBLANK(B14),"",VLOOKUP(B14,DBImplements[],24,FALSE))</f>
        <v>9.3923076923076942E-2</v>
      </c>
      <c r="F14" s="413">
        <f>IFERROR(IF(ISBLANK(C14),"",VLOOKUP(C14,DBPower[],16,FALSE)*VLOOKUP(B14,DBImplements[],23,FALSE))+VLOOKUP(B14,DBImplements[],22,FALSE),"")</f>
        <v>9.3469188469876325</v>
      </c>
      <c r="G14" s="414"/>
      <c r="H14" s="413">
        <f>IFERROR(IF(ISBLANK(B14),"",(D14*Equipment!$C$4+E14*Equipment!$C$3+F14)*G14),"")</f>
        <v>0</v>
      </c>
      <c r="I14" s="413">
        <f>IF(ISBLANK(B14),"",(VLOOKUP(B14,DBImplements[],25,FALSE)+VLOOKUP(C14,DBPower[],18,FALSE)*VLOOKUP(B14,DBImplements[],23,FALSE))*G14)</f>
        <v>0</v>
      </c>
      <c r="J14" s="413">
        <f t="shared" ref="J14" si="3">IF(ISBLANK(B14),"",SUM(H14:I14))</f>
        <v>0</v>
      </c>
      <c r="K14" s="415">
        <v>1</v>
      </c>
      <c r="L14" s="413">
        <f>IFERROR(IF(ISBLANK(C14),"",(D14*Equipment!$C$4+E14*Equipment!$C$3+F14)*K14),"")</f>
        <v>13.120172693141479</v>
      </c>
      <c r="M14" s="413">
        <f>IF(ISBLANK(B14),"",(VLOOKUP(B14,DBImplements[],25,FALSE)+VLOOKUP(C14,DBPower[],18,FALSE)*VLOOKUP(B14,DBImplements[],23,FALSE))*K14)</f>
        <v>7.3109543367017178</v>
      </c>
      <c r="N14" s="416">
        <f t="shared" ref="N14" si="4">IF(ISBLANK(B14),"",SUM(L14:M14))</f>
        <v>20.431127029843196</v>
      </c>
      <c r="O14" s="417"/>
      <c r="P14" s="413">
        <f>IFERROR(IF(ISBLANK(B14),"",(D14*Equipment!$C$4+E14*Equipment!$C$3+F14)*O14),"")</f>
        <v>0</v>
      </c>
      <c r="Q14" s="413">
        <f>IF(ISBLANK(B14),"",(VLOOKUP(B14,DBImplements[],25,FALSE)+VLOOKUP(C14,DBPower[],18,FALSE)*VLOOKUP(B14,DBImplements[],23,FALSE))*O14)</f>
        <v>0</v>
      </c>
      <c r="R14" s="418">
        <f t="shared" ref="R14" si="5">IF(ISBLANK(B14),"",SUM(P14:Q14))</f>
        <v>0</v>
      </c>
      <c r="S14" s="73"/>
      <c r="T14" s="74"/>
      <c r="U14" s="74"/>
      <c r="CP14" s="252"/>
    </row>
    <row r="15" spans="2:94">
      <c r="B15" s="411"/>
      <c r="C15" s="412"/>
      <c r="D15" s="413" t="str">
        <f>IF(ISBLANK(C15),"",VLOOKUP(C15,DBPower[],17,FALSE)*VLOOKUP(B15,DBImplements[],23,FALSE))</f>
        <v/>
      </c>
      <c r="E15" s="413" t="str">
        <f>IF(ISBLANK(B15),"",VLOOKUP(B15,DBImplements[],24,FALSE))</f>
        <v/>
      </c>
      <c r="F15" s="413" t="str">
        <f>IFERROR(IF(ISBLANK(C15),"",VLOOKUP(C15,DBPower[],16,FALSE)*VLOOKUP(B15,DBImplements[],23,FALSE))+VLOOKUP(B15,DBImplements[],22,FALSE),"")</f>
        <v/>
      </c>
      <c r="G15" s="414"/>
      <c r="H15" s="413" t="str">
        <f>IFERROR(IF(ISBLANK(B15),"",(D15*Equipment!$C$4+E15*Equipment!$C$3+F15)*G15),"")</f>
        <v/>
      </c>
      <c r="I15" s="413" t="str">
        <f>IF(ISBLANK(B15),"",(VLOOKUP(B15,DBImplements[],25,FALSE)+VLOOKUP(C15,DBPower[],18,FALSE)*VLOOKUP(B15,DBImplements[],23,FALSE))*G15)</f>
        <v/>
      </c>
      <c r="J15" s="413" t="str">
        <f t="shared" si="0"/>
        <v/>
      </c>
      <c r="K15" s="415"/>
      <c r="L15" s="413" t="str">
        <f>IFERROR(IF(ISBLANK(C15),"",(D15*Equipment!$C$4+E15*Equipment!$C$3+F15)*K15),"")</f>
        <v/>
      </c>
      <c r="M15" s="413" t="str">
        <f>IF(ISBLANK(B15),"",(VLOOKUP(B15,DBImplements[],25,FALSE)+VLOOKUP(C15,DBPower[],18,FALSE)*VLOOKUP(B15,DBImplements[],23,FALSE))*K15)</f>
        <v/>
      </c>
      <c r="N15" s="416" t="str">
        <f t="shared" si="1"/>
        <v/>
      </c>
      <c r="O15" s="417"/>
      <c r="P15" s="413" t="str">
        <f>IFERROR(IF(ISBLANK(B15),"",(D15*Equipment!$C$4+E15*Equipment!$C$3+F15)*O15),"")</f>
        <v/>
      </c>
      <c r="Q15" s="413" t="str">
        <f>IF(ISBLANK(B15),"",(VLOOKUP(B15,DBImplements[],25,FALSE)+VLOOKUP(C15,DBPower[],18,FALSE)*VLOOKUP(B15,DBImplements[],23,FALSE))*O15)</f>
        <v/>
      </c>
      <c r="R15" s="418" t="str">
        <f t="shared" si="2"/>
        <v/>
      </c>
      <c r="S15" s="73" t="str">
        <f>IF(ISBLANK(B15),"",(VLOOKUP(B15,DBImplements[],24,FALSE)+VLOOKUP(C15,DBPower[],18,FALSE)*VLOOKUP(B15,DBImplements[],23,FALSE))*K15)</f>
        <v/>
      </c>
      <c r="T15" s="74"/>
      <c r="U15" s="74"/>
      <c r="CP15" s="252"/>
    </row>
    <row r="16" spans="2:94">
      <c r="B16" s="411"/>
      <c r="C16" s="412"/>
      <c r="D16" s="413" t="str">
        <f>IF(ISBLANK(C16),"",VLOOKUP(C16,DBPower[],17,FALSE)*VLOOKUP(B16,DBImplements[],23,FALSE))</f>
        <v/>
      </c>
      <c r="E16" s="413" t="str">
        <f>IF(ISBLANK(B16),"",VLOOKUP(B16,DBImplements[],24,FALSE))</f>
        <v/>
      </c>
      <c r="F16" s="413" t="str">
        <f>IFERROR(IF(ISBLANK(C16),"",VLOOKUP(C16,DBPower[],16,FALSE)*VLOOKUP(B16,DBImplements[],23,FALSE))+VLOOKUP(B16,DBImplements[],22,FALSE),"")</f>
        <v/>
      </c>
      <c r="G16" s="414"/>
      <c r="H16" s="413" t="str">
        <f>IFERROR(IF(ISBLANK(B16),"",(D16*Equipment!$C$4+E16*Equipment!$C$3+F16)*G16),"")</f>
        <v/>
      </c>
      <c r="I16" s="413" t="str">
        <f>IF(ISBLANK(B16),"",(VLOOKUP(B16,DBImplements[],25,FALSE)+VLOOKUP(C16,DBPower[],18,FALSE)*VLOOKUP(B16,DBImplements[],23,FALSE))*G16)</f>
        <v/>
      </c>
      <c r="J16" s="413" t="str">
        <f t="shared" si="0"/>
        <v/>
      </c>
      <c r="K16" s="415"/>
      <c r="L16" s="413" t="str">
        <f>IFERROR(IF(ISBLANK(C16),"",(D16*Equipment!$C$4+E16*Equipment!$C$3+F16)*K16),"")</f>
        <v/>
      </c>
      <c r="M16" s="413" t="str">
        <f>IF(ISBLANK(B16),"",(VLOOKUP(B16,DBImplements[],25,FALSE)+VLOOKUP(C16,DBPower[],18,FALSE)*VLOOKUP(B16,DBImplements[],23,FALSE))*K16)</f>
        <v/>
      </c>
      <c r="N16" s="416" t="str">
        <f t="shared" si="1"/>
        <v/>
      </c>
      <c r="O16" s="417"/>
      <c r="P16" s="413" t="str">
        <f>IFERROR(IF(ISBLANK(B16),"",(D16*Equipment!$C$4+E16*Equipment!$C$3+F16)*O16),"")</f>
        <v/>
      </c>
      <c r="Q16" s="413" t="str">
        <f>IF(ISBLANK(B16),"",(VLOOKUP(B16,DBImplements[],25,FALSE)+VLOOKUP(C16,DBPower[],18,FALSE)*VLOOKUP(B16,DBImplements[],23,FALSE))*O16)</f>
        <v/>
      </c>
      <c r="R16" s="418" t="str">
        <f t="shared" si="2"/>
        <v/>
      </c>
      <c r="S16" s="73"/>
      <c r="T16" s="74"/>
      <c r="U16" s="74"/>
      <c r="CP16" s="252"/>
    </row>
    <row r="17" spans="2:94">
      <c r="B17" s="419" t="s">
        <v>13</v>
      </c>
      <c r="C17" s="420"/>
      <c r="D17" s="421"/>
      <c r="E17" s="421"/>
      <c r="F17" s="421"/>
      <c r="G17" s="422"/>
      <c r="H17" s="423">
        <v>1</v>
      </c>
      <c r="I17" s="423">
        <v>1</v>
      </c>
      <c r="J17" s="421">
        <f>SUM(H17+I17)</f>
        <v>2</v>
      </c>
      <c r="K17" s="424"/>
      <c r="L17" s="423">
        <v>3</v>
      </c>
      <c r="M17" s="423">
        <v>3</v>
      </c>
      <c r="N17" s="425">
        <f>SUM(L17+M17)</f>
        <v>6</v>
      </c>
      <c r="O17" s="426"/>
      <c r="P17" s="423">
        <v>3</v>
      </c>
      <c r="Q17" s="423">
        <v>3</v>
      </c>
      <c r="R17" s="425">
        <f>SUM(P17+Q17)</f>
        <v>6</v>
      </c>
      <c r="T17" s="74"/>
      <c r="U17" s="74"/>
      <c r="CP17" s="252"/>
    </row>
    <row r="18" spans="2:94" ht="16.5" thickBot="1">
      <c r="B18" s="236" t="s">
        <v>337</v>
      </c>
      <c r="C18" s="237"/>
      <c r="D18" s="238"/>
      <c r="E18" s="238"/>
      <c r="F18" s="238"/>
      <c r="G18" s="281"/>
      <c r="H18" s="242">
        <f>SUM(H11:H17)</f>
        <v>12.391111180188433</v>
      </c>
      <c r="I18" s="242">
        <f>SUM(I11:I17)</f>
        <v>12.432740033000279</v>
      </c>
      <c r="J18" s="242">
        <f>SUM(J11:J17)</f>
        <v>24.823851213188711</v>
      </c>
      <c r="K18" s="247"/>
      <c r="L18" s="242">
        <f>SUM(L10:L17)</f>
        <v>25.190918247871259</v>
      </c>
      <c r="M18" s="242">
        <f>SUM(M11:M17)</f>
        <v>23.781791637263311</v>
      </c>
      <c r="N18" s="243">
        <f>SUM(N11:N17)</f>
        <v>48.972709885134577</v>
      </c>
      <c r="O18" s="248"/>
      <c r="P18" s="242">
        <f>SUM(P10:P17)</f>
        <v>3</v>
      </c>
      <c r="Q18" s="242">
        <f>SUM(Q11:Q17)</f>
        <v>3</v>
      </c>
      <c r="R18" s="243">
        <f>SUM(R11:R17)</f>
        <v>6</v>
      </c>
      <c r="T18" s="75"/>
      <c r="U18" s="75"/>
      <c r="CP18" s="252"/>
    </row>
    <row r="19" spans="2:94" ht="16.5" thickTop="1">
      <c r="B19" s="126" t="s">
        <v>441</v>
      </c>
      <c r="C19" s="298" t="s">
        <v>346</v>
      </c>
      <c r="D19" s="298" t="s">
        <v>19</v>
      </c>
      <c r="E19" s="294" t="s">
        <v>468</v>
      </c>
      <c r="F19" s="299"/>
      <c r="G19" s="289" t="s">
        <v>367</v>
      </c>
      <c r="H19" s="294"/>
      <c r="I19" s="294"/>
      <c r="J19" s="291" t="s">
        <v>293</v>
      </c>
      <c r="K19" s="292" t="s">
        <v>367</v>
      </c>
      <c r="L19" s="295"/>
      <c r="M19" s="294"/>
      <c r="N19" s="291" t="s">
        <v>293</v>
      </c>
      <c r="O19" s="292" t="s">
        <v>367</v>
      </c>
      <c r="P19" s="295"/>
      <c r="Q19" s="294"/>
      <c r="R19" s="296" t="s">
        <v>293</v>
      </c>
      <c r="S19" s="73"/>
      <c r="T19" s="74"/>
      <c r="U19" s="74"/>
      <c r="V19" s="74"/>
      <c r="W19" s="74"/>
      <c r="X19" s="74"/>
      <c r="Y19" s="74"/>
      <c r="Z19" s="74"/>
      <c r="AA19" s="74"/>
      <c r="AB19" s="74"/>
      <c r="CP19" s="252"/>
    </row>
    <row r="20" spans="2:94">
      <c r="B20" s="427" t="s">
        <v>440</v>
      </c>
      <c r="C20" s="428">
        <f>IF(ISBLANK($B20),"",VLOOKUP($B20,DBCustomHire[],2,FALSE))</f>
        <v>15</v>
      </c>
      <c r="D20" s="429" t="str">
        <f>IF(ISBLANK($B20),"",VLOOKUP($B20,DBCustomHire[],3,FALSE))</f>
        <v>per acre</v>
      </c>
      <c r="E20" s="430"/>
      <c r="F20" s="431"/>
      <c r="G20" s="432"/>
      <c r="H20" s="431"/>
      <c r="I20" s="431"/>
      <c r="J20" s="433" cm="1">
        <f t="array" ref="J20">IF(ISBLANK($B20),"",_xlfn.SWITCH($D20,
$B$54,$C20*G20,
$B$55,$C20*G20*Grazing!$D$49,
$B$56,$C20*G20*Grazing!$D$50,
$B$57,$C20*G20/$E20))</f>
        <v>0</v>
      </c>
      <c r="K20" s="434">
        <v>1</v>
      </c>
      <c r="L20" s="435"/>
      <c r="M20" s="431"/>
      <c r="N20" s="433" cm="1">
        <f t="array" ref="N20">IF(ISBLANK($B20),"",_xlfn.SWITCH($D20,
$B$54,$C20*K20,
$B$55,$C20*K20*Grazing!$D$49,
$B$56,$C20*K20*Grazing!$D$50,
$B$57,$C20*K20/$E20))</f>
        <v>15</v>
      </c>
      <c r="O20" s="434">
        <v>1</v>
      </c>
      <c r="P20" s="435"/>
      <c r="Q20" s="431"/>
      <c r="R20" s="436" cm="1">
        <f t="array" ref="R20">IF(ISBLANK($B20),"",_xlfn.SWITCH($D20,
$B$54,$C20*O20,
$B$55,$C20*O20*Grazing!$D$49,
$B$56,$C20*O20*Grazing!$D$50,
$B$57,$C20*O20/$E20))</f>
        <v>15</v>
      </c>
      <c r="S20" s="73"/>
      <c r="T20" s="74"/>
      <c r="U20" s="74"/>
      <c r="V20" s="74"/>
      <c r="W20" s="74"/>
      <c r="X20" s="74"/>
      <c r="Y20" s="74"/>
      <c r="Z20" s="74"/>
      <c r="AA20" s="74"/>
      <c r="AB20" s="74"/>
      <c r="CP20" s="252"/>
    </row>
    <row r="21" spans="2:94">
      <c r="B21" s="411" t="s">
        <v>251</v>
      </c>
      <c r="C21" s="437">
        <f>IF(ISBLANK($B21),"",VLOOKUP($B21,DBCustomHire[],2,FALSE))</f>
        <v>6.5</v>
      </c>
      <c r="D21" s="437" t="str">
        <f>IF(ISBLANK($B21),"",VLOOKUP($B21,DBCustomHire[],3,FALSE))</f>
        <v>per bale</v>
      </c>
      <c r="E21" s="412"/>
      <c r="F21" s="438"/>
      <c r="G21" s="439"/>
      <c r="H21" s="438"/>
      <c r="I21" s="438"/>
      <c r="J21" s="440" cm="1">
        <f t="array" ref="J21">IF(ISBLANK($B21),"",_xlfn.SWITCH($D21,
$B$54,$C21*G21,
$B$55,$C21*G21*Grazing!$D$49,
$B$56,$C21*G21*Grazing!$D$50,
$B$57,$C21*G21/$E21))</f>
        <v>0</v>
      </c>
      <c r="K21" s="441">
        <v>1</v>
      </c>
      <c r="L21" s="442"/>
      <c r="M21" s="438"/>
      <c r="N21" s="440" cm="1">
        <f t="array" ref="N21">IF(ISBLANK($B21),"",_xlfn.SWITCH($D21,
$B$54,$C21*K21,
$B$55,$C21*K21*Grazing!$D$49,
$B$56,$C21*K21*Grazing!$D$50,
$B$57,$C21*K21/$E21))</f>
        <v>18.055555555555554</v>
      </c>
      <c r="O21" s="441"/>
      <c r="P21" s="442"/>
      <c r="Q21" s="438"/>
      <c r="R21" s="416" cm="1">
        <f t="array" ref="R21">IF(ISBLANK($B21),"",_xlfn.SWITCH($D21,
$B$54,$C21*O21,
$B$55,$C21*O21*Grazing!$D$49,
$B$56,$C21*O21*Grazing!$D$50,
$B$57,$C21*O21/$E21))</f>
        <v>0</v>
      </c>
      <c r="S21" s="73"/>
      <c r="T21" s="74"/>
      <c r="U21" s="74"/>
      <c r="V21" s="74"/>
      <c r="W21" s="74"/>
      <c r="X21" s="74"/>
      <c r="Y21" s="74"/>
      <c r="Z21" s="74"/>
      <c r="AA21" s="74"/>
      <c r="AB21" s="74"/>
      <c r="CP21" s="252"/>
    </row>
    <row r="22" spans="2:94">
      <c r="B22" s="411"/>
      <c r="C22" s="437" t="str">
        <f>IF(ISBLANK($B22),"",VLOOKUP($B22,DBCustomHire[],2,FALSE))</f>
        <v/>
      </c>
      <c r="D22" s="437" t="str">
        <f>IF(ISBLANK($B22),"",VLOOKUP($B22,DBCustomHire[],3,FALSE))</f>
        <v/>
      </c>
      <c r="E22" s="412"/>
      <c r="F22" s="438"/>
      <c r="G22" s="439"/>
      <c r="H22" s="438"/>
      <c r="I22" s="438"/>
      <c r="J22" s="440" t="str" cm="1">
        <f t="array" ref="J22">IF(ISBLANK($B22),"",_xlfn.SWITCH($D22,
$B$54,$C22*G22,
$B$55,$C22*G22*Grazing!$D$49,
$B$56,$C22*G22*Grazing!$D$50,
$B$57,$C22*G22/$E22))</f>
        <v/>
      </c>
      <c r="K22" s="441"/>
      <c r="L22" s="442"/>
      <c r="M22" s="438"/>
      <c r="N22" s="440" t="str" cm="1">
        <f t="array" ref="N22">IF(ISBLANK($B22),"",_xlfn.SWITCH($D22,
$B$54,$C22*K22,
$B$55,$C22*K22*Grazing!$D$49,
$B$56,$C22*K22*Grazing!$D$50,
$B$57,$C22*K22/$E22))</f>
        <v/>
      </c>
      <c r="O22" s="441"/>
      <c r="P22" s="442"/>
      <c r="Q22" s="438"/>
      <c r="R22" s="416" t="str" cm="1">
        <f t="array" ref="R22">IF(ISBLANK($B22),"",_xlfn.SWITCH($D22,
$B$54,$C22*O22,
$B$55,$C22*O22*Grazing!$D$49,
$B$56,$C22*O22*Grazing!$D$50,
$B$57,$C22*O22/$E22))</f>
        <v/>
      </c>
      <c r="S22" s="73"/>
      <c r="T22" s="74"/>
      <c r="U22" s="74"/>
      <c r="V22" s="74"/>
      <c r="W22" s="74"/>
      <c r="X22" s="74"/>
      <c r="Y22" s="74"/>
      <c r="Z22" s="74"/>
      <c r="AA22" s="74"/>
      <c r="AB22" s="74"/>
      <c r="CP22" s="252"/>
    </row>
    <row r="23" spans="2:94">
      <c r="B23" s="411"/>
      <c r="C23" s="437" t="str">
        <f>IF(ISBLANK($B23),"",VLOOKUP($B23,DBCustomHire[],2,FALSE))</f>
        <v/>
      </c>
      <c r="D23" s="437" t="str">
        <f>IF(ISBLANK($B23),"",VLOOKUP($B23,DBCustomHire[],3,FALSE))</f>
        <v/>
      </c>
      <c r="E23" s="412"/>
      <c r="F23" s="438"/>
      <c r="G23" s="439"/>
      <c r="H23" s="438"/>
      <c r="I23" s="438"/>
      <c r="J23" s="440" t="str" cm="1">
        <f t="array" ref="J23">IF(ISBLANK($B23),"",_xlfn.SWITCH($D23,
$B$54,$C23*G23,
$B$55,$C23*G23*Grazing!$D$49,
$B$56,$C23*G23*Grazing!$D$50,
$B$57,$C23*G23/$E23))</f>
        <v/>
      </c>
      <c r="K23" s="441"/>
      <c r="L23" s="442"/>
      <c r="M23" s="438"/>
      <c r="N23" s="440" t="str" cm="1">
        <f t="array" ref="N23">IF(ISBLANK($B23),"",_xlfn.SWITCH($D23,
$B$54,$C23*K23,
$B$55,$C23*K23*Grazing!$D$49,
$B$56,$C23*K23*Grazing!$D$50,
$B$57,$C23*K23/$E23))</f>
        <v/>
      </c>
      <c r="O23" s="441"/>
      <c r="P23" s="442"/>
      <c r="Q23" s="438"/>
      <c r="R23" s="416" t="str" cm="1">
        <f t="array" ref="R23">IF(ISBLANK($B23),"",_xlfn.SWITCH($D23,
$B$54,$C23*O23,
$B$55,$C23*O23*Grazing!$D$49,
$B$56,$C23*O23*Grazing!$D$50,
$B$57,$C23*O23/$E23))</f>
        <v/>
      </c>
      <c r="S23" s="73"/>
      <c r="T23" s="74"/>
      <c r="U23" s="74"/>
      <c r="V23" s="74"/>
      <c r="W23" s="74"/>
      <c r="X23" s="74"/>
      <c r="Y23" s="74"/>
      <c r="Z23" s="74"/>
      <c r="AA23" s="74"/>
      <c r="AB23" s="74"/>
      <c r="CP23" s="252"/>
    </row>
    <row r="24" spans="2:94">
      <c r="B24" s="411"/>
      <c r="C24" s="437" t="str">
        <f>IF(ISBLANK($B24),"",VLOOKUP($B24,DBCustomHire[],2,FALSE))</f>
        <v/>
      </c>
      <c r="D24" s="437" t="str">
        <f>IF(ISBLANK($B24),"",VLOOKUP($B24,DBCustomHire[],3,FALSE))</f>
        <v/>
      </c>
      <c r="E24" s="412"/>
      <c r="F24" s="438"/>
      <c r="G24" s="439"/>
      <c r="H24" s="438"/>
      <c r="I24" s="438"/>
      <c r="J24" s="440" t="str" cm="1">
        <f t="array" ref="J24">IF(ISBLANK($B24),"",_xlfn.SWITCH($D24,
$B$54,$C24*G24,
$B$55,$C24*G24*Grazing!$D$49,
$B$56,$C24*G24*Grazing!$D$50,
$B$57,$C24*G24/$E24))</f>
        <v/>
      </c>
      <c r="K24" s="441"/>
      <c r="L24" s="442"/>
      <c r="M24" s="438"/>
      <c r="N24" s="440" t="str" cm="1">
        <f t="array" ref="N24">IF(ISBLANK($B24),"",_xlfn.SWITCH($D24,
$B$54,$C24*K24,
$B$55,$C24*K24*Grazing!$D$49,
$B$56,$C24*K24*Grazing!$D$50,
$B$57,$C24*K24/$E24))</f>
        <v/>
      </c>
      <c r="O24" s="441"/>
      <c r="P24" s="442"/>
      <c r="Q24" s="438"/>
      <c r="R24" s="416" t="str" cm="1">
        <f t="array" ref="R24">IF(ISBLANK($B24),"",_xlfn.SWITCH($D24,
$B$54,$C24*O24,
$B$55,$C24*O24*Grazing!$D$49,
$B$56,$C24*O24*Grazing!$D$50,
$B$57,$C24*O24/$E24))</f>
        <v/>
      </c>
      <c r="S24" s="75"/>
      <c r="T24" s="75"/>
      <c r="U24" s="75"/>
      <c r="V24" s="75"/>
      <c r="W24" s="75"/>
      <c r="X24" s="75"/>
      <c r="Y24" s="75"/>
      <c r="Z24" s="75"/>
      <c r="AA24" s="75"/>
      <c r="AB24" s="75"/>
      <c r="CP24" s="252"/>
    </row>
    <row r="25" spans="2:94">
      <c r="B25" s="443"/>
      <c r="C25" s="444" t="str">
        <f>IF(ISBLANK($B25),"",VLOOKUP($B25,DBCustomHire[],2,FALSE))</f>
        <v/>
      </c>
      <c r="D25" s="444" t="str">
        <f>IF(ISBLANK($B25),"",VLOOKUP($B25,DBCustomHire[],3,FALSE))</f>
        <v/>
      </c>
      <c r="E25" s="445"/>
      <c r="F25" s="420"/>
      <c r="G25" s="446"/>
      <c r="H25" s="420"/>
      <c r="I25" s="420"/>
      <c r="J25" s="447" t="str" cm="1">
        <f t="array" ref="J25">IF(ISBLANK($B25),"",_xlfn.SWITCH($D25,
$B$54,$C25*G25,
$B$55,$C25*G25*Grazing!$D$49,
$B$56,$C25*G25*Grazing!$D$50,
$B$57,$C25*G25/$E25))</f>
        <v/>
      </c>
      <c r="K25" s="448"/>
      <c r="L25" s="449"/>
      <c r="M25" s="420"/>
      <c r="N25" s="447" t="str" cm="1">
        <f t="array" ref="N25">IF(ISBLANK($B25),"",_xlfn.SWITCH($D25,
$B$54,$C25*K25,
$B$55,$C25*K25*Grazing!$D$49,
$B$56,$C25*K25*Grazing!$D$50,
$B$57,$C25*K25/$E25))</f>
        <v/>
      </c>
      <c r="O25" s="448"/>
      <c r="P25" s="449"/>
      <c r="Q25" s="420"/>
      <c r="R25" s="447" t="str" cm="1">
        <f t="array" ref="R25">IF(ISBLANK($B25),"",_xlfn.SWITCH($D25,
$B$54,$C25*O25,
$B$55,$C25*O25*Grazing!$D$49,
$B$56,$C25*O25*Grazing!$D$50,
$B$57,$C25*O25/$E25))</f>
        <v/>
      </c>
      <c r="CP25" s="252"/>
    </row>
    <row r="26" spans="2:94" ht="16.5" thickBot="1">
      <c r="B26" s="104" t="s">
        <v>339</v>
      </c>
      <c r="C26" s="105"/>
      <c r="D26" s="103"/>
      <c r="E26" s="103"/>
      <c r="F26" s="103"/>
      <c r="G26" s="282"/>
      <c r="H26" s="231"/>
      <c r="I26" s="279"/>
      <c r="J26" s="232">
        <f>SUM(J20:J25)</f>
        <v>0</v>
      </c>
      <c r="K26" s="282"/>
      <c r="L26" s="231"/>
      <c r="M26" s="103"/>
      <c r="N26" s="232">
        <f>SUM(N20:N25)</f>
        <v>33.055555555555557</v>
      </c>
      <c r="O26" s="282"/>
      <c r="P26" s="235"/>
      <c r="Q26" s="103"/>
      <c r="R26" s="158">
        <f>SUM(R20:R25)</f>
        <v>15</v>
      </c>
      <c r="S26" s="78"/>
      <c r="T26" s="78"/>
      <c r="U26" s="78"/>
      <c r="V26" s="78"/>
      <c r="W26" s="78"/>
      <c r="X26" s="78"/>
      <c r="Y26" s="78"/>
      <c r="Z26" s="78"/>
      <c r="AA26" s="78"/>
      <c r="CP26" s="252"/>
    </row>
    <row r="27" spans="2:94">
      <c r="B27" s="15"/>
      <c r="H27" s="209"/>
      <c r="J27" s="286"/>
      <c r="L27" s="209"/>
      <c r="M27" s="286"/>
      <c r="P27" s="287"/>
      <c r="Q27" s="288"/>
      <c r="S27" s="78"/>
      <c r="T27" s="78"/>
      <c r="U27" s="78"/>
      <c r="V27" s="78"/>
      <c r="W27" s="78"/>
      <c r="X27" s="78"/>
      <c r="Y27" s="78"/>
      <c r="Z27" s="78"/>
      <c r="AA27" s="78"/>
      <c r="CP27" s="252"/>
    </row>
    <row r="28" spans="2:94" ht="16.5" thickBot="1">
      <c r="G28" s="234"/>
      <c r="K28" s="75"/>
      <c r="L28" s="78"/>
      <c r="M28" s="78"/>
      <c r="N28" s="78"/>
      <c r="O28" s="78"/>
      <c r="P28" s="78"/>
      <c r="Q28" s="78"/>
      <c r="R28" s="78"/>
      <c r="S28" s="78"/>
      <c r="T28" s="79"/>
      <c r="U28" s="79"/>
      <c r="V28" s="79"/>
      <c r="W28" s="79"/>
      <c r="X28" s="79"/>
      <c r="Y28" s="79"/>
      <c r="Z28" s="79"/>
      <c r="AA28" s="79"/>
      <c r="CP28" s="252"/>
    </row>
    <row r="29" spans="2:94" ht="18" thickBot="1">
      <c r="B29" s="361" t="s">
        <v>448</v>
      </c>
      <c r="C29" s="362"/>
      <c r="D29" s="362"/>
      <c r="E29" s="362"/>
      <c r="F29" s="362"/>
      <c r="G29" s="362"/>
      <c r="H29" s="362"/>
      <c r="I29" s="362"/>
      <c r="J29" s="362"/>
      <c r="K29" s="362"/>
      <c r="L29" s="362"/>
      <c r="M29" s="362"/>
      <c r="N29" s="362"/>
      <c r="O29" s="362"/>
      <c r="P29" s="362"/>
      <c r="Q29" s="362"/>
      <c r="R29" s="362"/>
      <c r="CP29" s="252"/>
    </row>
    <row r="30" spans="2:94" ht="16.5" customHeight="1">
      <c r="B30" s="115"/>
      <c r="C30" s="112"/>
      <c r="D30" s="112"/>
      <c r="E30" s="112"/>
      <c r="F30" s="112"/>
      <c r="G30" s="353" t="s">
        <v>463</v>
      </c>
      <c r="H30" s="354"/>
      <c r="I30" s="354"/>
      <c r="J30" s="355"/>
      <c r="K30" s="353" t="s">
        <v>464</v>
      </c>
      <c r="L30" s="354"/>
      <c r="M30" s="354"/>
      <c r="N30" s="355"/>
      <c r="O30" s="356" t="s">
        <v>466</v>
      </c>
      <c r="P30" s="356"/>
      <c r="Q30" s="356"/>
      <c r="R30" s="357"/>
      <c r="CP30" s="252"/>
    </row>
    <row r="31" spans="2:94" ht="17.149999999999999" customHeight="1">
      <c r="B31" s="116"/>
      <c r="G31" s="106"/>
      <c r="H31" s="350" t="s">
        <v>18</v>
      </c>
      <c r="I31" s="351"/>
      <c r="J31" s="352"/>
      <c r="K31" s="224"/>
      <c r="L31" s="351" t="s">
        <v>18</v>
      </c>
      <c r="M31" s="351"/>
      <c r="N31" s="352"/>
      <c r="O31" s="222"/>
      <c r="P31" s="351" t="s">
        <v>18</v>
      </c>
      <c r="Q31" s="351"/>
      <c r="R31" s="352"/>
      <c r="CP31" s="252"/>
    </row>
    <row r="32" spans="2:94" ht="16.5" customHeight="1">
      <c r="B32" s="102" t="s">
        <v>444</v>
      </c>
      <c r="C32" s="71"/>
      <c r="D32" s="117" t="s">
        <v>353</v>
      </c>
      <c r="E32" s="117" t="s">
        <v>210</v>
      </c>
      <c r="F32" s="117" t="s">
        <v>355</v>
      </c>
      <c r="G32" s="220" t="s">
        <v>8</v>
      </c>
      <c r="H32" s="97" t="s">
        <v>15</v>
      </c>
      <c r="I32" s="97" t="s">
        <v>16</v>
      </c>
      <c r="J32" s="111" t="s">
        <v>17</v>
      </c>
      <c r="K32" s="220" t="s">
        <v>8</v>
      </c>
      <c r="L32" s="97" t="s">
        <v>15</v>
      </c>
      <c r="M32" s="97" t="s">
        <v>16</v>
      </c>
      <c r="N32" s="111" t="s">
        <v>17</v>
      </c>
      <c r="O32" s="226" t="s">
        <v>8</v>
      </c>
      <c r="P32" s="97" t="s">
        <v>15</v>
      </c>
      <c r="Q32" s="97" t="s">
        <v>16</v>
      </c>
      <c r="R32" s="111" t="s">
        <v>17</v>
      </c>
      <c r="T32" s="79"/>
      <c r="U32" s="79"/>
      <c r="CP32" s="252"/>
    </row>
    <row r="33" spans="2:94" ht="16.5">
      <c r="B33" s="450"/>
      <c r="C33" s="451"/>
      <c r="D33" s="300" t="s">
        <v>332</v>
      </c>
      <c r="E33" s="300" t="s">
        <v>333</v>
      </c>
      <c r="F33" s="300" t="s">
        <v>293</v>
      </c>
      <c r="G33" s="301" t="s">
        <v>336</v>
      </c>
      <c r="H33" s="300" t="s">
        <v>293</v>
      </c>
      <c r="I33" s="300" t="s">
        <v>293</v>
      </c>
      <c r="J33" s="302" t="s">
        <v>293</v>
      </c>
      <c r="K33" s="301" t="s">
        <v>336</v>
      </c>
      <c r="L33" s="300" t="s">
        <v>293</v>
      </c>
      <c r="M33" s="300" t="s">
        <v>293</v>
      </c>
      <c r="N33" s="302" t="s">
        <v>293</v>
      </c>
      <c r="O33" s="303" t="s">
        <v>336</v>
      </c>
      <c r="P33" s="300" t="s">
        <v>293</v>
      </c>
      <c r="Q33" s="300" t="s">
        <v>293</v>
      </c>
      <c r="R33" s="302" t="s">
        <v>293</v>
      </c>
      <c r="T33" s="72"/>
      <c r="U33" s="72"/>
      <c r="CP33" s="252"/>
    </row>
    <row r="34" spans="2:94">
      <c r="B34" s="427"/>
      <c r="C34" s="430"/>
      <c r="D34" s="452" t="str">
        <f>IF(ISBLANK(C34),"",VLOOKUP(C34,DBPower[],17,FALSE)*VLOOKUP(B34,DBImplements[],23,FALSE))</f>
        <v/>
      </c>
      <c r="E34" s="452" t="str">
        <f>IF(ISBLANK(B34),"",VLOOKUP(B34,DBImplements[],24,FALSE))</f>
        <v/>
      </c>
      <c r="F34" s="433" t="str">
        <f>IFERROR(IF(ISBLANK(C34),"",VLOOKUP(C34,DBPower[],16,FALSE)*VLOOKUP(B34,DBImplements[],23,FALSE))+VLOOKUP(B34,DBImplements[],22,FALSE),"")</f>
        <v/>
      </c>
      <c r="G34" s="453"/>
      <c r="H34" s="433" t="str">
        <f>IFERROR(IF(ISBLANK(B34),"",(D34*Equipment!$C$4+E34*Equipment!$C$3+F34)*G34),"")</f>
        <v/>
      </c>
      <c r="I34" s="433" t="str">
        <f>IF(ISBLANK(B34),"",(VLOOKUP(B34,DBImplements[],25,FALSE)+VLOOKUP(C34,DBPower[],18,FALSE)*VLOOKUP(B34,DBImplements[],23,FALSE))*G34)</f>
        <v/>
      </c>
      <c r="J34" s="436" t="str">
        <f>IF(ISBLANK(B34),"",SUM(H34:I34))</f>
        <v/>
      </c>
      <c r="K34" s="454"/>
      <c r="L34" s="433" t="str">
        <f>IFERROR(IF(ISBLANK(C34),"",(D34*Equipment!$C$4+E34*Equipment!$C$3+F34)*K34),"")</f>
        <v/>
      </c>
      <c r="M34" s="433" t="str">
        <f>IF(ISBLANK(B34),"",(VLOOKUP(B34,DBImplements[],25,FALSE)+VLOOKUP(C34,DBPower[],18,FALSE)*VLOOKUP(B34,DBImplements[],23,FALSE))*K34)</f>
        <v/>
      </c>
      <c r="N34" s="436" t="str">
        <f>IF(ISBLANK(B34),"",SUM(L34:M34))</f>
        <v/>
      </c>
      <c r="O34" s="455"/>
      <c r="P34" s="433" t="str">
        <f>IFERROR(IF(ISBLANK(B34),"",(D34*Equipment!$C$4+E34*Equipment!$C$3+F34)*O34),"")</f>
        <v/>
      </c>
      <c r="Q34" s="433" t="str">
        <f>IF(ISBLANK(B34),"",(VLOOKUP(B34,DBImplements[],25,FALSE)+VLOOKUP(C34,DBPower[],18,FALSE)*VLOOKUP(B34,DBImplements[],23,FALSE))*O34)</f>
        <v/>
      </c>
      <c r="R34" s="436" t="str">
        <f>IF(ISBLANK(B34),"",SUM(P34:Q34))</f>
        <v/>
      </c>
      <c r="T34" s="74"/>
      <c r="U34" s="74"/>
      <c r="CP34" s="252"/>
    </row>
    <row r="35" spans="2:94">
      <c r="B35" s="411"/>
      <c r="C35" s="412"/>
      <c r="D35" s="413" t="str">
        <f>IF(ISBLANK(C35),"",VLOOKUP(C35,DBPower[],17,FALSE)*VLOOKUP(B35,DBImplements[],23,FALSE))</f>
        <v/>
      </c>
      <c r="E35" s="413" t="str">
        <f>IF(ISBLANK(B35),"",VLOOKUP(B35,DBImplements[],24,FALSE))</f>
        <v/>
      </c>
      <c r="F35" s="413" t="str">
        <f>IFERROR(IF(ISBLANK(C35),"",VLOOKUP(C35,DBPower[],16,FALSE)*VLOOKUP(B35,DBImplements[],23,FALSE))+VLOOKUP(B35,DBImplements[],22,FALSE),"")</f>
        <v/>
      </c>
      <c r="G35" s="415"/>
      <c r="H35" s="413" t="str">
        <f>IFERROR(IF(ISBLANK(B35),"",(D35*Equipment!$C$4+E35*Equipment!$C$3+F35)*G35),"")</f>
        <v/>
      </c>
      <c r="I35" s="413" t="str">
        <f>IF(ISBLANK(B35),"",(VLOOKUP(B35,DBImplements[],25,FALSE)+VLOOKUP(C35,DBPower[],18,FALSE)*VLOOKUP(B35,DBImplements[],23,FALSE))*G35)</f>
        <v/>
      </c>
      <c r="J35" s="418" t="str">
        <f t="shared" ref="J35:J38" si="6">IF(ISBLANK(B35),"",SUM(H35:I35))</f>
        <v/>
      </c>
      <c r="K35" s="415"/>
      <c r="L35" s="413" t="str">
        <f>IFERROR(IF(ISBLANK(C35),"",(D35*Equipment!$C$4+E35*Equipment!$C$3+F35)*K35),"")</f>
        <v/>
      </c>
      <c r="M35" s="413" t="str">
        <f>IF(ISBLANK(B35),"",(VLOOKUP(B35,DBImplements[],24,FALSE)+VLOOKUP(C35,DBPower[],18,FALSE)*VLOOKUP(B35,DBImplements[],23,FALSE))*K35)</f>
        <v/>
      </c>
      <c r="N35" s="418" t="str">
        <f>IF(ISBLANK(B35),"",SUM(L35:M35))</f>
        <v/>
      </c>
      <c r="O35" s="417"/>
      <c r="P35" s="413" t="str">
        <f>IFERROR(IF(ISBLANK(B35),"",(D35*Equipment!$C$4+E35*Equipment!$C$3+F35)*O35),"")</f>
        <v/>
      </c>
      <c r="Q35" s="413" t="str">
        <f>IF(ISBLANK(B35),"",(VLOOKUP(B35,DBImplements[],25,FALSE)+VLOOKUP(C35,DBPower[],18,FALSE)*VLOOKUP(B35,DBImplements[],23,FALSE))*O35)</f>
        <v/>
      </c>
      <c r="R35" s="418" t="str">
        <f t="shared" ref="R35:R38" si="7">IF(ISBLANK(B35),"",SUM(P35:Q35))</f>
        <v/>
      </c>
      <c r="T35" s="74"/>
      <c r="U35" s="74"/>
      <c r="CP35" s="252"/>
    </row>
    <row r="36" spans="2:94">
      <c r="B36" s="411"/>
      <c r="C36" s="412"/>
      <c r="D36" s="413" t="str">
        <f>IF(ISBLANK(C36),"",VLOOKUP(C36,DBPower[],17,FALSE)*VLOOKUP(B36,DBImplements[],23,FALSE))</f>
        <v/>
      </c>
      <c r="E36" s="413" t="str">
        <f>IF(ISBLANK(B36),"",VLOOKUP(B36,DBImplements[],24,FALSE))</f>
        <v/>
      </c>
      <c r="F36" s="413" t="str">
        <f>IFERROR(IF(ISBLANK(C36),"",VLOOKUP(C36,DBPower[],16,FALSE)*VLOOKUP(B36,DBImplements[],23,FALSE))+VLOOKUP(B36,DBImplements[],22,FALSE),"")</f>
        <v/>
      </c>
      <c r="G36" s="415"/>
      <c r="H36" s="413" t="str">
        <f>IFERROR(IF(ISBLANK(B36),"",(D36*Equipment!$C$4+E36*Equipment!$C$3+F36)*G36),"")</f>
        <v/>
      </c>
      <c r="I36" s="413" t="str">
        <f>IF(ISBLANK(B36),"",(VLOOKUP(B36,DBImplements[],25,FALSE)+VLOOKUP(C36,DBPower[],18,FALSE)*VLOOKUP(B36,DBImplements[],23,FALSE))*G36)</f>
        <v/>
      </c>
      <c r="J36" s="418" t="str">
        <f t="shared" si="6"/>
        <v/>
      </c>
      <c r="K36" s="415"/>
      <c r="L36" s="413" t="str">
        <f>IFERROR(IF(ISBLANK(C36),"",(D36*Equipment!$C$4+E36*Equipment!$C$3+F36)*K36),"")</f>
        <v/>
      </c>
      <c r="M36" s="413" t="str">
        <f>IF(ISBLANK(B36),"",(VLOOKUP(B36,DBImplements[],24,FALSE)+VLOOKUP(C36,DBPower[],18,FALSE)*VLOOKUP(B36,DBImplements[],23,FALSE))*K36)</f>
        <v/>
      </c>
      <c r="N36" s="418" t="str">
        <f>IF(ISBLANK(B36),"",SUM(L36:M36))</f>
        <v/>
      </c>
      <c r="O36" s="417"/>
      <c r="P36" s="413" t="str">
        <f>IFERROR(IF(ISBLANK(B36),"",(D36*Equipment!$C$4+E36*Equipment!$C$3+F36)*O36),"")</f>
        <v/>
      </c>
      <c r="Q36" s="413" t="str">
        <f>IF(ISBLANK(B36),"",(VLOOKUP(B36,DBImplements[],25,FALSE)+VLOOKUP(C36,DBPower[],18,FALSE)*VLOOKUP(B36,DBImplements[],23,FALSE))*O36)</f>
        <v/>
      </c>
      <c r="R36" s="418" t="str">
        <f t="shared" si="7"/>
        <v/>
      </c>
      <c r="T36" s="74"/>
      <c r="U36" s="74"/>
      <c r="CP36" s="252"/>
    </row>
    <row r="37" spans="2:94">
      <c r="B37" s="411"/>
      <c r="C37" s="412"/>
      <c r="D37" s="413" t="str">
        <f>IF(ISBLANK(C37),"",VLOOKUP(C37,DBPower[],17,FALSE)*VLOOKUP(B37,DBImplements[],23,FALSE))</f>
        <v/>
      </c>
      <c r="E37" s="413" t="str">
        <f>IF(ISBLANK(B37),"",VLOOKUP(B37,DBImplements[],24,FALSE))</f>
        <v/>
      </c>
      <c r="F37" s="413" t="str">
        <f>IFERROR(IF(ISBLANK(C37),"",VLOOKUP(C37,DBPower[],16,FALSE)*VLOOKUP(B37,DBImplements[],23,FALSE))+VLOOKUP(B37,DBImplements[],22,FALSE),"")</f>
        <v/>
      </c>
      <c r="G37" s="415"/>
      <c r="H37" s="413" t="str">
        <f>IFERROR(IF(ISBLANK(B37),"",(D37*Equipment!$C$4+E37*Equipment!$C$3+F37)*G37),"")</f>
        <v/>
      </c>
      <c r="I37" s="413" t="str">
        <f>IF(ISBLANK(B37),"",(VLOOKUP(B37,DBImplements[],25,FALSE)+VLOOKUP(C37,DBPower[],18,FALSE)*VLOOKUP(B37,DBImplements[],23,FALSE))*G37)</f>
        <v/>
      </c>
      <c r="J37" s="418" t="str">
        <f t="shared" si="6"/>
        <v/>
      </c>
      <c r="K37" s="415"/>
      <c r="L37" s="413" t="str">
        <f>IFERROR(IF(ISBLANK(C37),"",(D37*Equipment!$C$4+E37*Equipment!$C$3+F37)*K37),"")</f>
        <v/>
      </c>
      <c r="M37" s="413" t="str">
        <f>IF(ISBLANK(B37),"",(VLOOKUP(B37,DBImplements[],24,FALSE)+VLOOKUP(C37,DBPower[],18,FALSE)*VLOOKUP(B37,DBImplements[],23,FALSE))*K37)</f>
        <v/>
      </c>
      <c r="N37" s="418" t="str">
        <f>IF(ISBLANK(B37),"",SUM(L37:M37))</f>
        <v/>
      </c>
      <c r="O37" s="417"/>
      <c r="P37" s="413" t="str">
        <f>IFERROR(IF(ISBLANK(B37),"",(D37*Equipment!$C$4+E37*Equipment!$C$3+F37)*O37),"")</f>
        <v/>
      </c>
      <c r="Q37" s="413" t="str">
        <f>IF(ISBLANK(B37),"",(VLOOKUP(B37,DBImplements[],25,FALSE)+VLOOKUP(C37,DBPower[],18,FALSE)*VLOOKUP(B37,DBImplements[],23,FALSE))*O37)</f>
        <v/>
      </c>
      <c r="R37" s="418" t="str">
        <f t="shared" si="7"/>
        <v/>
      </c>
      <c r="T37" s="74"/>
      <c r="U37" s="74"/>
      <c r="CP37" s="252"/>
    </row>
    <row r="38" spans="2:94">
      <c r="B38" s="443"/>
      <c r="C38" s="445"/>
      <c r="D38" s="421" t="str">
        <f>IF(ISBLANK(C38),"",VLOOKUP(C38,DBPower[],17,FALSE)*VLOOKUP(B38,DBImplements[],23,FALSE))</f>
        <v/>
      </c>
      <c r="E38" s="421" t="str">
        <f>IF(ISBLANK(B38),"",VLOOKUP(B38,DBImplements[],24,FALSE))</f>
        <v/>
      </c>
      <c r="F38" s="421" t="str">
        <f>IFERROR(IF(ISBLANK(C38),"",VLOOKUP(C38,DBPower[],16,FALSE)*VLOOKUP(B38,DBImplements[],23,FALSE))+VLOOKUP(B38,DBImplements[],22,FALSE),"")</f>
        <v/>
      </c>
      <c r="G38" s="456"/>
      <c r="H38" s="457" t="str">
        <f>IFERROR(IF(ISBLANK(B38),"",(D38*Equipment!$C$4+E38*Equipment!$C$3+F38)*G38),"")</f>
        <v/>
      </c>
      <c r="I38" s="421" t="str">
        <f>IF(ISBLANK(B38),"",(VLOOKUP(B38,DBImplements[],25,FALSE)+VLOOKUP(C38,DBPower[],18,FALSE)*VLOOKUP(B38,DBImplements[],23,FALSE))*G38)</f>
        <v/>
      </c>
      <c r="J38" s="425" t="str">
        <f t="shared" si="6"/>
        <v/>
      </c>
      <c r="K38" s="456"/>
      <c r="L38" s="421" t="str">
        <f>IFERROR(IF(ISBLANK(C38),"",(D38*Equipment!$C$4+E38*Equipment!$C$3+F38)*K38),"")</f>
        <v/>
      </c>
      <c r="M38" s="421" t="str">
        <f>IF(ISBLANK(B38),"",(VLOOKUP(B38,DBImplements[],24,FALSE)+VLOOKUP(C38,DBPower[],18,FALSE)*VLOOKUP(B38,DBImplements[],23,FALSE))*K38)</f>
        <v/>
      </c>
      <c r="N38" s="425" t="str">
        <f>IF(ISBLANK(B38),"",SUM(L38:M38))</f>
        <v/>
      </c>
      <c r="O38" s="458"/>
      <c r="P38" s="421" t="str">
        <f>IFERROR(IF(ISBLANK(B38),"",(D38*Equipment!$C$4+E38*Equipment!$C$3+F38)*O38),"")</f>
        <v/>
      </c>
      <c r="Q38" s="421" t="str">
        <f>IF(ISBLANK(B38),"",(VLOOKUP(B38,DBImplements[],25,FALSE)+VLOOKUP(C38,DBPower[],18,FALSE)*VLOOKUP(B38,DBImplements[],23,FALSE))*O38)</f>
        <v/>
      </c>
      <c r="R38" s="425" t="str">
        <f t="shared" si="7"/>
        <v/>
      </c>
      <c r="T38" s="74"/>
      <c r="U38" s="74"/>
      <c r="CP38" s="252"/>
    </row>
    <row r="39" spans="2:94" ht="19" customHeight="1" thickBot="1">
      <c r="B39" s="241" t="s">
        <v>442</v>
      </c>
      <c r="C39" s="237"/>
      <c r="D39" s="238"/>
      <c r="E39" s="238"/>
      <c r="F39" s="238"/>
      <c r="G39" s="280"/>
      <c r="H39" s="239">
        <f>SUM(H34:H38)</f>
        <v>0</v>
      </c>
      <c r="I39" s="239">
        <f>SUM(I34:I38)</f>
        <v>0</v>
      </c>
      <c r="J39" s="240">
        <f>SUM(J34:J38)</f>
        <v>0</v>
      </c>
      <c r="K39" s="245"/>
      <c r="L39" s="239">
        <f>SUM(L34:L38)</f>
        <v>0</v>
      </c>
      <c r="M39" s="239">
        <f>SUM(M34:M38)</f>
        <v>0</v>
      </c>
      <c r="N39" s="240">
        <f>SUM(N34:N38)</f>
        <v>0</v>
      </c>
      <c r="O39" s="246"/>
      <c r="P39" s="239">
        <f>SUM(P34:P38)</f>
        <v>0</v>
      </c>
      <c r="Q39" s="239">
        <f>SUM(Q34:Q38)</f>
        <v>0</v>
      </c>
      <c r="R39" s="240">
        <f>SUM(R34:R38)</f>
        <v>0</v>
      </c>
      <c r="T39" s="75"/>
      <c r="U39" s="75"/>
      <c r="CP39" s="252"/>
    </row>
    <row r="40" spans="2:94" ht="19" customHeight="1" thickTop="1">
      <c r="B40" s="233" t="s">
        <v>441</v>
      </c>
      <c r="C40" s="304" t="s">
        <v>346</v>
      </c>
      <c r="D40" s="304" t="s">
        <v>19</v>
      </c>
      <c r="E40" s="290"/>
      <c r="F40" s="290"/>
      <c r="G40" s="289" t="s">
        <v>367</v>
      </c>
      <c r="H40" s="290"/>
      <c r="I40" s="290"/>
      <c r="J40" s="305" t="s">
        <v>293</v>
      </c>
      <c r="K40" s="289" t="s">
        <v>367</v>
      </c>
      <c r="L40" s="290"/>
      <c r="M40" s="290"/>
      <c r="N40" s="305" t="s">
        <v>293</v>
      </c>
      <c r="O40" s="289" t="s">
        <v>367</v>
      </c>
      <c r="P40" s="290"/>
      <c r="Q40" s="290"/>
      <c r="R40" s="293" t="s">
        <v>293</v>
      </c>
      <c r="T40" s="75"/>
      <c r="U40" s="75"/>
      <c r="CP40" s="252"/>
    </row>
    <row r="41" spans="2:94" ht="19" customHeight="1">
      <c r="B41" s="427"/>
      <c r="C41" s="428" t="str">
        <f>IF(ISBLANK($B41),"",VLOOKUP($B41,DBCustomHire[],2,FALSE))</f>
        <v/>
      </c>
      <c r="D41" s="429" t="str">
        <f>IF(ISBLANK($B41),"",VLOOKUP($B41,DBCustomHire[],3,FALSE))</f>
        <v/>
      </c>
      <c r="E41" s="431"/>
      <c r="F41" s="431"/>
      <c r="G41" s="432"/>
      <c r="H41" s="431"/>
      <c r="I41" s="431"/>
      <c r="J41" s="433" t="str" cm="1">
        <f t="array" ref="J41">IF(ISBLANK($B41),"",_xlfn.SWITCH($D41,
$B$54,$C41*G41,
$B$55,$C41*G41*Grazing!$D$49,
$B$56,$C41*G41*Grazing!$D$50,
$B$57,$C41*G41/$E41))</f>
        <v/>
      </c>
      <c r="K41" s="432"/>
      <c r="L41" s="431"/>
      <c r="M41" s="431"/>
      <c r="N41" s="433" t="str" cm="1">
        <f t="array" ref="N41">IF(ISBLANK($B41),"",_xlfn.SWITCH($D41,
$B$54,$C41*K41,
$B$55,$C41*K41*Grazing!$D$49,
$B$56,$C41*K41*Grazing!$D$50,
$B$57,$C41*K41/$E41))</f>
        <v/>
      </c>
      <c r="O41" s="432"/>
      <c r="P41" s="431"/>
      <c r="Q41" s="431"/>
      <c r="R41" s="436" t="str" cm="1">
        <f t="array" ref="R41">IF(ISBLANK($B41),"",_xlfn.SWITCH($D41,
$B$54,$C41*O41,
$B$55,$C41*O41*Grazing!$D$49,
$B$56,$C41*O41*Grazing!$D$50,
$B$57,$C41*O41/$E41))</f>
        <v/>
      </c>
      <c r="T41" s="75"/>
      <c r="U41" s="75"/>
      <c r="CP41" s="252"/>
    </row>
    <row r="42" spans="2:94" ht="19" customHeight="1">
      <c r="B42" s="411"/>
      <c r="C42" s="437" t="str">
        <f>IF(ISBLANK($B42),"",VLOOKUP($B42,DBCustomHire[],2,FALSE))</f>
        <v/>
      </c>
      <c r="D42" s="437" t="str">
        <f>IF(ISBLANK($B42),"",VLOOKUP($B42,DBCustomHire[],3,FALSE))</f>
        <v/>
      </c>
      <c r="E42" s="438"/>
      <c r="F42" s="438"/>
      <c r="G42" s="439"/>
      <c r="H42" s="438"/>
      <c r="I42" s="438"/>
      <c r="J42" s="440" t="str" cm="1">
        <f t="array" ref="J42">IF(ISBLANK($B42),"",_xlfn.SWITCH($D42,
$B$54,$C42*G42,
$B$55,$C42*G42*Grazing!$D$49,
$B$56,$C42*G42*Grazing!$D$50,
$B$57,$C42*G42/$E42))</f>
        <v/>
      </c>
      <c r="K42" s="439"/>
      <c r="L42" s="438"/>
      <c r="M42" s="438"/>
      <c r="N42" s="440" t="str" cm="1">
        <f t="array" ref="N42">IF(ISBLANK($B42),"",_xlfn.SWITCH($D42,
$B$54,$C42*K42,
$B$55,$C42*K42*Grazing!$D$49,
$B$56,$C42*K42*Grazing!$D$50,
$B$57,$C42*K42/$E42))</f>
        <v/>
      </c>
      <c r="O42" s="439"/>
      <c r="P42" s="438"/>
      <c r="Q42" s="438"/>
      <c r="R42" s="416" t="str" cm="1">
        <f t="array" ref="R42">IF(ISBLANK($B42),"",_xlfn.SWITCH($D42,
$B$54,$C42*O42,
$B$55,$C42*O42*Grazing!$D$49,
$B$56,$C42*O42*Grazing!$D$50,
$B$57,$C42*O42/$E42))</f>
        <v/>
      </c>
      <c r="T42" s="75"/>
      <c r="U42" s="75"/>
      <c r="CP42" s="252"/>
    </row>
    <row r="43" spans="2:94" ht="19" customHeight="1">
      <c r="B43" s="411"/>
      <c r="C43" s="437" t="str">
        <f>IF(ISBLANK($B43),"",VLOOKUP($B43,DBCustomHire[],2,FALSE))</f>
        <v/>
      </c>
      <c r="D43" s="437" t="str">
        <f>IF(ISBLANK($B43),"",VLOOKUP($B43,DBCustomHire[],3,FALSE))</f>
        <v/>
      </c>
      <c r="E43" s="438"/>
      <c r="F43" s="438"/>
      <c r="G43" s="439"/>
      <c r="H43" s="438"/>
      <c r="I43" s="438"/>
      <c r="J43" s="440" t="str" cm="1">
        <f t="array" ref="J43">IF(ISBLANK($B43),"",_xlfn.SWITCH($D43,
$B$54,$C43*G43,
$B$55,$C43*G43*Grazing!$D$49,
$B$56,$C43*G43*Grazing!$D$50,
$B$57,$C43*G43/$E43))</f>
        <v/>
      </c>
      <c r="K43" s="439"/>
      <c r="L43" s="438"/>
      <c r="M43" s="438"/>
      <c r="N43" s="440" t="str" cm="1">
        <f t="array" ref="N43">IF(ISBLANK($B43),"",_xlfn.SWITCH($D43,
$B$54,$C43*K43,
$B$55,$C43*K43*Grazing!$D$49,
$B$56,$C43*K43*Grazing!$D$50,
$B$57,$C43*K43/$E43))</f>
        <v/>
      </c>
      <c r="O43" s="439"/>
      <c r="P43" s="438"/>
      <c r="Q43" s="438"/>
      <c r="R43" s="416" t="str" cm="1">
        <f t="array" ref="R43">IF(ISBLANK($B43),"",_xlfn.SWITCH($D43,
$B$54,$C43*O43,
$B$55,$C43*O43*Grazing!$D$49,
$B$56,$C43*O43*Grazing!$D$50,
$B$57,$C43*O43/$E43))</f>
        <v/>
      </c>
      <c r="T43" s="75"/>
      <c r="U43" s="75"/>
      <c r="CP43" s="252"/>
    </row>
    <row r="44" spans="2:94" ht="19" customHeight="1">
      <c r="B44" s="411"/>
      <c r="C44" s="437" t="str">
        <f>IF(ISBLANK($B44),"",VLOOKUP($B44,DBCustomHire[],2,FALSE))</f>
        <v/>
      </c>
      <c r="D44" s="437" t="str">
        <f>IF(ISBLANK($B44),"",VLOOKUP($B44,DBCustomHire[],3,FALSE))</f>
        <v/>
      </c>
      <c r="E44" s="438"/>
      <c r="F44" s="438"/>
      <c r="G44" s="439"/>
      <c r="H44" s="438"/>
      <c r="I44" s="438"/>
      <c r="J44" s="440" t="str" cm="1">
        <f t="array" ref="J44">IF(ISBLANK($B44),"",_xlfn.SWITCH($D44,
$B$54,$C44*G44,
$B$55,$C44*G44*Grazing!$D$49,
$B$56,$C44*G44*Grazing!$D$50,
$B$57,$C44*G44/$E44))</f>
        <v/>
      </c>
      <c r="K44" s="439"/>
      <c r="L44" s="438"/>
      <c r="M44" s="438"/>
      <c r="N44" s="440" t="str" cm="1">
        <f t="array" ref="N44">IF(ISBLANK($B44),"",_xlfn.SWITCH($D44,
$B$54,$C44*K44,
$B$55,$C44*K44*Grazing!$D$49,
$B$56,$C44*K44*Grazing!$D$50,
$B$57,$C44*K44/$E44))</f>
        <v/>
      </c>
      <c r="O44" s="439"/>
      <c r="P44" s="438"/>
      <c r="Q44" s="438"/>
      <c r="R44" s="416" t="str" cm="1">
        <f t="array" ref="R44">IF(ISBLANK($B44),"",_xlfn.SWITCH($D44,
$B$54,$C44*O44,
$B$55,$C44*O44*Grazing!$D$49,
$B$56,$C44*O44*Grazing!$D$50,
$B$57,$C44*O44/$E44))</f>
        <v/>
      </c>
      <c r="T44" s="75"/>
      <c r="U44" s="75"/>
      <c r="CP44" s="252"/>
    </row>
    <row r="45" spans="2:94" ht="19" customHeight="1">
      <c r="B45" s="443"/>
      <c r="C45" s="444" t="str">
        <f>IF(ISBLANK($B45),"",VLOOKUP($B45,DBCustomHire[],2,FALSE))</f>
        <v/>
      </c>
      <c r="D45" s="444" t="str">
        <f>IF(ISBLANK($B45),"",VLOOKUP($B45,DBCustomHire[],3,FALSE))</f>
        <v/>
      </c>
      <c r="E45" s="420"/>
      <c r="F45" s="420"/>
      <c r="G45" s="446"/>
      <c r="H45" s="420"/>
      <c r="I45" s="420"/>
      <c r="J45" s="459" t="str" cm="1">
        <f t="array" ref="J45">IF(ISBLANK($B45),"",_xlfn.SWITCH($D45,
$B$54,$C45*G45,
$B$55,$C45*G45*Grazing!$D$49,
$B$56,$C45*G45*Grazing!$D$50,
$B$57,$C45*G45/$E45))</f>
        <v/>
      </c>
      <c r="K45" s="446"/>
      <c r="L45" s="420"/>
      <c r="M45" s="420"/>
      <c r="N45" s="459" t="str" cm="1">
        <f t="array" ref="N45">IF(ISBLANK($B45),"",_xlfn.SWITCH($D45,
$B$54,$C45*K45,
$B$55,$C45*K45*Grazing!$D$49,
$B$56,$C45*K45*Grazing!$D$50,
$B$57,$C45*K45/$E45))</f>
        <v/>
      </c>
      <c r="O45" s="446"/>
      <c r="P45" s="420"/>
      <c r="Q45" s="420"/>
      <c r="R45" s="447" t="str" cm="1">
        <f t="array" ref="R45">IF(ISBLANK($B45),"",_xlfn.SWITCH($D45,
$B$54,$C45*O45,
$B$55,$C45*O45*Grazing!$D$49,
$B$56,$C45*O45*Grazing!$D$50,
$B$57,$C45*O45/$E45))</f>
        <v/>
      </c>
      <c r="T45" s="75"/>
      <c r="U45" s="75"/>
      <c r="CP45" s="252"/>
    </row>
    <row r="46" spans="2:94" ht="19" customHeight="1" thickBot="1">
      <c r="B46" s="104" t="s">
        <v>338</v>
      </c>
      <c r="C46" s="105"/>
      <c r="D46" s="103"/>
      <c r="E46" s="103"/>
      <c r="F46" s="103"/>
      <c r="G46" s="283"/>
      <c r="H46" s="103"/>
      <c r="I46" s="103"/>
      <c r="J46" s="232">
        <f>SUM(J41:J45)</f>
        <v>0</v>
      </c>
      <c r="K46" s="282"/>
      <c r="L46" s="231"/>
      <c r="M46" s="103"/>
      <c r="N46" s="232">
        <f>SUM(N41:N45)</f>
        <v>0</v>
      </c>
      <c r="O46" s="282"/>
      <c r="P46" s="235"/>
      <c r="Q46" s="103"/>
      <c r="R46" s="158">
        <f>SUM(R41:R45)</f>
        <v>0</v>
      </c>
      <c r="T46" s="75"/>
      <c r="U46" s="75"/>
      <c r="CP46" s="252"/>
    </row>
    <row r="47" spans="2:94" ht="19" customHeight="1">
      <c r="B47" s="114"/>
      <c r="D47" s="75"/>
      <c r="E47" s="75"/>
      <c r="F47" s="75"/>
      <c r="G47" s="75"/>
      <c r="H47" s="75"/>
      <c r="I47" s="75"/>
      <c r="J47" s="75"/>
      <c r="K47" s="75"/>
      <c r="L47" s="75"/>
      <c r="M47" s="75"/>
      <c r="N47" s="75"/>
      <c r="O47" s="75"/>
      <c r="P47" s="75"/>
      <c r="Q47" s="75"/>
      <c r="R47" s="75"/>
      <c r="T47" s="75"/>
      <c r="U47" s="75"/>
      <c r="CP47" s="252"/>
    </row>
    <row r="48" spans="2:94" ht="16.5">
      <c r="B48" s="15" t="s">
        <v>421</v>
      </c>
      <c r="H48" s="175" t="s">
        <v>420</v>
      </c>
      <c r="K48" s="75"/>
      <c r="L48" s="78"/>
      <c r="M48" s="78"/>
      <c r="N48" s="78"/>
      <c r="O48" s="78"/>
      <c r="P48" s="78"/>
      <c r="Q48" s="78"/>
      <c r="R48" s="78"/>
      <c r="S48" s="78"/>
      <c r="T48" s="79"/>
      <c r="U48" s="79"/>
      <c r="V48" s="79"/>
      <c r="W48" s="79"/>
      <c r="X48" s="79"/>
      <c r="Y48" s="79"/>
      <c r="Z48" s="79"/>
      <c r="AA48" s="79"/>
      <c r="CP48" s="252"/>
    </row>
    <row r="49" spans="2:94" ht="16.5">
      <c r="B49" s="15" t="s">
        <v>418</v>
      </c>
      <c r="H49" s="175" t="s">
        <v>419</v>
      </c>
      <c r="V49" s="191"/>
      <c r="W49" s="19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c r="AZ49" s="191"/>
      <c r="BA49" s="191"/>
      <c r="BB49" s="191"/>
      <c r="BC49" s="191"/>
      <c r="BD49" s="191"/>
      <c r="BE49" s="191"/>
      <c r="BF49" s="191"/>
      <c r="BG49" s="191"/>
      <c r="BH49" s="191"/>
      <c r="BI49" s="191"/>
      <c r="BJ49" s="191"/>
      <c r="BK49" s="191"/>
      <c r="BL49" s="191"/>
      <c r="BM49" s="191"/>
      <c r="BN49" s="191"/>
      <c r="BO49" s="191"/>
      <c r="BP49" s="191"/>
      <c r="BQ49" s="191"/>
      <c r="BR49" s="191"/>
      <c r="BS49" s="191"/>
      <c r="BT49" s="191"/>
      <c r="BU49" s="191"/>
      <c r="BV49" s="191"/>
      <c r="BW49" s="191"/>
      <c r="BX49" s="191"/>
      <c r="BY49" s="191"/>
      <c r="BZ49" s="191"/>
      <c r="CA49" s="191"/>
      <c r="CB49" s="191"/>
      <c r="CC49" s="191"/>
      <c r="CD49" s="191"/>
      <c r="CE49" s="191"/>
      <c r="CF49" s="191"/>
      <c r="CG49" s="191"/>
      <c r="CH49" s="191"/>
      <c r="CI49" s="191"/>
      <c r="CJ49" s="191"/>
      <c r="CK49" s="191"/>
      <c r="CL49" s="191"/>
      <c r="CM49" s="191"/>
      <c r="CN49" s="191"/>
      <c r="CO49" s="191"/>
      <c r="CP49" s="252"/>
    </row>
    <row r="50" spans="2:94" ht="16.5">
      <c r="B50" s="15" t="s">
        <v>449</v>
      </c>
      <c r="H50" s="175" t="s">
        <v>450</v>
      </c>
      <c r="V50" s="191"/>
      <c r="W50"/>
      <c r="X50"/>
      <c r="Y50"/>
      <c r="Z50"/>
      <c r="AA50"/>
      <c r="AB50"/>
      <c r="AC50" s="191"/>
      <c r="AD50"/>
      <c r="AE50"/>
      <c r="AF50"/>
      <c r="AG50"/>
      <c r="AH50"/>
      <c r="AI50"/>
      <c r="AJ50"/>
      <c r="AK50"/>
      <c r="AL50"/>
      <c r="AM50"/>
      <c r="AN50"/>
      <c r="AO50"/>
      <c r="AP50"/>
      <c r="AQ50"/>
      <c r="AR50"/>
      <c r="AS50"/>
      <c r="AT50"/>
      <c r="AU50"/>
      <c r="AV50"/>
      <c r="AW50"/>
      <c r="AX50"/>
      <c r="AY50"/>
      <c r="AZ50"/>
      <c r="BA50"/>
      <c r="BB50"/>
      <c r="BC50"/>
      <c r="BD50"/>
      <c r="BE50"/>
      <c r="BF50"/>
      <c r="BG50" s="191"/>
      <c r="BH50"/>
      <c r="BI50"/>
      <c r="BJ50"/>
      <c r="BK50"/>
      <c r="BL50"/>
      <c r="BM50"/>
      <c r="BN50"/>
      <c r="BO50"/>
      <c r="BP50"/>
      <c r="BQ50"/>
      <c r="BR50"/>
      <c r="BS50"/>
      <c r="BT50"/>
      <c r="BU50"/>
      <c r="BV50"/>
      <c r="BW50"/>
      <c r="BX50"/>
      <c r="BY50"/>
      <c r="BZ50"/>
      <c r="CA50"/>
      <c r="CB50" s="191"/>
      <c r="CC50"/>
      <c r="CD50"/>
      <c r="CE50"/>
      <c r="CF50"/>
      <c r="CG50"/>
      <c r="CH50"/>
      <c r="CI50"/>
      <c r="CJ50"/>
      <c r="CK50"/>
      <c r="CL50"/>
      <c r="CM50"/>
      <c r="CN50"/>
      <c r="CO50"/>
      <c r="CP50" s="252"/>
    </row>
    <row r="51" spans="2:94" ht="16.5">
      <c r="V51" s="191"/>
      <c r="W51"/>
      <c r="X51" s="8" t="s">
        <v>417</v>
      </c>
      <c r="Y51"/>
      <c r="Z51"/>
      <c r="AA51"/>
      <c r="AB51"/>
      <c r="AC51" s="191"/>
      <c r="AD51"/>
      <c r="AE51"/>
      <c r="AF51"/>
      <c r="AG51"/>
      <c r="AH51"/>
      <c r="AI51"/>
      <c r="AJ51"/>
      <c r="AK51"/>
      <c r="AL51"/>
      <c r="AM51"/>
      <c r="AN51"/>
      <c r="AO51"/>
      <c r="AP51"/>
      <c r="AQ51"/>
      <c r="AR51"/>
      <c r="AS51"/>
      <c r="AT51"/>
      <c r="AU51"/>
      <c r="AV51"/>
      <c r="AW51"/>
      <c r="AX51"/>
      <c r="AY51"/>
      <c r="AZ51"/>
      <c r="BA51"/>
      <c r="BB51"/>
      <c r="BC51"/>
      <c r="BD51"/>
      <c r="BE51"/>
      <c r="BF51"/>
      <c r="BG51" s="191"/>
      <c r="BH51"/>
      <c r="BI51"/>
      <c r="BJ51"/>
      <c r="BK51"/>
      <c r="BL51"/>
      <c r="BM51"/>
      <c r="BN51"/>
      <c r="BO51"/>
      <c r="BP51"/>
      <c r="BQ51"/>
      <c r="BR51"/>
      <c r="BS51"/>
      <c r="BT51"/>
      <c r="BU51"/>
      <c r="BV51"/>
      <c r="BW51"/>
      <c r="BX51"/>
      <c r="BY51"/>
      <c r="BZ51"/>
      <c r="CA51"/>
      <c r="CB51" s="191"/>
      <c r="CC51"/>
      <c r="CD51"/>
      <c r="CE51"/>
      <c r="CF51"/>
      <c r="CG51"/>
      <c r="CH51"/>
      <c r="CI51"/>
      <c r="CJ51"/>
      <c r="CK51"/>
      <c r="CL51"/>
      <c r="CM51"/>
      <c r="CN51"/>
      <c r="CO51"/>
      <c r="CP51" s="252"/>
    </row>
    <row r="52" spans="2:94" ht="16.5">
      <c r="V52" s="191"/>
      <c r="W52"/>
      <c r="X52" s="68" t="s">
        <v>20</v>
      </c>
      <c r="Y52" s="251" t="s">
        <v>445</v>
      </c>
      <c r="Z52" s="68" t="s">
        <v>19</v>
      </c>
      <c r="AA52" s="68" t="s">
        <v>253</v>
      </c>
      <c r="AB52"/>
      <c r="AC52" s="191"/>
      <c r="AD52"/>
      <c r="AE52"/>
      <c r="AF52"/>
      <c r="AG52"/>
      <c r="AH52"/>
      <c r="AI52"/>
      <c r="AJ52"/>
      <c r="AK52"/>
      <c r="AL52"/>
      <c r="AM52"/>
      <c r="AN52"/>
      <c r="AO52"/>
      <c r="AP52"/>
      <c r="AQ52"/>
      <c r="AR52"/>
      <c r="AS52"/>
      <c r="AT52"/>
      <c r="AU52"/>
      <c r="AV52"/>
      <c r="AW52"/>
      <c r="AX52"/>
      <c r="AY52"/>
      <c r="AZ52"/>
      <c r="BA52"/>
      <c r="BB52"/>
      <c r="BC52"/>
      <c r="BD52"/>
      <c r="BE52"/>
      <c r="BF52"/>
      <c r="BG52" s="191"/>
      <c r="BH52"/>
      <c r="BI52"/>
      <c r="BJ52"/>
      <c r="BK52"/>
      <c r="BL52"/>
      <c r="BM52"/>
      <c r="BN52"/>
      <c r="BO52"/>
      <c r="BP52"/>
      <c r="BQ52"/>
      <c r="BR52"/>
      <c r="BS52"/>
      <c r="BT52"/>
      <c r="BU52"/>
      <c r="BV52"/>
      <c r="BW52"/>
      <c r="BX52"/>
      <c r="BY52"/>
      <c r="BZ52"/>
      <c r="CA52"/>
      <c r="CB52" s="191"/>
      <c r="CC52"/>
      <c r="CD52"/>
      <c r="CE52"/>
      <c r="CF52"/>
      <c r="CG52"/>
      <c r="CH52"/>
      <c r="CI52"/>
      <c r="CJ52"/>
      <c r="CK52"/>
      <c r="CL52"/>
      <c r="CM52"/>
      <c r="CN52"/>
      <c r="CO52"/>
      <c r="CP52" s="252"/>
    </row>
    <row r="53" spans="2:94" ht="16.5">
      <c r="B53" s="15" t="s">
        <v>469</v>
      </c>
      <c r="V53" s="191"/>
      <c r="W53"/>
      <c r="X53" s="50" t="s">
        <v>75</v>
      </c>
      <c r="Y53" s="69">
        <v>27.1</v>
      </c>
      <c r="Z53" s="50" t="s">
        <v>12</v>
      </c>
      <c r="AA53" s="13" t="s">
        <v>254</v>
      </c>
      <c r="AB53"/>
      <c r="AC53" s="191"/>
      <c r="AD53"/>
      <c r="AE53"/>
      <c r="AF53"/>
      <c r="AG53"/>
      <c r="AH53"/>
      <c r="AI53"/>
      <c r="AJ53"/>
      <c r="AK53"/>
      <c r="AL53"/>
      <c r="AM53"/>
      <c r="AN53"/>
      <c r="AO53"/>
      <c r="AP53"/>
      <c r="AQ53"/>
      <c r="AR53"/>
      <c r="AS53"/>
      <c r="AT53"/>
      <c r="AU53"/>
      <c r="AV53"/>
      <c r="AW53"/>
      <c r="AX53"/>
      <c r="AY53"/>
      <c r="AZ53"/>
      <c r="BA53"/>
      <c r="BB53"/>
      <c r="BC53"/>
      <c r="BD53"/>
      <c r="BE53"/>
      <c r="BF53"/>
      <c r="BG53" s="191"/>
      <c r="BH53"/>
      <c r="BI53"/>
      <c r="BJ53"/>
      <c r="BK53"/>
      <c r="BL53"/>
      <c r="BM53"/>
      <c r="BN53"/>
      <c r="BO53"/>
      <c r="BP53"/>
      <c r="BQ53"/>
      <c r="BR53"/>
      <c r="BS53"/>
      <c r="BT53"/>
      <c r="BU53"/>
      <c r="BV53"/>
      <c r="BW53"/>
      <c r="BX53"/>
      <c r="BY53"/>
      <c r="BZ53"/>
      <c r="CA53"/>
      <c r="CB53" s="191"/>
      <c r="CC53"/>
      <c r="CD53"/>
      <c r="CE53"/>
      <c r="CF53"/>
      <c r="CG53"/>
      <c r="CH53"/>
      <c r="CI53"/>
      <c r="CJ53"/>
      <c r="CK53"/>
      <c r="CL53"/>
      <c r="CM53"/>
      <c r="CN53"/>
      <c r="CO53"/>
      <c r="CP53" s="252"/>
    </row>
    <row r="54" spans="2:94" ht="16.5">
      <c r="B54" s="312" t="s">
        <v>12</v>
      </c>
      <c r="V54" s="191"/>
      <c r="W54"/>
      <c r="X54" s="50" t="s">
        <v>167</v>
      </c>
      <c r="Y54" s="69">
        <v>21.36</v>
      </c>
      <c r="Z54" s="50" t="s">
        <v>12</v>
      </c>
      <c r="AA54" s="13" t="s">
        <v>254</v>
      </c>
      <c r="AB54"/>
      <c r="AC54" s="191"/>
      <c r="AD54"/>
      <c r="AE54"/>
      <c r="AF54"/>
      <c r="AG54"/>
      <c r="AH54"/>
      <c r="AI54"/>
      <c r="AJ54"/>
      <c r="AK54"/>
      <c r="AL54"/>
      <c r="AM54"/>
      <c r="AN54"/>
      <c r="AO54"/>
      <c r="AP54"/>
      <c r="AQ54"/>
      <c r="AR54"/>
      <c r="AS54"/>
      <c r="AT54"/>
      <c r="AU54"/>
      <c r="AV54"/>
      <c r="AW54"/>
      <c r="AX54"/>
      <c r="AY54"/>
      <c r="AZ54"/>
      <c r="BA54"/>
      <c r="BB54"/>
      <c r="BC54"/>
      <c r="BD54"/>
      <c r="BE54"/>
      <c r="BF54"/>
      <c r="BG54" s="191"/>
      <c r="BH54"/>
      <c r="BI54"/>
      <c r="BJ54"/>
      <c r="BK54"/>
      <c r="BL54"/>
      <c r="BM54"/>
      <c r="BN54"/>
      <c r="BO54"/>
      <c r="BP54"/>
      <c r="BQ54"/>
      <c r="BR54"/>
      <c r="BS54"/>
      <c r="BT54"/>
      <c r="BU54"/>
      <c r="BV54"/>
      <c r="BW54"/>
      <c r="BX54"/>
      <c r="BY54"/>
      <c r="BZ54"/>
      <c r="CA54"/>
      <c r="CB54" s="191"/>
      <c r="CC54"/>
      <c r="CD54"/>
      <c r="CE54"/>
      <c r="CF54"/>
      <c r="CG54"/>
      <c r="CH54"/>
      <c r="CI54"/>
      <c r="CJ54"/>
      <c r="CK54"/>
      <c r="CL54"/>
      <c r="CM54"/>
      <c r="CN54"/>
      <c r="CO54"/>
      <c r="CP54" s="252"/>
    </row>
    <row r="55" spans="2:94" ht="16.5">
      <c r="B55" s="313" t="s">
        <v>206</v>
      </c>
      <c r="V55" s="191"/>
      <c r="W55"/>
      <c r="X55" s="50" t="s">
        <v>104</v>
      </c>
      <c r="Y55" s="69">
        <v>23.81</v>
      </c>
      <c r="Z55" s="50" t="s">
        <v>12</v>
      </c>
      <c r="AA55" s="13" t="s">
        <v>254</v>
      </c>
      <c r="AB55"/>
      <c r="AC55" s="191"/>
      <c r="AD55"/>
      <c r="AE55"/>
      <c r="AF55"/>
      <c r="AG55"/>
      <c r="AH55"/>
      <c r="AI55"/>
      <c r="AJ55"/>
      <c r="AK55"/>
      <c r="AL55"/>
      <c r="AM55"/>
      <c r="AN55"/>
      <c r="AO55"/>
      <c r="AP55"/>
      <c r="AQ55"/>
      <c r="AR55"/>
      <c r="AS55"/>
      <c r="AT55"/>
      <c r="AU55"/>
      <c r="AV55"/>
      <c r="AW55"/>
      <c r="AX55"/>
      <c r="AY55"/>
      <c r="AZ55"/>
      <c r="BA55"/>
      <c r="BB55"/>
      <c r="BC55"/>
      <c r="BD55"/>
      <c r="BE55"/>
      <c r="BF55"/>
      <c r="BG55" s="191"/>
      <c r="BH55"/>
      <c r="BI55"/>
      <c r="BJ55"/>
      <c r="BK55"/>
      <c r="BL55"/>
      <c r="BM55"/>
      <c r="BN55"/>
      <c r="BO55"/>
      <c r="BP55"/>
      <c r="BQ55"/>
      <c r="BR55"/>
      <c r="BS55"/>
      <c r="BT55"/>
      <c r="BU55"/>
      <c r="BV55"/>
      <c r="BW55"/>
      <c r="BX55"/>
      <c r="BY55"/>
      <c r="BZ55"/>
      <c r="CA55"/>
      <c r="CB55" s="191"/>
      <c r="CC55"/>
      <c r="CD55"/>
      <c r="CE55"/>
      <c r="CF55"/>
      <c r="CG55"/>
      <c r="CH55"/>
      <c r="CI55"/>
      <c r="CJ55"/>
      <c r="CK55"/>
      <c r="CL55"/>
      <c r="CM55"/>
      <c r="CN55"/>
      <c r="CO55"/>
      <c r="CP55" s="252"/>
    </row>
    <row r="56" spans="2:94" ht="16.5">
      <c r="B56" s="313" t="s">
        <v>192</v>
      </c>
      <c r="V56" s="191"/>
      <c r="W56"/>
      <c r="X56" s="50" t="s">
        <v>168</v>
      </c>
      <c r="Y56" s="69">
        <v>19.75</v>
      </c>
      <c r="Z56" s="50" t="s">
        <v>12</v>
      </c>
      <c r="AA56" s="13" t="s">
        <v>254</v>
      </c>
      <c r="AB56"/>
      <c r="AC56" s="191"/>
      <c r="AD56"/>
      <c r="AE56"/>
      <c r="AF56"/>
      <c r="AG56"/>
      <c r="AH56"/>
      <c r="AI56"/>
      <c r="AJ56"/>
      <c r="AK56"/>
      <c r="AL56"/>
      <c r="AM56"/>
      <c r="AN56"/>
      <c r="AO56"/>
      <c r="AP56"/>
      <c r="AQ56"/>
      <c r="AR56"/>
      <c r="AS56"/>
      <c r="AT56"/>
      <c r="AU56"/>
      <c r="AV56"/>
      <c r="AW56"/>
      <c r="AX56"/>
      <c r="AY56"/>
      <c r="AZ56"/>
      <c r="BA56"/>
      <c r="BB56"/>
      <c r="BC56"/>
      <c r="BD56"/>
      <c r="BE56"/>
      <c r="BF56"/>
      <c r="BG56" s="191"/>
      <c r="BH56"/>
      <c r="BI56"/>
      <c r="BJ56"/>
      <c r="BK56"/>
      <c r="BL56"/>
      <c r="BM56"/>
      <c r="BN56"/>
      <c r="BO56"/>
      <c r="BP56"/>
      <c r="BQ56"/>
      <c r="BR56"/>
      <c r="BS56"/>
      <c r="BT56"/>
      <c r="BU56"/>
      <c r="BV56"/>
      <c r="BW56"/>
      <c r="BX56"/>
      <c r="BY56"/>
      <c r="BZ56"/>
      <c r="CA56"/>
      <c r="CB56" s="191"/>
      <c r="CC56"/>
      <c r="CD56"/>
      <c r="CE56"/>
      <c r="CF56"/>
      <c r="CG56"/>
      <c r="CH56"/>
      <c r="CI56"/>
      <c r="CJ56"/>
      <c r="CK56"/>
      <c r="CL56"/>
      <c r="CM56"/>
      <c r="CN56"/>
      <c r="CO56"/>
      <c r="CP56" s="252"/>
    </row>
    <row r="57" spans="2:94" ht="16.5">
      <c r="B57" s="314" t="s">
        <v>170</v>
      </c>
      <c r="V57" s="191"/>
      <c r="W57"/>
      <c r="X57" s="50" t="s">
        <v>96</v>
      </c>
      <c r="Y57" s="69">
        <v>19.05</v>
      </c>
      <c r="Z57" s="50" t="s">
        <v>12</v>
      </c>
      <c r="AA57" s="13" t="s">
        <v>254</v>
      </c>
      <c r="AB57"/>
      <c r="AC57" s="191"/>
      <c r="AD57"/>
      <c r="AE57"/>
      <c r="AF57"/>
      <c r="AG57"/>
      <c r="AH57"/>
      <c r="AI57"/>
      <c r="AJ57"/>
      <c r="AK57"/>
      <c r="AL57"/>
      <c r="AM57"/>
      <c r="AN57"/>
      <c r="AO57"/>
      <c r="AP57"/>
      <c r="AQ57"/>
      <c r="AR57"/>
      <c r="AS57"/>
      <c r="AT57"/>
      <c r="AU57"/>
      <c r="AV57"/>
      <c r="AW57"/>
      <c r="AX57"/>
      <c r="AY57"/>
      <c r="AZ57"/>
      <c r="BA57"/>
      <c r="BB57"/>
      <c r="BC57"/>
      <c r="BD57"/>
      <c r="BE57"/>
      <c r="BF57"/>
      <c r="BG57" s="191"/>
      <c r="BH57"/>
      <c r="BI57"/>
      <c r="BJ57"/>
      <c r="BK57"/>
      <c r="BL57"/>
      <c r="BM57"/>
      <c r="BN57"/>
      <c r="BO57"/>
      <c r="BP57"/>
      <c r="BQ57"/>
      <c r="BR57"/>
      <c r="BS57"/>
      <c r="BT57"/>
      <c r="BU57"/>
      <c r="BV57"/>
      <c r="BW57"/>
      <c r="BX57"/>
      <c r="BY57"/>
      <c r="BZ57"/>
      <c r="CA57"/>
      <c r="CB57" s="191"/>
      <c r="CC57"/>
      <c r="CD57"/>
      <c r="CE57"/>
      <c r="CF57"/>
      <c r="CG57"/>
      <c r="CH57"/>
      <c r="CI57"/>
      <c r="CJ57"/>
      <c r="CK57"/>
      <c r="CL57"/>
      <c r="CM57"/>
      <c r="CN57"/>
      <c r="CO57"/>
      <c r="CP57" s="252"/>
    </row>
    <row r="58" spans="2:94" ht="16.5">
      <c r="V58" s="191"/>
      <c r="W58"/>
      <c r="X58" s="50" t="s">
        <v>169</v>
      </c>
      <c r="Y58" s="69">
        <v>97.86</v>
      </c>
      <c r="Z58" s="50" t="s">
        <v>170</v>
      </c>
      <c r="AA58" s="13" t="s">
        <v>254</v>
      </c>
      <c r="AB58"/>
      <c r="AC58" s="191"/>
      <c r="AD58"/>
      <c r="AE58"/>
      <c r="AF58"/>
      <c r="AG58"/>
      <c r="AH58"/>
      <c r="AI58"/>
      <c r="AJ58"/>
      <c r="AK58"/>
      <c r="AL58"/>
      <c r="AM58"/>
      <c r="AN58"/>
      <c r="AO58"/>
      <c r="AP58"/>
      <c r="AQ58"/>
      <c r="AR58"/>
      <c r="AS58"/>
      <c r="AT58"/>
      <c r="AU58"/>
      <c r="AV58"/>
      <c r="AW58"/>
      <c r="AX58"/>
      <c r="AY58"/>
      <c r="AZ58"/>
      <c r="BA58"/>
      <c r="BB58"/>
      <c r="BC58"/>
      <c r="BD58"/>
      <c r="BE58"/>
      <c r="BF58"/>
      <c r="BG58" s="191"/>
      <c r="BH58"/>
      <c r="BI58"/>
      <c r="BJ58"/>
      <c r="BK58"/>
      <c r="BL58"/>
      <c r="BM58"/>
      <c r="BN58"/>
      <c r="BO58"/>
      <c r="BP58"/>
      <c r="BQ58"/>
      <c r="BR58"/>
      <c r="BS58"/>
      <c r="BT58"/>
      <c r="BU58"/>
      <c r="BV58"/>
      <c r="BW58"/>
      <c r="BX58"/>
      <c r="BY58"/>
      <c r="BZ58"/>
      <c r="CA58"/>
      <c r="CB58" s="191"/>
      <c r="CC58"/>
      <c r="CD58"/>
      <c r="CE58"/>
      <c r="CF58"/>
      <c r="CG58"/>
      <c r="CH58"/>
      <c r="CI58"/>
      <c r="CJ58"/>
      <c r="CK58"/>
      <c r="CL58"/>
      <c r="CM58"/>
      <c r="CN58"/>
      <c r="CO58"/>
      <c r="CP58" s="252"/>
    </row>
    <row r="59" spans="2:94" ht="16.5">
      <c r="V59" s="191"/>
      <c r="W59"/>
      <c r="X59" s="50" t="s">
        <v>171</v>
      </c>
      <c r="Y59" s="69">
        <v>95.71</v>
      </c>
      <c r="Z59" s="50" t="s">
        <v>170</v>
      </c>
      <c r="AA59" s="13" t="s">
        <v>254</v>
      </c>
      <c r="AB59"/>
      <c r="AC59" s="191"/>
      <c r="AD59"/>
      <c r="AE59"/>
      <c r="AF59"/>
      <c r="AG59"/>
      <c r="AH59"/>
      <c r="AI59"/>
      <c r="AJ59"/>
      <c r="AK59"/>
      <c r="AL59"/>
      <c r="AM59"/>
      <c r="AN59"/>
      <c r="AO59"/>
      <c r="AP59"/>
      <c r="AQ59"/>
      <c r="AR59"/>
      <c r="AS59"/>
      <c r="AT59"/>
      <c r="AU59"/>
      <c r="AV59"/>
      <c r="AW59"/>
      <c r="AX59"/>
      <c r="AY59"/>
      <c r="AZ59"/>
      <c r="BA59"/>
      <c r="BB59"/>
      <c r="BC59"/>
      <c r="BD59"/>
      <c r="BE59"/>
      <c r="BF59"/>
      <c r="BG59" s="191"/>
      <c r="BH59"/>
      <c r="BI59"/>
      <c r="BJ59"/>
      <c r="BK59"/>
      <c r="BL59"/>
      <c r="BM59"/>
      <c r="BN59"/>
      <c r="BO59"/>
      <c r="BP59"/>
      <c r="BQ59"/>
      <c r="BR59"/>
      <c r="BS59"/>
      <c r="BT59"/>
      <c r="BU59"/>
      <c r="BV59"/>
      <c r="BW59"/>
      <c r="BX59"/>
      <c r="BY59"/>
      <c r="BZ59"/>
      <c r="CA59"/>
      <c r="CB59" s="191"/>
      <c r="CC59"/>
      <c r="CD59"/>
      <c r="CE59"/>
      <c r="CF59"/>
      <c r="CG59"/>
      <c r="CH59"/>
      <c r="CI59"/>
      <c r="CJ59"/>
      <c r="CK59"/>
      <c r="CL59"/>
      <c r="CM59"/>
      <c r="CN59"/>
      <c r="CO59"/>
      <c r="CP59" s="252"/>
    </row>
    <row r="60" spans="2:94" ht="16.5">
      <c r="V60" s="191"/>
      <c r="W60"/>
      <c r="X60" s="50" t="s">
        <v>172</v>
      </c>
      <c r="Y60" s="69">
        <v>24.17</v>
      </c>
      <c r="Z60" s="50" t="s">
        <v>12</v>
      </c>
      <c r="AA60" s="13" t="s">
        <v>254</v>
      </c>
      <c r="AB60"/>
      <c r="AC60" s="191"/>
      <c r="AD60"/>
      <c r="AE60"/>
      <c r="AF60"/>
      <c r="AG60"/>
      <c r="AH60"/>
      <c r="AI60"/>
      <c r="AJ60"/>
      <c r="AK60"/>
      <c r="AL60"/>
      <c r="AM60"/>
      <c r="AN60"/>
      <c r="AO60"/>
      <c r="AP60"/>
      <c r="AQ60"/>
      <c r="AR60"/>
      <c r="AS60"/>
      <c r="AT60"/>
      <c r="AU60"/>
      <c r="AV60"/>
      <c r="AW60"/>
      <c r="AX60"/>
      <c r="AY60"/>
      <c r="AZ60"/>
      <c r="BA60"/>
      <c r="BB60"/>
      <c r="BC60"/>
      <c r="BD60"/>
      <c r="BE60"/>
      <c r="BF60"/>
      <c r="BG60" s="191"/>
      <c r="BH60"/>
      <c r="BI60"/>
      <c r="BJ60"/>
      <c r="BK60"/>
      <c r="BL60"/>
      <c r="BM60"/>
      <c r="BN60"/>
      <c r="BO60"/>
      <c r="BP60"/>
      <c r="BQ60"/>
      <c r="BR60"/>
      <c r="BS60"/>
      <c r="BT60"/>
      <c r="BU60"/>
      <c r="BV60"/>
      <c r="BW60"/>
      <c r="BX60"/>
      <c r="BY60"/>
      <c r="BZ60"/>
      <c r="CA60"/>
      <c r="CB60" s="191"/>
      <c r="CC60"/>
      <c r="CD60"/>
      <c r="CE60"/>
      <c r="CF60"/>
      <c r="CG60"/>
      <c r="CH60"/>
      <c r="CI60"/>
      <c r="CJ60"/>
      <c r="CK60"/>
      <c r="CL60"/>
      <c r="CM60"/>
      <c r="CN60"/>
      <c r="CO60"/>
      <c r="CP60" s="252"/>
    </row>
    <row r="61" spans="2:94" ht="16.5">
      <c r="V61" s="191"/>
      <c r="W61"/>
      <c r="X61" s="50" t="s">
        <v>173</v>
      </c>
      <c r="Y61" s="69">
        <v>28.5</v>
      </c>
      <c r="Z61" s="50" t="s">
        <v>12</v>
      </c>
      <c r="AA61" s="13" t="s">
        <v>254</v>
      </c>
      <c r="AB61"/>
      <c r="AC61" s="191"/>
      <c r="AD61"/>
      <c r="AE61"/>
      <c r="AF61"/>
      <c r="AG61"/>
      <c r="AH61"/>
      <c r="AI61"/>
      <c r="AJ61"/>
      <c r="AK61"/>
      <c r="AL61"/>
      <c r="AM61"/>
      <c r="AN61"/>
      <c r="AO61"/>
      <c r="AP61"/>
      <c r="AQ61"/>
      <c r="AR61"/>
      <c r="AS61"/>
      <c r="AT61"/>
      <c r="AU61"/>
      <c r="AV61"/>
      <c r="AW61"/>
      <c r="AX61"/>
      <c r="AY61"/>
      <c r="AZ61"/>
      <c r="BA61"/>
      <c r="BB61"/>
      <c r="BC61"/>
      <c r="BD61"/>
      <c r="BE61"/>
      <c r="BF61"/>
      <c r="BG61" s="191"/>
      <c r="BH61"/>
      <c r="BI61"/>
      <c r="BJ61"/>
      <c r="BK61"/>
      <c r="BL61"/>
      <c r="BM61"/>
      <c r="BN61"/>
      <c r="BO61"/>
      <c r="BP61"/>
      <c r="BQ61"/>
      <c r="BR61"/>
      <c r="BS61"/>
      <c r="BT61"/>
      <c r="BU61"/>
      <c r="BV61"/>
      <c r="BW61"/>
      <c r="BX61"/>
      <c r="BY61"/>
      <c r="BZ61"/>
      <c r="CA61"/>
      <c r="CB61" s="191"/>
      <c r="CC61"/>
      <c r="CD61"/>
      <c r="CE61"/>
      <c r="CF61"/>
      <c r="CG61"/>
      <c r="CH61"/>
      <c r="CI61"/>
      <c r="CJ61"/>
      <c r="CK61"/>
      <c r="CL61"/>
      <c r="CM61"/>
      <c r="CN61"/>
      <c r="CO61"/>
      <c r="CP61" s="252"/>
    </row>
    <row r="62" spans="2:94" ht="16.5">
      <c r="V62" s="191"/>
      <c r="W62"/>
      <c r="X62" s="50" t="s">
        <v>174</v>
      </c>
      <c r="Y62" s="69">
        <v>28.5</v>
      </c>
      <c r="Z62" s="50" t="s">
        <v>12</v>
      </c>
      <c r="AA62" s="13" t="s">
        <v>254</v>
      </c>
      <c r="AB62"/>
      <c r="AC62" s="191"/>
      <c r="AD62"/>
      <c r="AE62"/>
      <c r="AF62"/>
      <c r="AG62"/>
      <c r="AH62"/>
      <c r="AI62"/>
      <c r="AJ62"/>
      <c r="AK62"/>
      <c r="AL62"/>
      <c r="AM62"/>
      <c r="AN62"/>
      <c r="AO62"/>
      <c r="AP62"/>
      <c r="AQ62"/>
      <c r="AR62"/>
      <c r="AS62"/>
      <c r="AT62"/>
      <c r="AU62"/>
      <c r="AV62"/>
      <c r="AW62"/>
      <c r="AX62"/>
      <c r="AY62"/>
      <c r="AZ62"/>
      <c r="BA62"/>
      <c r="BB62"/>
      <c r="BC62"/>
      <c r="BD62"/>
      <c r="BE62"/>
      <c r="BF62"/>
      <c r="BG62" s="191"/>
      <c r="BH62"/>
      <c r="BI62"/>
      <c r="BJ62"/>
      <c r="BK62"/>
      <c r="BL62"/>
      <c r="BM62"/>
      <c r="BN62"/>
      <c r="BO62"/>
      <c r="BP62"/>
      <c r="BQ62"/>
      <c r="BR62"/>
      <c r="BS62"/>
      <c r="BT62"/>
      <c r="BU62"/>
      <c r="BV62"/>
      <c r="BW62"/>
      <c r="BX62"/>
      <c r="BY62"/>
      <c r="BZ62"/>
      <c r="CA62"/>
      <c r="CB62" s="191"/>
      <c r="CC62"/>
      <c r="CD62"/>
      <c r="CE62"/>
      <c r="CF62"/>
      <c r="CG62"/>
      <c r="CH62"/>
      <c r="CI62"/>
      <c r="CJ62"/>
      <c r="CK62"/>
      <c r="CL62"/>
      <c r="CM62"/>
      <c r="CN62"/>
      <c r="CO62"/>
      <c r="CP62" s="252"/>
    </row>
    <row r="63" spans="2:94" ht="16.5">
      <c r="V63" s="191"/>
      <c r="W63"/>
      <c r="X63" s="50" t="s">
        <v>175</v>
      </c>
      <c r="Y63" s="69">
        <v>25.31</v>
      </c>
      <c r="Z63" s="50" t="s">
        <v>12</v>
      </c>
      <c r="AA63" s="13" t="s">
        <v>254</v>
      </c>
      <c r="AB63"/>
      <c r="AC63" s="191"/>
      <c r="AD63"/>
      <c r="AE63"/>
      <c r="AF63"/>
      <c r="AG63"/>
      <c r="AH63"/>
      <c r="AI63"/>
      <c r="AJ63"/>
      <c r="AK63"/>
      <c r="AL63"/>
      <c r="AM63"/>
      <c r="AN63"/>
      <c r="AO63"/>
      <c r="AP63"/>
      <c r="AQ63"/>
      <c r="AR63"/>
      <c r="AS63"/>
      <c r="AT63"/>
      <c r="AU63"/>
      <c r="AV63"/>
      <c r="AW63"/>
      <c r="AX63"/>
      <c r="AY63"/>
      <c r="AZ63"/>
      <c r="BA63"/>
      <c r="BB63"/>
      <c r="BC63"/>
      <c r="BD63"/>
      <c r="BE63"/>
      <c r="BF63"/>
      <c r="BG63" s="191"/>
      <c r="BH63"/>
      <c r="BI63"/>
      <c r="BJ63"/>
      <c r="BK63"/>
      <c r="BL63"/>
      <c r="BM63"/>
      <c r="BN63"/>
      <c r="BO63"/>
      <c r="BP63"/>
      <c r="BQ63"/>
      <c r="BR63"/>
      <c r="BS63"/>
      <c r="BT63"/>
      <c r="BU63"/>
      <c r="BV63"/>
      <c r="BW63"/>
      <c r="BX63"/>
      <c r="BY63"/>
      <c r="BZ63"/>
      <c r="CA63"/>
      <c r="CB63" s="191"/>
      <c r="CC63"/>
      <c r="CD63"/>
      <c r="CE63"/>
      <c r="CF63"/>
      <c r="CG63"/>
      <c r="CH63"/>
      <c r="CI63"/>
      <c r="CJ63"/>
      <c r="CK63"/>
      <c r="CL63"/>
      <c r="CM63"/>
      <c r="CN63"/>
      <c r="CO63"/>
      <c r="CP63" s="252"/>
    </row>
    <row r="64" spans="2:94" ht="16.5">
      <c r="V64" s="191"/>
      <c r="W64"/>
      <c r="X64" s="50" t="s">
        <v>176</v>
      </c>
      <c r="Y64" s="69">
        <v>26.04</v>
      </c>
      <c r="Z64" s="50" t="s">
        <v>12</v>
      </c>
      <c r="AA64" s="13" t="s">
        <v>254</v>
      </c>
      <c r="AB64"/>
      <c r="AC64" s="191"/>
      <c r="AD64"/>
      <c r="AE64"/>
      <c r="AF64"/>
      <c r="AG64"/>
      <c r="AH64"/>
      <c r="AI64"/>
      <c r="AJ64"/>
      <c r="AK64"/>
      <c r="AL64"/>
      <c r="AM64"/>
      <c r="AN64"/>
      <c r="AO64"/>
      <c r="AP64"/>
      <c r="AQ64"/>
      <c r="AR64"/>
      <c r="AS64"/>
      <c r="AT64"/>
      <c r="AU64"/>
      <c r="AV64"/>
      <c r="AW64"/>
      <c r="AX64"/>
      <c r="AY64"/>
      <c r="AZ64"/>
      <c r="BA64"/>
      <c r="BB64"/>
      <c r="BC64"/>
      <c r="BD64"/>
      <c r="BE64"/>
      <c r="BF64"/>
      <c r="BG64" s="191"/>
      <c r="BH64"/>
      <c r="BI64"/>
      <c r="BJ64"/>
      <c r="BK64"/>
      <c r="BL64"/>
      <c r="BM64"/>
      <c r="BN64"/>
      <c r="BO64"/>
      <c r="BP64"/>
      <c r="BQ64"/>
      <c r="BR64"/>
      <c r="BS64"/>
      <c r="BT64"/>
      <c r="BU64"/>
      <c r="BV64"/>
      <c r="BW64"/>
      <c r="BX64"/>
      <c r="BY64"/>
      <c r="BZ64"/>
      <c r="CA64"/>
      <c r="CB64" s="191"/>
      <c r="CC64"/>
      <c r="CD64"/>
      <c r="CE64"/>
      <c r="CF64"/>
      <c r="CG64"/>
      <c r="CH64"/>
      <c r="CI64"/>
      <c r="CJ64"/>
      <c r="CK64"/>
      <c r="CL64"/>
      <c r="CM64"/>
      <c r="CN64"/>
      <c r="CO64"/>
      <c r="CP64" s="252"/>
    </row>
    <row r="65" spans="22:94" ht="16.5">
      <c r="V65" s="191"/>
      <c r="W65"/>
      <c r="X65" s="50" t="s">
        <v>177</v>
      </c>
      <c r="Y65" s="69">
        <v>22.33</v>
      </c>
      <c r="Z65" s="50" t="s">
        <v>12</v>
      </c>
      <c r="AA65" s="13" t="s">
        <v>254</v>
      </c>
      <c r="AB65"/>
      <c r="AC65" s="191"/>
      <c r="AD65"/>
      <c r="AE65"/>
      <c r="AF65"/>
      <c r="AG65"/>
      <c r="AH65"/>
      <c r="AI65"/>
      <c r="AJ65"/>
      <c r="AK65"/>
      <c r="AL65"/>
      <c r="AM65"/>
      <c r="AN65"/>
      <c r="AO65"/>
      <c r="AP65"/>
      <c r="AQ65"/>
      <c r="AR65"/>
      <c r="AS65"/>
      <c r="AT65"/>
      <c r="AU65"/>
      <c r="AV65"/>
      <c r="AW65"/>
      <c r="AX65"/>
      <c r="AY65"/>
      <c r="AZ65"/>
      <c r="BA65"/>
      <c r="BB65"/>
      <c r="BC65"/>
      <c r="BD65"/>
      <c r="BE65"/>
      <c r="BF65"/>
      <c r="BG65" s="191"/>
      <c r="BH65"/>
      <c r="BI65"/>
      <c r="BJ65"/>
      <c r="BK65"/>
      <c r="BL65"/>
      <c r="BM65"/>
      <c r="BN65"/>
      <c r="BO65"/>
      <c r="BP65"/>
      <c r="BQ65"/>
      <c r="BR65"/>
      <c r="BS65"/>
      <c r="BT65"/>
      <c r="BU65"/>
      <c r="BV65"/>
      <c r="BW65"/>
      <c r="BX65"/>
      <c r="BY65"/>
      <c r="BZ65"/>
      <c r="CA65"/>
      <c r="CB65" s="191"/>
      <c r="CC65"/>
      <c r="CD65"/>
      <c r="CE65"/>
      <c r="CF65"/>
      <c r="CG65"/>
      <c r="CH65"/>
      <c r="CI65"/>
      <c r="CJ65"/>
      <c r="CK65"/>
      <c r="CL65"/>
      <c r="CM65"/>
      <c r="CN65"/>
      <c r="CO65"/>
      <c r="CP65" s="252"/>
    </row>
    <row r="66" spans="22:94" ht="16.5">
      <c r="V66" s="191"/>
      <c r="W66"/>
      <c r="X66" s="50" t="s">
        <v>178</v>
      </c>
      <c r="Y66" s="69">
        <v>24.77</v>
      </c>
      <c r="Z66" s="50" t="s">
        <v>12</v>
      </c>
      <c r="AA66" s="13" t="s">
        <v>254</v>
      </c>
      <c r="AB66"/>
      <c r="AC66" s="191"/>
      <c r="AD66"/>
      <c r="AE66"/>
      <c r="AF66"/>
      <c r="AG66"/>
      <c r="AH66"/>
      <c r="AI66"/>
      <c r="AJ66"/>
      <c r="AK66"/>
      <c r="AL66"/>
      <c r="AM66"/>
      <c r="AN66"/>
      <c r="AO66"/>
      <c r="AP66"/>
      <c r="AQ66"/>
      <c r="AR66"/>
      <c r="AS66"/>
      <c r="AT66"/>
      <c r="AU66"/>
      <c r="AV66"/>
      <c r="AW66"/>
      <c r="AX66"/>
      <c r="AY66"/>
      <c r="AZ66"/>
      <c r="BA66"/>
      <c r="BB66"/>
      <c r="BC66"/>
      <c r="BD66"/>
      <c r="BE66"/>
      <c r="BF66"/>
      <c r="BG66" s="191"/>
      <c r="BH66"/>
      <c r="BI66"/>
      <c r="BJ66"/>
      <c r="BK66"/>
      <c r="BL66"/>
      <c r="BM66"/>
      <c r="BN66"/>
      <c r="BO66"/>
      <c r="BP66"/>
      <c r="BQ66"/>
      <c r="BR66"/>
      <c r="BS66"/>
      <c r="BT66"/>
      <c r="BU66"/>
      <c r="BV66"/>
      <c r="BW66"/>
      <c r="BX66"/>
      <c r="BY66"/>
      <c r="BZ66"/>
      <c r="CA66"/>
      <c r="CB66" s="191"/>
      <c r="CC66"/>
      <c r="CD66"/>
      <c r="CE66"/>
      <c r="CF66"/>
      <c r="CG66"/>
      <c r="CH66"/>
      <c r="CI66"/>
      <c r="CJ66"/>
      <c r="CK66"/>
      <c r="CL66"/>
      <c r="CM66"/>
      <c r="CN66"/>
      <c r="CO66"/>
      <c r="CP66" s="252"/>
    </row>
    <row r="67" spans="22:94" ht="16.5">
      <c r="V67" s="191"/>
      <c r="W67"/>
      <c r="X67" s="50" t="s">
        <v>179</v>
      </c>
      <c r="Y67" s="69">
        <v>24.81</v>
      </c>
      <c r="Z67" s="50" t="s">
        <v>12</v>
      </c>
      <c r="AA67" s="13" t="s">
        <v>254</v>
      </c>
      <c r="AB67"/>
      <c r="AC67" s="191"/>
      <c r="AD67"/>
      <c r="AE67"/>
      <c r="AF67"/>
      <c r="AG67"/>
      <c r="AH67"/>
      <c r="AI67"/>
      <c r="AJ67"/>
      <c r="AK67"/>
      <c r="AL67"/>
      <c r="AM67"/>
      <c r="AN67"/>
      <c r="AO67"/>
      <c r="AP67"/>
      <c r="AQ67"/>
      <c r="AR67"/>
      <c r="AS67"/>
      <c r="AT67"/>
      <c r="AU67"/>
      <c r="AV67"/>
      <c r="AW67"/>
      <c r="AX67"/>
      <c r="AY67"/>
      <c r="AZ67"/>
      <c r="BA67"/>
      <c r="BB67"/>
      <c r="BC67"/>
      <c r="BD67"/>
      <c r="BE67"/>
      <c r="BF67"/>
      <c r="BG67" s="191"/>
      <c r="BH67"/>
      <c r="BI67"/>
      <c r="BJ67"/>
      <c r="BK67"/>
      <c r="BL67"/>
      <c r="BM67"/>
      <c r="BN67"/>
      <c r="BO67"/>
      <c r="BP67"/>
      <c r="BQ67"/>
      <c r="BR67"/>
      <c r="BS67"/>
      <c r="BT67"/>
      <c r="BU67"/>
      <c r="BV67"/>
      <c r="BW67"/>
      <c r="BX67"/>
      <c r="BY67"/>
      <c r="BZ67"/>
      <c r="CA67"/>
      <c r="CB67" s="191"/>
      <c r="CC67"/>
      <c r="CD67"/>
      <c r="CE67"/>
      <c r="CF67"/>
      <c r="CG67"/>
      <c r="CH67"/>
      <c r="CI67"/>
      <c r="CJ67"/>
      <c r="CK67"/>
      <c r="CL67"/>
      <c r="CM67"/>
      <c r="CN67"/>
      <c r="CO67"/>
      <c r="CP67" s="252"/>
    </row>
    <row r="68" spans="22:94" ht="16.5">
      <c r="V68" s="191"/>
      <c r="W68"/>
      <c r="X68" s="50" t="s">
        <v>180</v>
      </c>
      <c r="Y68" s="69">
        <v>29.07</v>
      </c>
      <c r="Z68" s="50" t="s">
        <v>12</v>
      </c>
      <c r="AA68" s="13" t="s">
        <v>254</v>
      </c>
      <c r="AB68"/>
      <c r="AC68" s="191"/>
      <c r="AD68"/>
      <c r="AE68"/>
      <c r="AF68"/>
      <c r="AG68"/>
      <c r="AH68"/>
      <c r="AI68"/>
      <c r="AJ68"/>
      <c r="AK68"/>
      <c r="AL68"/>
      <c r="AM68"/>
      <c r="AN68"/>
      <c r="AO68"/>
      <c r="AP68"/>
      <c r="AQ68"/>
      <c r="AR68"/>
      <c r="AS68"/>
      <c r="AT68"/>
      <c r="AU68"/>
      <c r="AV68"/>
      <c r="AW68"/>
      <c r="AX68"/>
      <c r="AY68"/>
      <c r="AZ68"/>
      <c r="BA68"/>
      <c r="BB68"/>
      <c r="BC68"/>
      <c r="BD68"/>
      <c r="BE68"/>
      <c r="BF68"/>
      <c r="BG68" s="191"/>
      <c r="BH68"/>
      <c r="BI68"/>
      <c r="BJ68"/>
      <c r="BK68"/>
      <c r="BL68"/>
      <c r="BM68"/>
      <c r="BN68"/>
      <c r="BO68"/>
      <c r="BP68"/>
      <c r="BQ68"/>
      <c r="BR68"/>
      <c r="BS68"/>
      <c r="BT68"/>
      <c r="BU68"/>
      <c r="BV68"/>
      <c r="BW68"/>
      <c r="BX68"/>
      <c r="BY68"/>
      <c r="BZ68"/>
      <c r="CA68"/>
      <c r="CB68" s="191"/>
      <c r="CC68"/>
      <c r="CD68"/>
      <c r="CE68"/>
      <c r="CF68"/>
      <c r="CG68"/>
      <c r="CH68"/>
      <c r="CI68"/>
      <c r="CJ68"/>
      <c r="CK68"/>
      <c r="CL68"/>
      <c r="CM68"/>
      <c r="CN68"/>
      <c r="CO68"/>
      <c r="CP68" s="252"/>
    </row>
    <row r="69" spans="22:94" ht="16.5">
      <c r="V69" s="191"/>
      <c r="W69"/>
      <c r="X69" s="50" t="s">
        <v>181</v>
      </c>
      <c r="Y69" s="69">
        <v>27.89</v>
      </c>
      <c r="Z69" s="50" t="s">
        <v>12</v>
      </c>
      <c r="AA69" s="13" t="s">
        <v>254</v>
      </c>
      <c r="AB69"/>
      <c r="AC69" s="191"/>
      <c r="AD69"/>
      <c r="AE69"/>
      <c r="AF69"/>
      <c r="AG69"/>
      <c r="AH69"/>
      <c r="AI69"/>
      <c r="AJ69"/>
      <c r="AK69"/>
      <c r="AL69"/>
      <c r="AM69"/>
      <c r="AN69"/>
      <c r="AO69"/>
      <c r="AP69"/>
      <c r="AQ69"/>
      <c r="AR69"/>
      <c r="AS69"/>
      <c r="AT69"/>
      <c r="AU69"/>
      <c r="AV69"/>
      <c r="AW69"/>
      <c r="AX69"/>
      <c r="AY69"/>
      <c r="AZ69"/>
      <c r="BA69"/>
      <c r="BB69"/>
      <c r="BC69"/>
      <c r="BD69"/>
      <c r="BE69"/>
      <c r="BF69"/>
      <c r="BG69" s="191"/>
      <c r="BH69"/>
      <c r="BI69"/>
      <c r="BJ69"/>
      <c r="BK69"/>
      <c r="BL69"/>
      <c r="BM69"/>
      <c r="BN69"/>
      <c r="BO69"/>
      <c r="BP69"/>
      <c r="BQ69"/>
      <c r="BR69"/>
      <c r="BS69"/>
      <c r="BT69"/>
      <c r="BU69"/>
      <c r="BV69"/>
      <c r="BW69"/>
      <c r="BX69"/>
      <c r="BY69"/>
      <c r="BZ69"/>
      <c r="CA69"/>
      <c r="CB69" s="191"/>
      <c r="CC69"/>
      <c r="CD69"/>
      <c r="CE69"/>
      <c r="CF69"/>
      <c r="CG69"/>
      <c r="CH69"/>
      <c r="CI69"/>
      <c r="CJ69"/>
      <c r="CK69"/>
      <c r="CL69"/>
      <c r="CM69"/>
      <c r="CN69"/>
      <c r="CO69"/>
      <c r="CP69" s="252"/>
    </row>
    <row r="70" spans="22:94" ht="16.5">
      <c r="V70" s="191"/>
      <c r="W70"/>
      <c r="X70" s="50" t="s">
        <v>182</v>
      </c>
      <c r="Y70" s="69">
        <v>25.72</v>
      </c>
      <c r="Z70" s="50" t="s">
        <v>12</v>
      </c>
      <c r="AA70" s="13" t="s">
        <v>254</v>
      </c>
      <c r="AB70"/>
      <c r="AC70" s="191"/>
      <c r="AD70"/>
      <c r="AE70"/>
      <c r="AF70"/>
      <c r="AG70"/>
      <c r="AH70"/>
      <c r="AI70"/>
      <c r="AJ70"/>
      <c r="AK70"/>
      <c r="AL70"/>
      <c r="AM70"/>
      <c r="AN70"/>
      <c r="AO70"/>
      <c r="AP70"/>
      <c r="AQ70"/>
      <c r="AR70"/>
      <c r="AS70"/>
      <c r="AT70"/>
      <c r="AU70"/>
      <c r="AV70"/>
      <c r="AW70"/>
      <c r="AX70"/>
      <c r="AY70"/>
      <c r="AZ70"/>
      <c r="BA70"/>
      <c r="BB70"/>
      <c r="BC70"/>
      <c r="BD70"/>
      <c r="BE70"/>
      <c r="BF70"/>
      <c r="BG70" s="191"/>
      <c r="BH70"/>
      <c r="BI70"/>
      <c r="BJ70"/>
      <c r="BK70"/>
      <c r="BL70"/>
      <c r="BM70"/>
      <c r="BN70"/>
      <c r="BO70"/>
      <c r="BP70"/>
      <c r="BQ70"/>
      <c r="BR70"/>
      <c r="BS70"/>
      <c r="BT70"/>
      <c r="BU70"/>
      <c r="BV70"/>
      <c r="BW70"/>
      <c r="BX70"/>
      <c r="BY70"/>
      <c r="BZ70"/>
      <c r="CA70"/>
      <c r="CB70" s="191"/>
      <c r="CC70"/>
      <c r="CD70"/>
      <c r="CE70"/>
      <c r="CF70"/>
      <c r="CG70"/>
      <c r="CH70"/>
      <c r="CI70"/>
      <c r="CJ70"/>
      <c r="CK70"/>
      <c r="CL70"/>
      <c r="CM70"/>
      <c r="CN70"/>
      <c r="CO70"/>
      <c r="CP70" s="252"/>
    </row>
    <row r="71" spans="22:94" ht="16.5">
      <c r="V71" s="191"/>
      <c r="W71"/>
      <c r="X71" s="50" t="s">
        <v>183</v>
      </c>
      <c r="Y71" s="69">
        <v>21</v>
      </c>
      <c r="Z71" s="50" t="s">
        <v>12</v>
      </c>
      <c r="AA71" s="13" t="s">
        <v>254</v>
      </c>
      <c r="AB71"/>
      <c r="AC71" s="191"/>
      <c r="AD71"/>
      <c r="AE71"/>
      <c r="AF71"/>
      <c r="AG71"/>
      <c r="AH71"/>
      <c r="AI71"/>
      <c r="AJ71"/>
      <c r="AK71"/>
      <c r="AL71"/>
      <c r="AM71"/>
      <c r="AN71"/>
      <c r="AO71"/>
      <c r="AP71"/>
      <c r="AQ71"/>
      <c r="AR71"/>
      <c r="AS71"/>
      <c r="AT71"/>
      <c r="AU71"/>
      <c r="AV71"/>
      <c r="AW71"/>
      <c r="AX71"/>
      <c r="AY71"/>
      <c r="AZ71"/>
      <c r="BA71"/>
      <c r="BB71"/>
      <c r="BC71"/>
      <c r="BD71"/>
      <c r="BE71"/>
      <c r="BF71"/>
      <c r="BG71" s="191"/>
      <c r="BH71"/>
      <c r="BI71"/>
      <c r="BJ71"/>
      <c r="BK71"/>
      <c r="BL71"/>
      <c r="BM71"/>
      <c r="BN71"/>
      <c r="BO71"/>
      <c r="BP71"/>
      <c r="BQ71"/>
      <c r="BR71"/>
      <c r="BS71"/>
      <c r="BT71"/>
      <c r="BU71"/>
      <c r="BV71"/>
      <c r="BW71"/>
      <c r="BX71"/>
      <c r="BY71"/>
      <c r="BZ71"/>
      <c r="CA71"/>
      <c r="CB71" s="191"/>
      <c r="CC71"/>
      <c r="CD71"/>
      <c r="CE71"/>
      <c r="CF71"/>
      <c r="CG71"/>
      <c r="CH71"/>
      <c r="CI71"/>
      <c r="CJ71"/>
      <c r="CK71"/>
      <c r="CL71"/>
      <c r="CM71"/>
      <c r="CN71"/>
      <c r="CO71"/>
      <c r="CP71" s="252"/>
    </row>
    <row r="72" spans="22:94" ht="16.5">
      <c r="V72" s="191"/>
      <c r="W72"/>
      <c r="X72" s="50" t="s">
        <v>440</v>
      </c>
      <c r="Y72" s="69">
        <v>15</v>
      </c>
      <c r="Z72" s="50" t="s">
        <v>12</v>
      </c>
      <c r="AA72" s="13"/>
      <c r="AB72"/>
      <c r="AC72" s="191"/>
      <c r="AD72"/>
      <c r="AE72"/>
      <c r="AF72"/>
      <c r="AG72"/>
      <c r="AH72"/>
      <c r="AI72"/>
      <c r="AJ72"/>
      <c r="AK72"/>
      <c r="AL72"/>
      <c r="AM72"/>
      <c r="AN72"/>
      <c r="AO72"/>
      <c r="AP72"/>
      <c r="AQ72"/>
      <c r="AR72"/>
      <c r="AS72"/>
      <c r="AT72"/>
      <c r="AU72"/>
      <c r="AV72"/>
      <c r="AW72"/>
      <c r="AX72"/>
      <c r="AY72"/>
      <c r="AZ72"/>
      <c r="BA72"/>
      <c r="BB72"/>
      <c r="BC72"/>
      <c r="BD72"/>
      <c r="BE72"/>
      <c r="BF72"/>
      <c r="BG72" s="191"/>
      <c r="BH72"/>
      <c r="BI72"/>
      <c r="BJ72"/>
      <c r="BK72"/>
      <c r="BL72"/>
      <c r="BM72"/>
      <c r="BN72"/>
      <c r="BO72"/>
      <c r="BP72"/>
      <c r="BQ72"/>
      <c r="BR72"/>
      <c r="BS72"/>
      <c r="BT72"/>
      <c r="BU72"/>
      <c r="BV72"/>
      <c r="BW72"/>
      <c r="BX72"/>
      <c r="BY72"/>
      <c r="BZ72"/>
      <c r="CA72"/>
      <c r="CB72" s="191"/>
      <c r="CC72"/>
      <c r="CD72"/>
      <c r="CE72"/>
      <c r="CF72"/>
      <c r="CG72"/>
      <c r="CH72"/>
      <c r="CI72"/>
      <c r="CJ72"/>
      <c r="CK72"/>
      <c r="CL72"/>
      <c r="CM72"/>
      <c r="CN72"/>
      <c r="CO72"/>
      <c r="CP72" s="252"/>
    </row>
    <row r="73" spans="22:94" ht="16.5">
      <c r="V73" s="191"/>
      <c r="W73"/>
      <c r="X73" s="50" t="s">
        <v>21</v>
      </c>
      <c r="Y73" s="69">
        <v>7.02</v>
      </c>
      <c r="Z73" s="50" t="s">
        <v>12</v>
      </c>
      <c r="AA73" s="13" t="s">
        <v>254</v>
      </c>
      <c r="AB73"/>
      <c r="AC73" s="191"/>
      <c r="AD73"/>
      <c r="AE73"/>
      <c r="AF73"/>
      <c r="AG73"/>
      <c r="AH73"/>
      <c r="AI73"/>
      <c r="AJ73"/>
      <c r="AK73"/>
      <c r="AL73"/>
      <c r="AM73"/>
      <c r="AN73"/>
      <c r="AO73"/>
      <c r="AP73"/>
      <c r="AQ73"/>
      <c r="AR73"/>
      <c r="AS73"/>
      <c r="AT73"/>
      <c r="AU73"/>
      <c r="AV73"/>
      <c r="AW73"/>
      <c r="AX73"/>
      <c r="AY73"/>
      <c r="AZ73"/>
      <c r="BA73"/>
      <c r="BB73"/>
      <c r="BC73"/>
      <c r="BD73"/>
      <c r="BE73"/>
      <c r="BF73"/>
      <c r="BG73" s="191"/>
      <c r="BH73"/>
      <c r="BI73"/>
      <c r="BJ73"/>
      <c r="BK73"/>
      <c r="BL73"/>
      <c r="BM73"/>
      <c r="BN73"/>
      <c r="BO73"/>
      <c r="BP73"/>
      <c r="BQ73"/>
      <c r="BR73"/>
      <c r="BS73"/>
      <c r="BT73"/>
      <c r="BU73"/>
      <c r="BV73"/>
      <c r="BW73"/>
      <c r="BX73"/>
      <c r="BY73"/>
      <c r="BZ73"/>
      <c r="CA73"/>
      <c r="CB73" s="191"/>
      <c r="CC73"/>
      <c r="CD73"/>
      <c r="CE73"/>
      <c r="CF73"/>
      <c r="CG73"/>
      <c r="CH73"/>
      <c r="CI73"/>
      <c r="CJ73"/>
      <c r="CK73"/>
      <c r="CL73"/>
      <c r="CM73"/>
      <c r="CN73"/>
      <c r="CO73"/>
      <c r="CP73" s="252"/>
    </row>
    <row r="74" spans="22:94" ht="16.5">
      <c r="V74" s="191"/>
      <c r="W74"/>
      <c r="X74" s="50" t="s">
        <v>184</v>
      </c>
      <c r="Y74" s="69">
        <v>10.06</v>
      </c>
      <c r="Z74" s="50" t="s">
        <v>12</v>
      </c>
      <c r="AA74" s="13" t="s">
        <v>254</v>
      </c>
      <c r="AB74"/>
      <c r="AC74" s="191"/>
      <c r="AD74"/>
      <c r="AE74"/>
      <c r="AF74"/>
      <c r="AG74"/>
      <c r="AH74"/>
      <c r="AI74"/>
      <c r="AJ74"/>
      <c r="AK74"/>
      <c r="AL74"/>
      <c r="AM74"/>
      <c r="AN74"/>
      <c r="AO74"/>
      <c r="AP74"/>
      <c r="AQ74"/>
      <c r="AR74"/>
      <c r="AS74"/>
      <c r="AT74"/>
      <c r="AU74"/>
      <c r="AV74"/>
      <c r="AW74"/>
      <c r="AX74"/>
      <c r="AY74"/>
      <c r="AZ74"/>
      <c r="BA74"/>
      <c r="BB74"/>
      <c r="BC74"/>
      <c r="BD74"/>
      <c r="BE74"/>
      <c r="BF74"/>
      <c r="BG74" s="191"/>
      <c r="BH74"/>
      <c r="BI74"/>
      <c r="BJ74"/>
      <c r="BK74"/>
      <c r="BL74"/>
      <c r="BM74"/>
      <c r="BN74"/>
      <c r="BO74"/>
      <c r="BP74"/>
      <c r="BQ74"/>
      <c r="BR74"/>
      <c r="BS74"/>
      <c r="BT74"/>
      <c r="BU74"/>
      <c r="BV74"/>
      <c r="BW74"/>
      <c r="BX74"/>
      <c r="BY74"/>
      <c r="BZ74"/>
      <c r="CA74"/>
      <c r="CB74" s="191"/>
      <c r="CC74"/>
      <c r="CD74"/>
      <c r="CE74"/>
      <c r="CF74"/>
      <c r="CG74"/>
      <c r="CH74"/>
      <c r="CI74"/>
      <c r="CJ74"/>
      <c r="CK74"/>
      <c r="CL74"/>
      <c r="CM74"/>
      <c r="CN74"/>
      <c r="CO74"/>
      <c r="CP74" s="252"/>
    </row>
    <row r="75" spans="22:94" ht="16.5">
      <c r="V75" s="191"/>
      <c r="W75"/>
      <c r="X75" s="50" t="s">
        <v>185</v>
      </c>
      <c r="Y75" s="69">
        <v>9.93</v>
      </c>
      <c r="Z75" s="50" t="s">
        <v>12</v>
      </c>
      <c r="AA75" s="13" t="s">
        <v>254</v>
      </c>
      <c r="AB75"/>
      <c r="AC75" s="191"/>
      <c r="AD75"/>
      <c r="AE75"/>
      <c r="AF75"/>
      <c r="AG75"/>
      <c r="AH75"/>
      <c r="AI75"/>
      <c r="AJ75"/>
      <c r="AK75"/>
      <c r="AL75"/>
      <c r="AM75"/>
      <c r="AN75"/>
      <c r="AO75"/>
      <c r="AP75"/>
      <c r="AQ75"/>
      <c r="AR75"/>
      <c r="AS75"/>
      <c r="AT75"/>
      <c r="AU75"/>
      <c r="AV75"/>
      <c r="AW75"/>
      <c r="AX75"/>
      <c r="AY75"/>
      <c r="AZ75"/>
      <c r="BA75"/>
      <c r="BB75"/>
      <c r="BC75"/>
      <c r="BD75"/>
      <c r="BE75"/>
      <c r="BF75"/>
      <c r="BG75" s="191"/>
      <c r="BH75"/>
      <c r="BI75"/>
      <c r="BJ75"/>
      <c r="BK75"/>
      <c r="BL75"/>
      <c r="BM75"/>
      <c r="BN75"/>
      <c r="BO75"/>
      <c r="BP75"/>
      <c r="BQ75"/>
      <c r="BR75"/>
      <c r="BS75"/>
      <c r="BT75"/>
      <c r="BU75"/>
      <c r="BV75"/>
      <c r="BW75"/>
      <c r="BX75"/>
      <c r="BY75"/>
      <c r="BZ75"/>
      <c r="CA75"/>
      <c r="CB75" s="191"/>
      <c r="CC75"/>
      <c r="CD75"/>
      <c r="CE75"/>
      <c r="CF75"/>
      <c r="CG75"/>
      <c r="CH75"/>
      <c r="CI75"/>
      <c r="CJ75"/>
      <c r="CK75"/>
      <c r="CL75"/>
      <c r="CM75"/>
      <c r="CN75"/>
      <c r="CO75"/>
      <c r="CP75" s="252"/>
    </row>
    <row r="76" spans="22:94" ht="16.5">
      <c r="V76" s="191"/>
      <c r="W76"/>
      <c r="X76" s="50" t="s">
        <v>186</v>
      </c>
      <c r="Y76" s="69">
        <v>7.25</v>
      </c>
      <c r="Z76" s="50" t="s">
        <v>12</v>
      </c>
      <c r="AA76" s="13" t="s">
        <v>254</v>
      </c>
      <c r="AB76"/>
      <c r="AC76" s="191"/>
      <c r="AD76"/>
      <c r="AE76"/>
      <c r="AF76"/>
      <c r="AG76"/>
      <c r="AH76"/>
      <c r="AI76"/>
      <c r="AJ76"/>
      <c r="AK76"/>
      <c r="AL76"/>
      <c r="AM76"/>
      <c r="AN76"/>
      <c r="AO76"/>
      <c r="AP76"/>
      <c r="AQ76"/>
      <c r="AR76"/>
      <c r="AS76"/>
      <c r="AT76"/>
      <c r="AU76"/>
      <c r="AV76"/>
      <c r="AW76"/>
      <c r="AX76"/>
      <c r="AY76"/>
      <c r="AZ76"/>
      <c r="BA76"/>
      <c r="BB76"/>
      <c r="BC76"/>
      <c r="BD76"/>
      <c r="BE76"/>
      <c r="BF76"/>
      <c r="BG76" s="191"/>
      <c r="BH76"/>
      <c r="BI76"/>
      <c r="BJ76"/>
      <c r="BK76"/>
      <c r="BL76"/>
      <c r="BM76"/>
      <c r="BN76"/>
      <c r="BO76"/>
      <c r="BP76"/>
      <c r="BQ76"/>
      <c r="BR76"/>
      <c r="BS76"/>
      <c r="BT76"/>
      <c r="BU76"/>
      <c r="BV76"/>
      <c r="BW76"/>
      <c r="BX76"/>
      <c r="BY76"/>
      <c r="BZ76"/>
      <c r="CA76"/>
      <c r="CB76" s="191"/>
      <c r="CC76"/>
      <c r="CD76"/>
      <c r="CE76"/>
      <c r="CF76"/>
      <c r="CG76"/>
      <c r="CH76"/>
      <c r="CI76"/>
      <c r="CJ76"/>
      <c r="CK76"/>
      <c r="CL76"/>
      <c r="CM76"/>
      <c r="CN76"/>
      <c r="CO76"/>
      <c r="CP76" s="252"/>
    </row>
    <row r="77" spans="22:94" ht="16.5">
      <c r="V77" s="191"/>
      <c r="W77"/>
      <c r="X77" s="50" t="s">
        <v>187</v>
      </c>
      <c r="Y77" s="69">
        <v>7.81</v>
      </c>
      <c r="Z77" s="50" t="s">
        <v>12</v>
      </c>
      <c r="AA77" s="13" t="s">
        <v>254</v>
      </c>
      <c r="AB77"/>
      <c r="AC77" s="191"/>
      <c r="AD77"/>
      <c r="AE77"/>
      <c r="AF77"/>
      <c r="AG77"/>
      <c r="AH77"/>
      <c r="AI77"/>
      <c r="AJ77"/>
      <c r="AK77"/>
      <c r="AL77"/>
      <c r="AM77"/>
      <c r="AN77"/>
      <c r="AO77"/>
      <c r="AP77"/>
      <c r="AQ77"/>
      <c r="AR77"/>
      <c r="AS77"/>
      <c r="AT77"/>
      <c r="AU77"/>
      <c r="AV77"/>
      <c r="AW77"/>
      <c r="AX77"/>
      <c r="AY77"/>
      <c r="AZ77"/>
      <c r="BA77"/>
      <c r="BB77"/>
      <c r="BC77"/>
      <c r="BD77"/>
      <c r="BE77"/>
      <c r="BF77"/>
      <c r="BG77" s="191"/>
      <c r="BH77"/>
      <c r="BI77"/>
      <c r="BJ77"/>
      <c r="BK77"/>
      <c r="BL77"/>
      <c r="BM77"/>
      <c r="BN77"/>
      <c r="BO77"/>
      <c r="BP77"/>
      <c r="BQ77"/>
      <c r="BR77"/>
      <c r="BS77"/>
      <c r="BT77"/>
      <c r="BU77"/>
      <c r="BV77"/>
      <c r="BW77"/>
      <c r="BX77"/>
      <c r="BY77"/>
      <c r="BZ77"/>
      <c r="CA77"/>
      <c r="CB77" s="191"/>
      <c r="CC77"/>
      <c r="CD77"/>
      <c r="CE77"/>
      <c r="CF77"/>
      <c r="CG77"/>
      <c r="CH77"/>
      <c r="CI77"/>
      <c r="CJ77"/>
      <c r="CK77"/>
      <c r="CL77"/>
      <c r="CM77"/>
      <c r="CN77"/>
      <c r="CO77"/>
      <c r="CP77" s="252"/>
    </row>
    <row r="78" spans="22:94" ht="16.5">
      <c r="V78" s="191"/>
      <c r="W78"/>
      <c r="X78" s="50" t="s">
        <v>188</v>
      </c>
      <c r="Y78" s="69">
        <v>7.84</v>
      </c>
      <c r="Z78" s="50" t="s">
        <v>12</v>
      </c>
      <c r="AA78" s="13" t="s">
        <v>254</v>
      </c>
      <c r="AB78"/>
      <c r="AC78" s="191"/>
      <c r="AD78"/>
      <c r="AE78"/>
      <c r="AF78"/>
      <c r="AG78"/>
      <c r="AH78"/>
      <c r="AI78"/>
      <c r="AJ78"/>
      <c r="AK78"/>
      <c r="AL78"/>
      <c r="AM78"/>
      <c r="AN78"/>
      <c r="AO78"/>
      <c r="AP78"/>
      <c r="AQ78"/>
      <c r="AR78"/>
      <c r="AS78"/>
      <c r="AT78"/>
      <c r="AU78"/>
      <c r="AV78"/>
      <c r="AW78"/>
      <c r="AX78"/>
      <c r="AY78"/>
      <c r="AZ78"/>
      <c r="BA78"/>
      <c r="BB78"/>
      <c r="BC78"/>
      <c r="BD78"/>
      <c r="BE78"/>
      <c r="BF78"/>
      <c r="BG78" s="191"/>
      <c r="BH78"/>
      <c r="BI78"/>
      <c r="BJ78"/>
      <c r="BK78"/>
      <c r="BL78"/>
      <c r="BM78"/>
      <c r="BN78"/>
      <c r="BO78"/>
      <c r="BP78"/>
      <c r="BQ78"/>
      <c r="BR78"/>
      <c r="BS78"/>
      <c r="BT78"/>
      <c r="BU78"/>
      <c r="BV78"/>
      <c r="BW78"/>
      <c r="BX78"/>
      <c r="BY78"/>
      <c r="BZ78"/>
      <c r="CA78"/>
      <c r="CB78" s="191"/>
      <c r="CC78"/>
      <c r="CD78"/>
      <c r="CE78"/>
      <c r="CF78"/>
      <c r="CG78"/>
      <c r="CH78"/>
      <c r="CI78"/>
      <c r="CJ78"/>
      <c r="CK78"/>
      <c r="CL78"/>
      <c r="CM78"/>
      <c r="CN78"/>
      <c r="CO78"/>
      <c r="CP78" s="252"/>
    </row>
    <row r="79" spans="22:94" ht="16.5">
      <c r="V79" s="191"/>
      <c r="W79"/>
      <c r="X79" s="50" t="s">
        <v>189</v>
      </c>
      <c r="Y79" s="69">
        <v>7.9</v>
      </c>
      <c r="Z79" s="50" t="s">
        <v>12</v>
      </c>
      <c r="AA79" s="13" t="s">
        <v>254</v>
      </c>
      <c r="AB79"/>
      <c r="AC79" s="191"/>
      <c r="AD79"/>
      <c r="AE79"/>
      <c r="AF79"/>
      <c r="AG79"/>
      <c r="AH79"/>
      <c r="AI79"/>
      <c r="AJ79"/>
      <c r="AK79"/>
      <c r="AL79"/>
      <c r="AM79"/>
      <c r="AN79"/>
      <c r="AO79"/>
      <c r="AP79"/>
      <c r="AQ79"/>
      <c r="AR79"/>
      <c r="AS79"/>
      <c r="AT79"/>
      <c r="AU79"/>
      <c r="AV79"/>
      <c r="AW79"/>
      <c r="AX79"/>
      <c r="AY79"/>
      <c r="AZ79"/>
      <c r="BA79"/>
      <c r="BB79"/>
      <c r="BC79"/>
      <c r="BD79"/>
      <c r="BE79"/>
      <c r="BF79"/>
      <c r="BG79" s="191"/>
      <c r="BH79"/>
      <c r="BI79"/>
      <c r="BJ79"/>
      <c r="BK79"/>
      <c r="BL79"/>
      <c r="BM79"/>
      <c r="BN79"/>
      <c r="BO79"/>
      <c r="BP79"/>
      <c r="BQ79"/>
      <c r="BR79"/>
      <c r="BS79"/>
      <c r="BT79"/>
      <c r="BU79"/>
      <c r="BV79"/>
      <c r="BW79"/>
      <c r="BX79"/>
      <c r="BY79"/>
      <c r="BZ79"/>
      <c r="CA79"/>
      <c r="CB79" s="191"/>
      <c r="CC79"/>
      <c r="CD79"/>
      <c r="CE79"/>
      <c r="CF79"/>
      <c r="CG79"/>
      <c r="CH79"/>
      <c r="CI79"/>
      <c r="CJ79"/>
      <c r="CK79"/>
      <c r="CL79"/>
      <c r="CM79"/>
      <c r="CN79"/>
      <c r="CO79"/>
      <c r="CP79" s="252"/>
    </row>
    <row r="80" spans="22:94" ht="16.5">
      <c r="V80" s="191"/>
      <c r="W80"/>
      <c r="X80" s="50" t="s">
        <v>190</v>
      </c>
      <c r="Y80" s="69">
        <v>18.53</v>
      </c>
      <c r="Z80" s="50" t="s">
        <v>12</v>
      </c>
      <c r="AA80" s="13" t="s">
        <v>254</v>
      </c>
      <c r="AB80"/>
      <c r="AC80" s="191"/>
      <c r="AD80"/>
      <c r="AE80"/>
      <c r="AF80"/>
      <c r="AG80"/>
      <c r="AH80"/>
      <c r="AI80"/>
      <c r="AJ80"/>
      <c r="AK80"/>
      <c r="AL80"/>
      <c r="AM80"/>
      <c r="AN80"/>
      <c r="AO80"/>
      <c r="AP80"/>
      <c r="AQ80"/>
      <c r="AR80"/>
      <c r="AS80"/>
      <c r="AT80"/>
      <c r="AU80"/>
      <c r="AV80"/>
      <c r="AW80"/>
      <c r="AX80"/>
      <c r="AY80"/>
      <c r="AZ80"/>
      <c r="BA80"/>
      <c r="BB80"/>
      <c r="BC80"/>
      <c r="BD80"/>
      <c r="BE80"/>
      <c r="BF80"/>
      <c r="BG80" s="191"/>
      <c r="BH80"/>
      <c r="BI80"/>
      <c r="BJ80"/>
      <c r="BK80"/>
      <c r="BL80"/>
      <c r="BM80"/>
      <c r="BN80"/>
      <c r="BO80"/>
      <c r="BP80"/>
      <c r="BQ80"/>
      <c r="BR80"/>
      <c r="BS80"/>
      <c r="BT80"/>
      <c r="BU80"/>
      <c r="BV80"/>
      <c r="BW80"/>
      <c r="BX80"/>
      <c r="BY80"/>
      <c r="BZ80"/>
      <c r="CA80"/>
      <c r="CB80" s="191"/>
      <c r="CC80"/>
      <c r="CD80"/>
      <c r="CE80"/>
      <c r="CF80"/>
      <c r="CG80"/>
      <c r="CH80"/>
      <c r="CI80"/>
      <c r="CJ80"/>
      <c r="CK80"/>
      <c r="CL80"/>
      <c r="CM80"/>
      <c r="CN80"/>
      <c r="CO80"/>
      <c r="CP80" s="252"/>
    </row>
    <row r="81" spans="22:94" ht="16.5">
      <c r="V81" s="191"/>
      <c r="W81"/>
      <c r="X81" s="50" t="s">
        <v>191</v>
      </c>
      <c r="Y81" s="69">
        <v>27.5</v>
      </c>
      <c r="Z81" s="50" t="s">
        <v>192</v>
      </c>
      <c r="AA81" s="13" t="s">
        <v>254</v>
      </c>
      <c r="AB81"/>
      <c r="AC81" s="191"/>
      <c r="AD81"/>
      <c r="AE81"/>
      <c r="AF81"/>
      <c r="AG81"/>
      <c r="AH81"/>
      <c r="AI81"/>
      <c r="AJ81"/>
      <c r="AK81"/>
      <c r="AL81"/>
      <c r="AM81"/>
      <c r="AN81"/>
      <c r="AO81"/>
      <c r="AP81"/>
      <c r="AQ81"/>
      <c r="AR81"/>
      <c r="AS81"/>
      <c r="AT81"/>
      <c r="AU81"/>
      <c r="AV81"/>
      <c r="AW81"/>
      <c r="AX81"/>
      <c r="AY81"/>
      <c r="AZ81"/>
      <c r="BA81"/>
      <c r="BB81"/>
      <c r="BC81"/>
      <c r="BD81"/>
      <c r="BE81"/>
      <c r="BF81"/>
      <c r="BG81" s="191"/>
      <c r="BH81"/>
      <c r="BI81"/>
      <c r="BJ81"/>
      <c r="BK81"/>
      <c r="BL81"/>
      <c r="BM81"/>
      <c r="BN81"/>
      <c r="BO81"/>
      <c r="BP81"/>
      <c r="BQ81"/>
      <c r="BR81"/>
      <c r="BS81"/>
      <c r="BT81"/>
      <c r="BU81"/>
      <c r="BV81"/>
      <c r="BW81"/>
      <c r="BX81"/>
      <c r="BY81"/>
      <c r="BZ81"/>
      <c r="CA81"/>
      <c r="CB81" s="191"/>
      <c r="CC81"/>
      <c r="CD81"/>
      <c r="CE81"/>
      <c r="CF81"/>
      <c r="CG81"/>
      <c r="CH81"/>
      <c r="CI81"/>
      <c r="CJ81"/>
      <c r="CK81"/>
      <c r="CL81"/>
      <c r="CM81"/>
      <c r="CN81"/>
      <c r="CO81"/>
      <c r="CP81" s="252"/>
    </row>
    <row r="82" spans="22:94" ht="16.5">
      <c r="V82" s="191"/>
      <c r="W82"/>
      <c r="X82" s="50" t="s">
        <v>193</v>
      </c>
      <c r="Y82" s="69">
        <v>8.44</v>
      </c>
      <c r="Z82" s="50" t="s">
        <v>12</v>
      </c>
      <c r="AA82" s="13" t="s">
        <v>254</v>
      </c>
      <c r="AB82"/>
      <c r="AC82" s="191"/>
      <c r="AD82"/>
      <c r="AE82"/>
      <c r="AF82"/>
      <c r="AG82"/>
      <c r="AH82"/>
      <c r="AI82"/>
      <c r="AJ82"/>
      <c r="AK82"/>
      <c r="AL82"/>
      <c r="AM82"/>
      <c r="AN82"/>
      <c r="AO82"/>
      <c r="AP82"/>
      <c r="AQ82"/>
      <c r="AR82"/>
      <c r="AS82"/>
      <c r="AT82"/>
      <c r="AU82"/>
      <c r="AV82"/>
      <c r="AW82"/>
      <c r="AX82"/>
      <c r="AY82"/>
      <c r="AZ82"/>
      <c r="BA82"/>
      <c r="BB82"/>
      <c r="BC82"/>
      <c r="BD82"/>
      <c r="BE82"/>
      <c r="BF82"/>
      <c r="BG82" s="191"/>
      <c r="BH82"/>
      <c r="BI82"/>
      <c r="BJ82"/>
      <c r="BK82"/>
      <c r="BL82"/>
      <c r="BM82"/>
      <c r="BN82"/>
      <c r="BO82"/>
      <c r="BP82"/>
      <c r="BQ82"/>
      <c r="BR82"/>
      <c r="BS82"/>
      <c r="BT82"/>
      <c r="BU82"/>
      <c r="BV82"/>
      <c r="BW82"/>
      <c r="BX82"/>
      <c r="BY82"/>
      <c r="BZ82"/>
      <c r="CA82"/>
      <c r="CB82" s="191"/>
      <c r="CC82"/>
      <c r="CD82"/>
      <c r="CE82"/>
      <c r="CF82"/>
      <c r="CG82"/>
      <c r="CH82"/>
      <c r="CI82"/>
      <c r="CJ82"/>
      <c r="CK82"/>
      <c r="CL82"/>
      <c r="CM82"/>
      <c r="CN82"/>
      <c r="CO82"/>
      <c r="CP82" s="252"/>
    </row>
    <row r="83" spans="22:94" ht="16.5">
      <c r="V83" s="191"/>
      <c r="W83"/>
      <c r="X83" s="50" t="s">
        <v>194</v>
      </c>
      <c r="Y83" s="69">
        <v>7.71</v>
      </c>
      <c r="Z83" s="50" t="s">
        <v>12</v>
      </c>
      <c r="AA83" s="13" t="s">
        <v>254</v>
      </c>
      <c r="AB83"/>
      <c r="AC83" s="191"/>
      <c r="AD83"/>
      <c r="AE83"/>
      <c r="AF83"/>
      <c r="AG83"/>
      <c r="AH83"/>
      <c r="AI83"/>
      <c r="AJ83"/>
      <c r="AK83"/>
      <c r="AL83"/>
      <c r="AM83"/>
      <c r="AN83"/>
      <c r="AO83"/>
      <c r="AP83"/>
      <c r="AQ83"/>
      <c r="AR83"/>
      <c r="AS83"/>
      <c r="AT83"/>
      <c r="AU83"/>
      <c r="AV83"/>
      <c r="AW83"/>
      <c r="AX83"/>
      <c r="AY83"/>
      <c r="AZ83"/>
      <c r="BA83"/>
      <c r="BB83"/>
      <c r="BC83"/>
      <c r="BD83"/>
      <c r="BE83"/>
      <c r="BF83"/>
      <c r="BG83" s="191"/>
      <c r="BH83"/>
      <c r="BI83"/>
      <c r="BJ83"/>
      <c r="BK83"/>
      <c r="BL83"/>
      <c r="BM83"/>
      <c r="BN83"/>
      <c r="BO83"/>
      <c r="BP83"/>
      <c r="BQ83"/>
      <c r="BR83"/>
      <c r="BS83"/>
      <c r="BT83"/>
      <c r="BU83"/>
      <c r="BV83"/>
      <c r="BW83"/>
      <c r="BX83"/>
      <c r="BY83"/>
      <c r="BZ83"/>
      <c r="CA83"/>
      <c r="CB83" s="191"/>
      <c r="CC83"/>
      <c r="CD83"/>
      <c r="CE83"/>
      <c r="CF83"/>
      <c r="CG83"/>
      <c r="CH83"/>
      <c r="CI83"/>
      <c r="CJ83"/>
      <c r="CK83"/>
      <c r="CL83"/>
      <c r="CM83"/>
      <c r="CN83"/>
      <c r="CO83"/>
      <c r="CP83" s="252"/>
    </row>
    <row r="84" spans="22:94" ht="16.5">
      <c r="V84" s="191"/>
      <c r="W84"/>
      <c r="X84" s="50" t="s">
        <v>195</v>
      </c>
      <c r="Y84" s="69">
        <v>7.84</v>
      </c>
      <c r="Z84" s="50" t="s">
        <v>12</v>
      </c>
      <c r="AA84" s="13" t="s">
        <v>254</v>
      </c>
      <c r="AB84"/>
      <c r="AC84" s="191"/>
      <c r="AD84"/>
      <c r="AE84"/>
      <c r="AF84"/>
      <c r="AG84"/>
      <c r="AH84"/>
      <c r="AI84"/>
      <c r="AJ84"/>
      <c r="AK84"/>
      <c r="AL84"/>
      <c r="AM84"/>
      <c r="AN84"/>
      <c r="AO84"/>
      <c r="AP84"/>
      <c r="AQ84"/>
      <c r="AR84"/>
      <c r="AS84"/>
      <c r="AT84"/>
      <c r="AU84"/>
      <c r="AV84"/>
      <c r="AW84"/>
      <c r="AX84"/>
      <c r="AY84"/>
      <c r="AZ84"/>
      <c r="BA84"/>
      <c r="BB84"/>
      <c r="BC84"/>
      <c r="BD84"/>
      <c r="BE84"/>
      <c r="BF84"/>
      <c r="BG84" s="191"/>
      <c r="BH84"/>
      <c r="BI84"/>
      <c r="BJ84"/>
      <c r="BK84"/>
      <c r="BL84"/>
      <c r="BM84"/>
      <c r="BN84"/>
      <c r="BO84"/>
      <c r="BP84"/>
      <c r="BQ84"/>
      <c r="BR84"/>
      <c r="BS84"/>
      <c r="BT84"/>
      <c r="BU84"/>
      <c r="BV84"/>
      <c r="BW84"/>
      <c r="BX84"/>
      <c r="BY84"/>
      <c r="BZ84"/>
      <c r="CA84"/>
      <c r="CB84" s="191"/>
      <c r="CC84"/>
      <c r="CD84"/>
      <c r="CE84"/>
      <c r="CF84"/>
      <c r="CG84"/>
      <c r="CH84"/>
      <c r="CI84"/>
      <c r="CJ84"/>
      <c r="CK84"/>
      <c r="CL84"/>
      <c r="CM84"/>
      <c r="CN84"/>
      <c r="CO84"/>
      <c r="CP84" s="252"/>
    </row>
    <row r="85" spans="22:94" ht="16.5">
      <c r="V85" s="191"/>
      <c r="W85"/>
      <c r="X85" s="50" t="s">
        <v>196</v>
      </c>
      <c r="Y85" s="69">
        <v>6.75</v>
      </c>
      <c r="Z85" s="50" t="s">
        <v>12</v>
      </c>
      <c r="AA85" s="13" t="s">
        <v>254</v>
      </c>
      <c r="AB85"/>
      <c r="AC85" s="191"/>
      <c r="AD85"/>
      <c r="AE85"/>
      <c r="AF85"/>
      <c r="AG85"/>
      <c r="AH85"/>
      <c r="AI85"/>
      <c r="AJ85"/>
      <c r="AK85"/>
      <c r="AL85"/>
      <c r="AM85"/>
      <c r="AN85"/>
      <c r="AO85"/>
      <c r="AP85"/>
      <c r="AQ85"/>
      <c r="AR85"/>
      <c r="AS85"/>
      <c r="AT85"/>
      <c r="AU85"/>
      <c r="AV85"/>
      <c r="AW85"/>
      <c r="AX85"/>
      <c r="AY85"/>
      <c r="AZ85"/>
      <c r="BA85"/>
      <c r="BB85"/>
      <c r="BC85"/>
      <c r="BD85"/>
      <c r="BE85"/>
      <c r="BF85"/>
      <c r="BG85" s="191"/>
      <c r="BH85"/>
      <c r="BI85"/>
      <c r="BJ85"/>
      <c r="BK85"/>
      <c r="BL85"/>
      <c r="BM85"/>
      <c r="BN85"/>
      <c r="BO85"/>
      <c r="BP85"/>
      <c r="BQ85"/>
      <c r="BR85"/>
      <c r="BS85"/>
      <c r="BT85"/>
      <c r="BU85"/>
      <c r="BV85"/>
      <c r="BW85"/>
      <c r="BX85"/>
      <c r="BY85"/>
      <c r="BZ85"/>
      <c r="CA85"/>
      <c r="CB85" s="191"/>
      <c r="CC85"/>
      <c r="CD85"/>
      <c r="CE85"/>
      <c r="CF85"/>
      <c r="CG85"/>
      <c r="CH85"/>
      <c r="CI85"/>
      <c r="CJ85"/>
      <c r="CK85"/>
      <c r="CL85"/>
      <c r="CM85"/>
      <c r="CN85"/>
      <c r="CO85"/>
      <c r="CP85" s="252"/>
    </row>
    <row r="86" spans="22:94" ht="16.5">
      <c r="V86" s="191"/>
      <c r="W86"/>
      <c r="X86" s="50" t="s">
        <v>197</v>
      </c>
      <c r="Y86" s="69">
        <v>43.29</v>
      </c>
      <c r="Z86" s="50" t="s">
        <v>12</v>
      </c>
      <c r="AA86" s="13" t="s">
        <v>254</v>
      </c>
      <c r="AB86"/>
      <c r="AC86" s="191"/>
      <c r="AD86"/>
      <c r="AE86"/>
      <c r="AF86"/>
      <c r="AG86"/>
      <c r="AH86"/>
      <c r="AI86"/>
      <c r="AJ86"/>
      <c r="AK86"/>
      <c r="AL86"/>
      <c r="AM86"/>
      <c r="AN86"/>
      <c r="AO86"/>
      <c r="AP86"/>
      <c r="AQ86"/>
      <c r="AR86"/>
      <c r="AS86"/>
      <c r="AT86"/>
      <c r="AU86"/>
      <c r="AV86"/>
      <c r="AW86"/>
      <c r="AX86"/>
      <c r="AY86"/>
      <c r="AZ86"/>
      <c r="BA86"/>
      <c r="BB86"/>
      <c r="BC86"/>
      <c r="BD86"/>
      <c r="BE86"/>
      <c r="BF86"/>
      <c r="BG86" s="191"/>
      <c r="BH86"/>
      <c r="BI86"/>
      <c r="BJ86"/>
      <c r="BK86"/>
      <c r="BL86"/>
      <c r="BM86"/>
      <c r="BN86"/>
      <c r="BO86"/>
      <c r="BP86"/>
      <c r="BQ86"/>
      <c r="BR86"/>
      <c r="BS86"/>
      <c r="BT86"/>
      <c r="BU86"/>
      <c r="BV86"/>
      <c r="BW86"/>
      <c r="BX86"/>
      <c r="BY86"/>
      <c r="BZ86"/>
      <c r="CA86"/>
      <c r="CB86" s="191"/>
      <c r="CC86"/>
      <c r="CD86"/>
      <c r="CE86"/>
      <c r="CF86"/>
      <c r="CG86"/>
      <c r="CH86"/>
      <c r="CI86"/>
      <c r="CJ86"/>
      <c r="CK86"/>
      <c r="CL86"/>
      <c r="CM86"/>
      <c r="CN86"/>
      <c r="CO86"/>
      <c r="CP86" s="252"/>
    </row>
    <row r="87" spans="22:94" ht="16.5">
      <c r="V87" s="191"/>
      <c r="W87"/>
      <c r="X87" s="50" t="s">
        <v>198</v>
      </c>
      <c r="Y87" s="69">
        <v>39.42</v>
      </c>
      <c r="Z87" s="50" t="s">
        <v>12</v>
      </c>
      <c r="AA87" s="13" t="s">
        <v>254</v>
      </c>
      <c r="AB87"/>
      <c r="AC87" s="191"/>
      <c r="AD87"/>
      <c r="AE87"/>
      <c r="AF87"/>
      <c r="AG87"/>
      <c r="AH87"/>
      <c r="AI87"/>
      <c r="AJ87"/>
      <c r="AK87"/>
      <c r="AL87"/>
      <c r="AM87"/>
      <c r="AN87"/>
      <c r="AO87"/>
      <c r="AP87"/>
      <c r="AQ87"/>
      <c r="AR87"/>
      <c r="AS87"/>
      <c r="AT87"/>
      <c r="AU87"/>
      <c r="AV87"/>
      <c r="AW87"/>
      <c r="AX87"/>
      <c r="AY87"/>
      <c r="AZ87"/>
      <c r="BA87"/>
      <c r="BB87"/>
      <c r="BC87"/>
      <c r="BD87"/>
      <c r="BE87"/>
      <c r="BF87"/>
      <c r="BG87" s="191"/>
      <c r="BH87"/>
      <c r="BI87"/>
      <c r="BJ87"/>
      <c r="BK87"/>
      <c r="BL87"/>
      <c r="BM87"/>
      <c r="BN87"/>
      <c r="BO87"/>
      <c r="BP87"/>
      <c r="BQ87"/>
      <c r="BR87"/>
      <c r="BS87"/>
      <c r="BT87"/>
      <c r="BU87"/>
      <c r="BV87"/>
      <c r="BW87"/>
      <c r="BX87"/>
      <c r="BY87"/>
      <c r="BZ87"/>
      <c r="CA87"/>
      <c r="CB87" s="191"/>
      <c r="CC87"/>
      <c r="CD87"/>
      <c r="CE87"/>
      <c r="CF87"/>
      <c r="CG87"/>
      <c r="CH87"/>
      <c r="CI87"/>
      <c r="CJ87"/>
      <c r="CK87"/>
      <c r="CL87"/>
      <c r="CM87"/>
      <c r="CN87"/>
      <c r="CO87"/>
      <c r="CP87" s="252"/>
    </row>
    <row r="88" spans="22:94" ht="16.5">
      <c r="V88" s="191"/>
      <c r="W88"/>
      <c r="X88" s="50" t="s">
        <v>199</v>
      </c>
      <c r="Y88" s="69">
        <v>41.13</v>
      </c>
      <c r="Z88" s="50" t="s">
        <v>12</v>
      </c>
      <c r="AA88" s="13" t="s">
        <v>254</v>
      </c>
      <c r="AB88"/>
      <c r="AC88" s="191"/>
      <c r="AD88"/>
      <c r="AE88"/>
      <c r="AF88"/>
      <c r="AG88"/>
      <c r="AH88"/>
      <c r="AI88"/>
      <c r="AJ88"/>
      <c r="AK88"/>
      <c r="AL88"/>
      <c r="AM88"/>
      <c r="AN88"/>
      <c r="AO88"/>
      <c r="AP88"/>
      <c r="AQ88"/>
      <c r="AR88"/>
      <c r="AS88"/>
      <c r="AT88"/>
      <c r="AU88"/>
      <c r="AV88"/>
      <c r="AW88"/>
      <c r="AX88"/>
      <c r="AY88"/>
      <c r="AZ88"/>
      <c r="BA88"/>
      <c r="BB88"/>
      <c r="BC88"/>
      <c r="BD88"/>
      <c r="BE88"/>
      <c r="BF88"/>
      <c r="BG88" s="191"/>
      <c r="BH88"/>
      <c r="BI88"/>
      <c r="BJ88"/>
      <c r="BK88"/>
      <c r="BL88"/>
      <c r="BM88"/>
      <c r="BN88"/>
      <c r="BO88"/>
      <c r="BP88"/>
      <c r="BQ88"/>
      <c r="BR88"/>
      <c r="BS88"/>
      <c r="BT88"/>
      <c r="BU88"/>
      <c r="BV88"/>
      <c r="BW88"/>
      <c r="BX88"/>
      <c r="BY88"/>
      <c r="BZ88"/>
      <c r="CA88"/>
      <c r="CB88" s="191"/>
      <c r="CC88"/>
      <c r="CD88"/>
      <c r="CE88"/>
      <c r="CF88"/>
      <c r="CG88"/>
      <c r="CH88"/>
      <c r="CI88"/>
      <c r="CJ88"/>
      <c r="CK88"/>
      <c r="CL88"/>
      <c r="CM88"/>
      <c r="CN88"/>
      <c r="CO88"/>
      <c r="CP88" s="252"/>
    </row>
    <row r="89" spans="22:94" ht="16.5">
      <c r="V89" s="191"/>
      <c r="W89"/>
      <c r="X89" s="50" t="s">
        <v>248</v>
      </c>
      <c r="Y89" s="69">
        <v>32.5</v>
      </c>
      <c r="Z89" s="50" t="s">
        <v>12</v>
      </c>
      <c r="AA89" s="13" t="s">
        <v>254</v>
      </c>
      <c r="AB89"/>
      <c r="AC89" s="191"/>
      <c r="AD89"/>
      <c r="AE89"/>
      <c r="AF89"/>
      <c r="AG89"/>
      <c r="AH89"/>
      <c r="AI89"/>
      <c r="AJ89"/>
      <c r="AK89"/>
      <c r="AL89"/>
      <c r="AM89"/>
      <c r="AN89"/>
      <c r="AO89"/>
      <c r="AP89"/>
      <c r="AQ89"/>
      <c r="AR89"/>
      <c r="AS89"/>
      <c r="AT89"/>
      <c r="AU89"/>
      <c r="AV89"/>
      <c r="AW89"/>
      <c r="AX89"/>
      <c r="AY89"/>
      <c r="AZ89"/>
      <c r="BA89"/>
      <c r="BB89"/>
      <c r="BC89"/>
      <c r="BD89"/>
      <c r="BE89"/>
      <c r="BF89"/>
      <c r="BG89" s="191"/>
      <c r="BH89"/>
      <c r="BI89"/>
      <c r="BJ89"/>
      <c r="BK89"/>
      <c r="BL89"/>
      <c r="BM89"/>
      <c r="BN89"/>
      <c r="BO89"/>
      <c r="BP89"/>
      <c r="BQ89"/>
      <c r="BR89"/>
      <c r="BS89"/>
      <c r="BT89"/>
      <c r="BU89"/>
      <c r="BV89"/>
      <c r="BW89"/>
      <c r="BX89"/>
      <c r="BY89"/>
      <c r="BZ89"/>
      <c r="CA89"/>
      <c r="CB89" s="191"/>
      <c r="CC89"/>
      <c r="CD89"/>
      <c r="CE89"/>
      <c r="CF89"/>
      <c r="CG89"/>
      <c r="CH89"/>
      <c r="CI89"/>
      <c r="CJ89"/>
      <c r="CK89"/>
      <c r="CL89"/>
      <c r="CM89"/>
      <c r="CN89"/>
      <c r="CO89"/>
      <c r="CP89" s="252"/>
    </row>
    <row r="90" spans="22:94" ht="16.5">
      <c r="V90" s="191"/>
      <c r="W90"/>
      <c r="X90" s="50" t="s">
        <v>200</v>
      </c>
      <c r="Y90" s="69">
        <v>9.8000000000000007</v>
      </c>
      <c r="Z90" s="50" t="s">
        <v>12</v>
      </c>
      <c r="AA90" s="13" t="s">
        <v>254</v>
      </c>
      <c r="AB90"/>
      <c r="AC90" s="191"/>
      <c r="AD90"/>
      <c r="AE90"/>
      <c r="AF90"/>
      <c r="AG90"/>
      <c r="AH90"/>
      <c r="AI90"/>
      <c r="AJ90"/>
      <c r="AK90"/>
      <c r="AL90"/>
      <c r="AM90"/>
      <c r="AN90"/>
      <c r="AO90"/>
      <c r="AP90"/>
      <c r="AQ90"/>
      <c r="AR90"/>
      <c r="AS90"/>
      <c r="AT90"/>
      <c r="AU90"/>
      <c r="AV90"/>
      <c r="AW90"/>
      <c r="AX90"/>
      <c r="AY90"/>
      <c r="AZ90"/>
      <c r="BA90"/>
      <c r="BB90"/>
      <c r="BC90"/>
      <c r="BD90"/>
      <c r="BE90"/>
      <c r="BF90"/>
      <c r="BG90" s="191"/>
      <c r="BH90"/>
      <c r="BI90"/>
      <c r="BJ90"/>
      <c r="BK90"/>
      <c r="BL90"/>
      <c r="BM90"/>
      <c r="BN90"/>
      <c r="BO90"/>
      <c r="BP90"/>
      <c r="BQ90"/>
      <c r="BR90"/>
      <c r="BS90"/>
      <c r="BT90"/>
      <c r="BU90"/>
      <c r="BV90"/>
      <c r="BW90"/>
      <c r="BX90"/>
      <c r="BY90"/>
      <c r="BZ90"/>
      <c r="CA90"/>
      <c r="CB90" s="191"/>
      <c r="CC90"/>
      <c r="CD90"/>
      <c r="CE90"/>
      <c r="CF90"/>
      <c r="CG90"/>
      <c r="CH90"/>
      <c r="CI90"/>
      <c r="CJ90"/>
      <c r="CK90"/>
      <c r="CL90"/>
      <c r="CM90"/>
      <c r="CN90"/>
      <c r="CO90"/>
      <c r="CP90" s="252"/>
    </row>
    <row r="91" spans="22:94" ht="16.5">
      <c r="V91" s="191"/>
      <c r="W91"/>
      <c r="X91" s="50" t="s">
        <v>250</v>
      </c>
      <c r="Y91" s="69">
        <v>0.16</v>
      </c>
      <c r="Z91" s="50" t="s">
        <v>201</v>
      </c>
      <c r="AA91" s="13" t="s">
        <v>254</v>
      </c>
      <c r="AB91"/>
      <c r="AC91" s="191"/>
      <c r="AD91"/>
      <c r="AE91"/>
      <c r="AF91"/>
      <c r="AG91"/>
      <c r="AH91"/>
      <c r="AI91"/>
      <c r="AJ91"/>
      <c r="AK91"/>
      <c r="AL91"/>
      <c r="AM91"/>
      <c r="AN91"/>
      <c r="AO91"/>
      <c r="AP91"/>
      <c r="AQ91"/>
      <c r="AR91"/>
      <c r="AS91"/>
      <c r="AT91"/>
      <c r="AU91"/>
      <c r="AV91"/>
      <c r="AW91"/>
      <c r="AX91"/>
      <c r="AY91"/>
      <c r="AZ91"/>
      <c r="BA91"/>
      <c r="BB91"/>
      <c r="BC91"/>
      <c r="BD91"/>
      <c r="BE91"/>
      <c r="BF91"/>
      <c r="BG91" s="191"/>
      <c r="BH91"/>
      <c r="BI91"/>
      <c r="BJ91"/>
      <c r="BK91"/>
      <c r="BL91"/>
      <c r="BM91"/>
      <c r="BN91"/>
      <c r="BO91"/>
      <c r="BP91"/>
      <c r="BQ91"/>
      <c r="BR91"/>
      <c r="BS91"/>
      <c r="BT91"/>
      <c r="BU91"/>
      <c r="BV91"/>
      <c r="BW91"/>
      <c r="BX91"/>
      <c r="BY91"/>
      <c r="BZ91"/>
      <c r="CA91"/>
      <c r="CB91" s="191"/>
      <c r="CC91"/>
      <c r="CD91"/>
      <c r="CE91"/>
      <c r="CF91"/>
      <c r="CG91"/>
      <c r="CH91"/>
      <c r="CI91"/>
      <c r="CJ91"/>
      <c r="CK91"/>
      <c r="CL91"/>
      <c r="CM91"/>
      <c r="CN91"/>
      <c r="CO91"/>
      <c r="CP91" s="252"/>
    </row>
    <row r="92" spans="22:94" ht="16.5">
      <c r="V92" s="191"/>
      <c r="W92"/>
      <c r="X92" s="50" t="s">
        <v>249</v>
      </c>
      <c r="Y92" s="69">
        <v>0.28999999999999998</v>
      </c>
      <c r="Z92" s="50" t="s">
        <v>201</v>
      </c>
      <c r="AA92" s="13" t="s">
        <v>254</v>
      </c>
      <c r="AB92"/>
      <c r="AC92" s="191"/>
      <c r="AD92"/>
      <c r="AE92"/>
      <c r="AF92"/>
      <c r="AG92"/>
      <c r="AH92"/>
      <c r="AI92"/>
      <c r="AJ92"/>
      <c r="AK92"/>
      <c r="AL92"/>
      <c r="AM92"/>
      <c r="AN92"/>
      <c r="AO92"/>
      <c r="AP92"/>
      <c r="AQ92"/>
      <c r="AR92"/>
      <c r="AS92"/>
      <c r="AT92"/>
      <c r="AU92"/>
      <c r="AV92"/>
      <c r="AW92"/>
      <c r="AX92"/>
      <c r="AY92"/>
      <c r="AZ92"/>
      <c r="BA92"/>
      <c r="BB92"/>
      <c r="BC92"/>
      <c r="BD92"/>
      <c r="BE92"/>
      <c r="BF92"/>
      <c r="BG92" s="191"/>
      <c r="BH92"/>
      <c r="BI92"/>
      <c r="BJ92"/>
      <c r="BK92"/>
      <c r="BL92"/>
      <c r="BM92"/>
      <c r="BN92"/>
      <c r="BO92"/>
      <c r="BP92"/>
      <c r="BQ92"/>
      <c r="BR92"/>
      <c r="BS92"/>
      <c r="BT92"/>
      <c r="BU92"/>
      <c r="BV92"/>
      <c r="BW92"/>
      <c r="BX92"/>
      <c r="BY92"/>
      <c r="BZ92"/>
      <c r="CA92"/>
      <c r="CB92" s="191"/>
      <c r="CC92"/>
      <c r="CD92"/>
      <c r="CE92"/>
      <c r="CF92"/>
      <c r="CG92"/>
      <c r="CH92"/>
      <c r="CI92"/>
      <c r="CJ92"/>
      <c r="CK92"/>
      <c r="CL92"/>
      <c r="CM92"/>
      <c r="CN92"/>
      <c r="CO92"/>
      <c r="CP92" s="252"/>
    </row>
    <row r="93" spans="22:94" ht="16.5">
      <c r="V93" s="191"/>
      <c r="W93"/>
      <c r="X93" s="50" t="s">
        <v>249</v>
      </c>
      <c r="Y93" s="69">
        <v>4.07</v>
      </c>
      <c r="Z93" s="50" t="s">
        <v>202</v>
      </c>
      <c r="AA93" s="13" t="s">
        <v>254</v>
      </c>
      <c r="AB93"/>
      <c r="AC93" s="191"/>
      <c r="AD93"/>
      <c r="AE93"/>
      <c r="AF93"/>
      <c r="AG93"/>
      <c r="AH93"/>
      <c r="AI93"/>
      <c r="AJ93"/>
      <c r="AK93"/>
      <c r="AL93"/>
      <c r="AM93"/>
      <c r="AN93"/>
      <c r="AO93"/>
      <c r="AP93"/>
      <c r="AQ93"/>
      <c r="AR93"/>
      <c r="AS93"/>
      <c r="AT93"/>
      <c r="AU93"/>
      <c r="AV93"/>
      <c r="AW93"/>
      <c r="AX93"/>
      <c r="AY93"/>
      <c r="AZ93"/>
      <c r="BA93"/>
      <c r="BB93"/>
      <c r="BC93"/>
      <c r="BD93"/>
      <c r="BE93"/>
      <c r="BF93"/>
      <c r="BG93" s="191"/>
      <c r="BH93"/>
      <c r="BI93"/>
      <c r="BJ93"/>
      <c r="BK93"/>
      <c r="BL93"/>
      <c r="BM93"/>
      <c r="BN93"/>
      <c r="BO93"/>
      <c r="BP93"/>
      <c r="BQ93"/>
      <c r="BR93"/>
      <c r="BS93"/>
      <c r="BT93"/>
      <c r="BU93"/>
      <c r="BV93"/>
      <c r="BW93"/>
      <c r="BX93"/>
      <c r="BY93"/>
      <c r="BZ93"/>
      <c r="CA93"/>
      <c r="CB93" s="191"/>
      <c r="CC93"/>
      <c r="CD93"/>
      <c r="CE93"/>
      <c r="CF93"/>
      <c r="CG93"/>
      <c r="CH93"/>
      <c r="CI93"/>
      <c r="CJ93"/>
      <c r="CK93"/>
      <c r="CL93"/>
      <c r="CM93"/>
      <c r="CN93"/>
      <c r="CO93"/>
      <c r="CP93" s="252"/>
    </row>
    <row r="94" spans="22:94" ht="16.5">
      <c r="V94" s="191"/>
      <c r="W94"/>
      <c r="X94" s="50" t="s">
        <v>203</v>
      </c>
      <c r="Y94" s="69">
        <v>19</v>
      </c>
      <c r="Z94" s="50" t="s">
        <v>12</v>
      </c>
      <c r="AA94" s="13" t="s">
        <v>254</v>
      </c>
      <c r="AB94"/>
      <c r="AC94" s="191"/>
      <c r="AD94"/>
      <c r="AE94"/>
      <c r="AF94"/>
      <c r="AG94"/>
      <c r="AH94"/>
      <c r="AI94"/>
      <c r="AJ94"/>
      <c r="AK94"/>
      <c r="AL94"/>
      <c r="AM94"/>
      <c r="AN94"/>
      <c r="AO94"/>
      <c r="AP94"/>
      <c r="AQ94"/>
      <c r="AR94"/>
      <c r="AS94"/>
      <c r="AT94"/>
      <c r="AU94"/>
      <c r="AV94"/>
      <c r="AW94"/>
      <c r="AX94"/>
      <c r="AY94"/>
      <c r="AZ94"/>
      <c r="BA94"/>
      <c r="BB94"/>
      <c r="BC94"/>
      <c r="BD94"/>
      <c r="BE94"/>
      <c r="BF94"/>
      <c r="BG94" s="191"/>
      <c r="BH94"/>
      <c r="BI94"/>
      <c r="BJ94"/>
      <c r="BK94"/>
      <c r="BL94"/>
      <c r="BM94"/>
      <c r="BN94"/>
      <c r="BO94"/>
      <c r="BP94"/>
      <c r="BQ94"/>
      <c r="BR94"/>
      <c r="BS94"/>
      <c r="BT94"/>
      <c r="BU94"/>
      <c r="BV94"/>
      <c r="BW94"/>
      <c r="BX94"/>
      <c r="BY94"/>
      <c r="BZ94"/>
      <c r="CA94"/>
      <c r="CB94" s="191"/>
      <c r="CC94"/>
      <c r="CD94"/>
      <c r="CE94"/>
      <c r="CF94"/>
      <c r="CG94"/>
      <c r="CH94"/>
      <c r="CI94"/>
      <c r="CJ94"/>
      <c r="CK94"/>
      <c r="CL94"/>
      <c r="CM94"/>
      <c r="CN94"/>
      <c r="CO94"/>
      <c r="CP94" s="252"/>
    </row>
    <row r="95" spans="22:94" ht="16.5">
      <c r="V95" s="191"/>
      <c r="W95"/>
      <c r="X95" s="50" t="s">
        <v>204</v>
      </c>
      <c r="Y95" s="69">
        <v>9.25</v>
      </c>
      <c r="Z95" s="50" t="s">
        <v>12</v>
      </c>
      <c r="AA95" s="13" t="s">
        <v>254</v>
      </c>
      <c r="AB95"/>
      <c r="AC95" s="191"/>
      <c r="AD95"/>
      <c r="AE95"/>
      <c r="AF95"/>
      <c r="AG95"/>
      <c r="AH95"/>
      <c r="AI95"/>
      <c r="AJ95"/>
      <c r="AK95"/>
      <c r="AL95"/>
      <c r="AM95"/>
      <c r="AN95"/>
      <c r="AO95"/>
      <c r="AP95"/>
      <c r="AQ95"/>
      <c r="AR95"/>
      <c r="AS95"/>
      <c r="AT95"/>
      <c r="AU95"/>
      <c r="AV95"/>
      <c r="AW95"/>
      <c r="AX95"/>
      <c r="AY95"/>
      <c r="AZ95"/>
      <c r="BA95"/>
      <c r="BB95"/>
      <c r="BC95"/>
      <c r="BD95"/>
      <c r="BE95"/>
      <c r="BF95"/>
      <c r="BG95" s="191"/>
      <c r="BH95"/>
      <c r="BI95"/>
      <c r="BJ95"/>
      <c r="BK95"/>
      <c r="BL95"/>
      <c r="BM95"/>
      <c r="BN95"/>
      <c r="BO95"/>
      <c r="BP95"/>
      <c r="BQ95"/>
      <c r="BR95"/>
      <c r="BS95"/>
      <c r="BT95"/>
      <c r="BU95"/>
      <c r="BV95"/>
      <c r="BW95"/>
      <c r="BX95"/>
      <c r="BY95"/>
      <c r="BZ95"/>
      <c r="CA95"/>
      <c r="CB95" s="191"/>
      <c r="CC95"/>
      <c r="CD95"/>
      <c r="CE95"/>
      <c r="CF95"/>
      <c r="CG95"/>
      <c r="CH95"/>
      <c r="CI95"/>
      <c r="CJ95"/>
      <c r="CK95"/>
      <c r="CL95"/>
      <c r="CM95"/>
      <c r="CN95"/>
      <c r="CO95"/>
      <c r="CP95" s="252"/>
    </row>
    <row r="96" spans="22:94" ht="16.5">
      <c r="V96" s="191"/>
      <c r="W96"/>
      <c r="X96" s="50" t="s">
        <v>205</v>
      </c>
      <c r="Y96" s="69">
        <v>17.440000000000001</v>
      </c>
      <c r="Z96" s="50" t="s">
        <v>206</v>
      </c>
      <c r="AA96" s="13" t="s">
        <v>254</v>
      </c>
      <c r="AB96"/>
      <c r="AC96" s="191"/>
      <c r="AD96"/>
      <c r="AE96"/>
      <c r="AF96"/>
      <c r="AG96"/>
      <c r="AH96"/>
      <c r="AI96"/>
      <c r="AJ96"/>
      <c r="AK96"/>
      <c r="AL96"/>
      <c r="AM96"/>
      <c r="AN96"/>
      <c r="AO96"/>
      <c r="AP96"/>
      <c r="AQ96"/>
      <c r="AR96"/>
      <c r="AS96"/>
      <c r="AT96"/>
      <c r="AU96"/>
      <c r="AV96"/>
      <c r="AW96"/>
      <c r="AX96"/>
      <c r="AY96"/>
      <c r="AZ96"/>
      <c r="BA96"/>
      <c r="BB96"/>
      <c r="BC96"/>
      <c r="BD96"/>
      <c r="BE96"/>
      <c r="BF96"/>
      <c r="BG96" s="191"/>
      <c r="BH96"/>
      <c r="BI96"/>
      <c r="BJ96"/>
      <c r="BK96"/>
      <c r="BL96"/>
      <c r="BM96"/>
      <c r="BN96"/>
      <c r="BO96"/>
      <c r="BP96"/>
      <c r="BQ96"/>
      <c r="BR96"/>
      <c r="BS96"/>
      <c r="BT96"/>
      <c r="BU96"/>
      <c r="BV96"/>
      <c r="BW96"/>
      <c r="BX96"/>
      <c r="BY96"/>
      <c r="BZ96"/>
      <c r="CA96"/>
      <c r="CB96" s="191"/>
      <c r="CC96"/>
      <c r="CD96"/>
      <c r="CE96"/>
      <c r="CF96"/>
      <c r="CG96"/>
      <c r="CH96"/>
      <c r="CI96"/>
      <c r="CJ96"/>
      <c r="CK96"/>
      <c r="CL96"/>
      <c r="CM96"/>
      <c r="CN96"/>
      <c r="CO96"/>
      <c r="CP96" s="252"/>
    </row>
    <row r="97" spans="22:94" ht="16.5">
      <c r="V97" s="191"/>
      <c r="W97"/>
      <c r="X97" s="50" t="s">
        <v>207</v>
      </c>
      <c r="Y97" s="69">
        <v>29.86</v>
      </c>
      <c r="Z97" s="50" t="s">
        <v>206</v>
      </c>
      <c r="AA97" s="13" t="s">
        <v>254</v>
      </c>
      <c r="AB97"/>
      <c r="AC97" s="191"/>
      <c r="AD97"/>
      <c r="AE97"/>
      <c r="AF97"/>
      <c r="AG97"/>
      <c r="AH97"/>
      <c r="AI97"/>
      <c r="AJ97"/>
      <c r="AK97"/>
      <c r="AL97"/>
      <c r="AM97"/>
      <c r="AN97"/>
      <c r="AO97"/>
      <c r="AP97"/>
      <c r="AQ97"/>
      <c r="AR97"/>
      <c r="AS97"/>
      <c r="AT97"/>
      <c r="AU97"/>
      <c r="AV97"/>
      <c r="AW97"/>
      <c r="AX97"/>
      <c r="AY97"/>
      <c r="AZ97"/>
      <c r="BA97"/>
      <c r="BB97"/>
      <c r="BC97"/>
      <c r="BD97"/>
      <c r="BE97"/>
      <c r="BF97"/>
      <c r="BG97" s="191"/>
      <c r="BH97"/>
      <c r="BI97"/>
      <c r="BJ97"/>
      <c r="BK97"/>
      <c r="BL97"/>
      <c r="BM97"/>
      <c r="BN97"/>
      <c r="BO97"/>
      <c r="BP97"/>
      <c r="BQ97"/>
      <c r="BR97"/>
      <c r="BS97"/>
      <c r="BT97"/>
      <c r="BU97"/>
      <c r="BV97"/>
      <c r="BW97"/>
      <c r="BX97"/>
      <c r="BY97"/>
      <c r="BZ97"/>
      <c r="CA97"/>
      <c r="CB97" s="191"/>
      <c r="CC97"/>
      <c r="CD97"/>
      <c r="CE97"/>
      <c r="CF97"/>
      <c r="CG97"/>
      <c r="CH97"/>
      <c r="CI97"/>
      <c r="CJ97"/>
      <c r="CK97"/>
      <c r="CL97"/>
      <c r="CM97"/>
      <c r="CN97"/>
      <c r="CO97"/>
      <c r="CP97" s="252"/>
    </row>
    <row r="98" spans="22:94" ht="16.5">
      <c r="V98" s="191"/>
      <c r="W98"/>
      <c r="X98" s="50" t="s">
        <v>208</v>
      </c>
      <c r="Y98" s="69">
        <v>10</v>
      </c>
      <c r="Z98" s="50" t="s">
        <v>206</v>
      </c>
      <c r="AA98" s="13" t="s">
        <v>254</v>
      </c>
      <c r="AB98"/>
      <c r="AC98" s="191"/>
      <c r="AD98"/>
      <c r="AE98"/>
      <c r="AF98"/>
      <c r="AG98"/>
      <c r="AH98"/>
      <c r="AI98"/>
      <c r="AJ98"/>
      <c r="AK98"/>
      <c r="AL98"/>
      <c r="AM98"/>
      <c r="AN98"/>
      <c r="AO98"/>
      <c r="AP98"/>
      <c r="AQ98"/>
      <c r="AR98"/>
      <c r="AS98"/>
      <c r="AT98"/>
      <c r="AU98"/>
      <c r="AV98"/>
      <c r="AW98"/>
      <c r="AX98"/>
      <c r="AY98"/>
      <c r="AZ98"/>
      <c r="BA98"/>
      <c r="BB98"/>
      <c r="BC98"/>
      <c r="BD98"/>
      <c r="BE98"/>
      <c r="BF98"/>
      <c r="BG98" s="191"/>
      <c r="BH98"/>
      <c r="BI98"/>
      <c r="BJ98"/>
      <c r="BK98"/>
      <c r="BL98"/>
      <c r="BM98"/>
      <c r="BN98"/>
      <c r="BO98"/>
      <c r="BP98"/>
      <c r="BQ98"/>
      <c r="BR98"/>
      <c r="BS98"/>
      <c r="BT98"/>
      <c r="BU98"/>
      <c r="BV98"/>
      <c r="BW98"/>
      <c r="BX98"/>
      <c r="BY98"/>
      <c r="BZ98"/>
      <c r="CA98"/>
      <c r="CB98" s="191"/>
      <c r="CC98"/>
      <c r="CD98"/>
      <c r="CE98"/>
      <c r="CF98"/>
      <c r="CG98"/>
      <c r="CH98"/>
      <c r="CI98"/>
      <c r="CJ98"/>
      <c r="CK98"/>
      <c r="CL98"/>
      <c r="CM98"/>
      <c r="CN98"/>
      <c r="CO98"/>
      <c r="CP98" s="252"/>
    </row>
    <row r="99" spans="22:94" ht="16.5">
      <c r="V99" s="191"/>
      <c r="W99"/>
      <c r="X99" s="50" t="s">
        <v>251</v>
      </c>
      <c r="Y99" s="69">
        <v>6.5</v>
      </c>
      <c r="Z99" s="50" t="s">
        <v>206</v>
      </c>
      <c r="AA99" s="13" t="s">
        <v>254</v>
      </c>
      <c r="AB99"/>
      <c r="AC99" s="191"/>
      <c r="AD99"/>
      <c r="AE99"/>
      <c r="AF99"/>
      <c r="AG99"/>
      <c r="AH99"/>
      <c r="AI99"/>
      <c r="AJ99"/>
      <c r="AK99"/>
      <c r="AL99"/>
      <c r="AM99"/>
      <c r="AN99"/>
      <c r="AO99"/>
      <c r="AP99"/>
      <c r="AQ99"/>
      <c r="AR99"/>
      <c r="AS99"/>
      <c r="AT99"/>
      <c r="AU99"/>
      <c r="AV99"/>
      <c r="AW99"/>
      <c r="AX99"/>
      <c r="AY99"/>
      <c r="AZ99"/>
      <c r="BA99"/>
      <c r="BB99"/>
      <c r="BC99"/>
      <c r="BD99"/>
      <c r="BE99"/>
      <c r="BF99"/>
      <c r="BG99" s="191"/>
      <c r="BH99"/>
      <c r="BI99"/>
      <c r="BJ99"/>
      <c r="BK99"/>
      <c r="BL99"/>
      <c r="BM99"/>
      <c r="BN99"/>
      <c r="BO99"/>
      <c r="BP99"/>
      <c r="BQ99"/>
      <c r="BR99"/>
      <c r="BS99"/>
      <c r="BT99"/>
      <c r="BU99"/>
      <c r="BV99"/>
      <c r="BW99"/>
      <c r="BX99"/>
      <c r="BY99"/>
      <c r="BZ99"/>
      <c r="CA99"/>
      <c r="CB99" s="191"/>
      <c r="CC99"/>
      <c r="CD99"/>
      <c r="CE99"/>
      <c r="CF99"/>
      <c r="CG99"/>
      <c r="CH99"/>
      <c r="CI99"/>
      <c r="CJ99"/>
      <c r="CK99"/>
      <c r="CL99"/>
      <c r="CM99"/>
      <c r="CN99"/>
      <c r="CO99"/>
      <c r="CP99" s="252"/>
    </row>
    <row r="100" spans="22:94" ht="16.5">
      <c r="V100" s="191"/>
      <c r="W100"/>
      <c r="X100" s="50" t="s">
        <v>258</v>
      </c>
      <c r="Y100" s="69">
        <v>1.5</v>
      </c>
      <c r="Z100" s="50" t="s">
        <v>206</v>
      </c>
      <c r="AA100" s="13" t="s">
        <v>260</v>
      </c>
      <c r="AB100"/>
      <c r="AC100" s="191"/>
      <c r="AD100"/>
      <c r="AE100"/>
      <c r="AF100"/>
      <c r="AG100"/>
      <c r="AH100"/>
      <c r="AI100"/>
      <c r="AJ100"/>
      <c r="AK100"/>
      <c r="AL100"/>
      <c r="AM100"/>
      <c r="AN100"/>
      <c r="AO100"/>
      <c r="AP100"/>
      <c r="AQ100"/>
      <c r="AR100"/>
      <c r="AS100"/>
      <c r="AT100"/>
      <c r="AU100"/>
      <c r="AV100"/>
      <c r="AW100"/>
      <c r="AX100"/>
      <c r="AY100"/>
      <c r="AZ100"/>
      <c r="BA100"/>
      <c r="BB100"/>
      <c r="BC100"/>
      <c r="BD100"/>
      <c r="BE100"/>
      <c r="BF100"/>
      <c r="BG100" s="191"/>
      <c r="BH100"/>
      <c r="BI100"/>
      <c r="BJ100"/>
      <c r="BK100"/>
      <c r="BL100"/>
      <c r="BM100"/>
      <c r="BN100"/>
      <c r="BO100"/>
      <c r="BP100"/>
      <c r="BQ100"/>
      <c r="BR100"/>
      <c r="BS100"/>
      <c r="BT100"/>
      <c r="BU100"/>
      <c r="BV100"/>
      <c r="BW100"/>
      <c r="BX100"/>
      <c r="BY100"/>
      <c r="BZ100"/>
      <c r="CA100"/>
      <c r="CB100" s="191"/>
      <c r="CC100"/>
      <c r="CD100"/>
      <c r="CE100"/>
      <c r="CF100"/>
      <c r="CG100"/>
      <c r="CH100"/>
      <c r="CI100"/>
      <c r="CJ100"/>
      <c r="CK100"/>
      <c r="CL100"/>
      <c r="CM100"/>
      <c r="CN100"/>
      <c r="CO100"/>
      <c r="CP100" s="252"/>
    </row>
    <row r="101" spans="22:94" ht="16.5">
      <c r="V101" s="191"/>
      <c r="W101"/>
      <c r="X101" s="50" t="s">
        <v>259</v>
      </c>
      <c r="Y101" s="69">
        <v>0.9</v>
      </c>
      <c r="Z101" s="50" t="s">
        <v>206</v>
      </c>
      <c r="AA101" s="13" t="s">
        <v>261</v>
      </c>
      <c r="AB101"/>
      <c r="AC101" s="191"/>
      <c r="AD101"/>
      <c r="AE101"/>
      <c r="AF101"/>
      <c r="AG101"/>
      <c r="AH101"/>
      <c r="AI101"/>
      <c r="AJ101"/>
      <c r="AK101"/>
      <c r="AL101"/>
      <c r="AM101"/>
      <c r="AN101"/>
      <c r="AO101"/>
      <c r="AP101"/>
      <c r="AQ101"/>
      <c r="AR101"/>
      <c r="AS101"/>
      <c r="AT101"/>
      <c r="AU101"/>
      <c r="AV101"/>
      <c r="AW101"/>
      <c r="AX101"/>
      <c r="AY101"/>
      <c r="AZ101"/>
      <c r="BA101"/>
      <c r="BB101"/>
      <c r="BC101"/>
      <c r="BD101"/>
      <c r="BE101"/>
      <c r="BF101"/>
      <c r="BG101" s="191"/>
      <c r="BH101"/>
      <c r="BI101"/>
      <c r="BJ101"/>
      <c r="BK101"/>
      <c r="BL101"/>
      <c r="BM101"/>
      <c r="BN101"/>
      <c r="BO101"/>
      <c r="BP101"/>
      <c r="BQ101"/>
      <c r="BR101"/>
      <c r="BS101"/>
      <c r="BT101"/>
      <c r="BU101"/>
      <c r="BV101"/>
      <c r="BW101"/>
      <c r="BX101"/>
      <c r="BY101"/>
      <c r="BZ101"/>
      <c r="CA101"/>
      <c r="CB101" s="191"/>
      <c r="CC101"/>
      <c r="CD101"/>
      <c r="CE101"/>
      <c r="CF101"/>
      <c r="CG101"/>
      <c r="CH101"/>
      <c r="CI101"/>
      <c r="CJ101"/>
      <c r="CK101"/>
      <c r="CL101"/>
      <c r="CM101"/>
      <c r="CN101"/>
      <c r="CO101"/>
      <c r="CP101" s="252"/>
    </row>
    <row r="102" spans="22:94" ht="16.5">
      <c r="V102" s="191"/>
      <c r="W102"/>
      <c r="X102" s="50" t="s">
        <v>256</v>
      </c>
      <c r="Y102" s="69">
        <v>11.5</v>
      </c>
      <c r="Z102" s="50" t="s">
        <v>192</v>
      </c>
      <c r="AA102" s="13" t="s">
        <v>255</v>
      </c>
      <c r="AB102"/>
      <c r="AC102" s="191"/>
      <c r="AD102"/>
      <c r="AE102"/>
      <c r="AF102"/>
      <c r="AG102"/>
      <c r="AH102"/>
      <c r="AI102"/>
      <c r="AJ102"/>
      <c r="AK102"/>
      <c r="AL102"/>
      <c r="AM102"/>
      <c r="AN102"/>
      <c r="AO102"/>
      <c r="AP102"/>
      <c r="AQ102"/>
      <c r="AR102"/>
      <c r="AS102"/>
      <c r="AT102"/>
      <c r="AU102"/>
      <c r="AV102"/>
      <c r="AW102"/>
      <c r="AX102"/>
      <c r="AY102"/>
      <c r="AZ102"/>
      <c r="BA102"/>
      <c r="BB102"/>
      <c r="BC102"/>
      <c r="BD102"/>
      <c r="BE102"/>
      <c r="BF102"/>
      <c r="BG102" s="191"/>
      <c r="BH102"/>
      <c r="BI102"/>
      <c r="BJ102"/>
      <c r="BK102"/>
      <c r="BL102"/>
      <c r="BM102"/>
      <c r="BN102"/>
      <c r="BO102"/>
      <c r="BP102"/>
      <c r="BQ102"/>
      <c r="BR102"/>
      <c r="BS102"/>
      <c r="BT102"/>
      <c r="BU102"/>
      <c r="BV102"/>
      <c r="BW102"/>
      <c r="BX102"/>
      <c r="BY102"/>
      <c r="BZ102"/>
      <c r="CA102"/>
      <c r="CB102" s="191"/>
      <c r="CC102"/>
      <c r="CD102"/>
      <c r="CE102"/>
      <c r="CF102"/>
      <c r="CG102"/>
      <c r="CH102"/>
      <c r="CI102"/>
      <c r="CJ102"/>
      <c r="CK102"/>
      <c r="CL102"/>
      <c r="CM102"/>
      <c r="CN102"/>
      <c r="CO102"/>
      <c r="CP102" s="252"/>
    </row>
    <row r="103" spans="22:94" ht="16.5">
      <c r="V103" s="191"/>
      <c r="W103"/>
      <c r="X103" s="13" t="s">
        <v>22</v>
      </c>
      <c r="Y103" s="70"/>
      <c r="Z103" s="13" t="s">
        <v>12</v>
      </c>
      <c r="AA103" s="13"/>
      <c r="AB103"/>
      <c r="AC103" s="191"/>
      <c r="AD103"/>
      <c r="AE103"/>
      <c r="AF103"/>
      <c r="AG103"/>
      <c r="AH103"/>
      <c r="AI103"/>
      <c r="AJ103"/>
      <c r="AK103"/>
      <c r="AL103"/>
      <c r="AM103"/>
      <c r="AN103"/>
      <c r="AO103"/>
      <c r="AP103"/>
      <c r="AQ103"/>
      <c r="AR103"/>
      <c r="AS103"/>
      <c r="AT103"/>
      <c r="AU103"/>
      <c r="AV103"/>
      <c r="AW103"/>
      <c r="AX103"/>
      <c r="AY103"/>
      <c r="AZ103"/>
      <c r="BA103"/>
      <c r="BB103"/>
      <c r="BC103"/>
      <c r="BD103"/>
      <c r="BE103"/>
      <c r="BF103"/>
      <c r="BG103" s="191"/>
      <c r="BH103"/>
      <c r="BI103"/>
      <c r="BJ103"/>
      <c r="BK103"/>
      <c r="BL103"/>
      <c r="BM103"/>
      <c r="BN103"/>
      <c r="BO103"/>
      <c r="BP103"/>
      <c r="BQ103"/>
      <c r="BR103"/>
      <c r="BS103"/>
      <c r="BT103"/>
      <c r="BU103"/>
      <c r="BV103"/>
      <c r="BW103"/>
      <c r="BX103"/>
      <c r="BY103"/>
      <c r="BZ103"/>
      <c r="CA103"/>
      <c r="CB103" s="191"/>
      <c r="CC103"/>
      <c r="CD103"/>
      <c r="CE103"/>
      <c r="CF103"/>
      <c r="CG103"/>
      <c r="CH103"/>
      <c r="CI103"/>
      <c r="CJ103"/>
      <c r="CK103"/>
      <c r="CL103"/>
      <c r="CM103"/>
      <c r="CN103"/>
      <c r="CO103"/>
      <c r="CP103" s="252"/>
    </row>
    <row r="104" spans="22:94" ht="16.5">
      <c r="V104" s="191"/>
      <c r="W104"/>
      <c r="X104"/>
      <c r="Y104"/>
      <c r="Z104"/>
      <c r="AA104"/>
      <c r="AB104"/>
      <c r="AC104" s="191"/>
      <c r="AD104"/>
      <c r="AE104"/>
      <c r="AF104"/>
      <c r="AG104"/>
      <c r="AH104"/>
      <c r="AI104"/>
      <c r="AJ104"/>
      <c r="AK104"/>
      <c r="AL104"/>
      <c r="AM104"/>
      <c r="AN104"/>
      <c r="AO104"/>
      <c r="AP104"/>
      <c r="AQ104"/>
      <c r="AR104"/>
      <c r="AS104"/>
      <c r="AT104"/>
      <c r="AU104"/>
      <c r="AV104"/>
      <c r="AW104"/>
      <c r="AX104"/>
      <c r="AY104"/>
      <c r="AZ104"/>
      <c r="BA104"/>
      <c r="BB104"/>
      <c r="BC104"/>
      <c r="BD104"/>
      <c r="BE104"/>
      <c r="BF104"/>
      <c r="BG104" s="191"/>
      <c r="BH104"/>
      <c r="BI104"/>
      <c r="BJ104"/>
      <c r="BK104"/>
      <c r="BL104"/>
      <c r="BM104"/>
      <c r="BN104"/>
      <c r="BO104"/>
      <c r="BP104"/>
      <c r="BQ104"/>
      <c r="BR104"/>
      <c r="BS104"/>
      <c r="BT104"/>
      <c r="BU104"/>
      <c r="BV104"/>
      <c r="BW104"/>
      <c r="BX104"/>
      <c r="BY104"/>
      <c r="BZ104"/>
      <c r="CA104"/>
      <c r="CB104" s="191"/>
      <c r="CC104"/>
      <c r="CD104"/>
      <c r="CE104"/>
      <c r="CF104"/>
      <c r="CG104"/>
      <c r="CH104"/>
      <c r="CI104"/>
      <c r="CJ104"/>
      <c r="CK104"/>
      <c r="CL104"/>
      <c r="CM104"/>
      <c r="CN104"/>
      <c r="CO104"/>
      <c r="CP104" s="252"/>
    </row>
    <row r="105" spans="22:94" ht="16.5">
      <c r="V105" s="191"/>
      <c r="W105" s="191"/>
      <c r="X105" s="191"/>
      <c r="Y105" s="191"/>
      <c r="Z105" s="191"/>
      <c r="AA105" s="191"/>
      <c r="AB105" s="191"/>
      <c r="AC105" s="191"/>
      <c r="AD105" s="191"/>
      <c r="AE105" s="191"/>
      <c r="AF105" s="191"/>
      <c r="AG105" s="191"/>
      <c r="AH105" s="191"/>
      <c r="AI105" s="191"/>
      <c r="AJ105" s="191"/>
      <c r="AK105" s="191"/>
      <c r="AL105" s="191"/>
      <c r="AM105" s="191"/>
      <c r="AN105" s="191"/>
      <c r="AO105" s="191"/>
      <c r="AP105" s="191"/>
      <c r="AQ105" s="191"/>
      <c r="AR105" s="191"/>
      <c r="AS105" s="191"/>
      <c r="AT105" s="191"/>
      <c r="AU105" s="191"/>
      <c r="AV105" s="191"/>
      <c r="AW105" s="191"/>
      <c r="AX105" s="191"/>
      <c r="AY105" s="191"/>
      <c r="AZ105" s="191"/>
      <c r="BA105" s="191"/>
      <c r="BB105" s="191"/>
      <c r="BC105" s="191"/>
      <c r="BD105" s="191"/>
      <c r="BE105" s="191"/>
      <c r="BF105" s="191"/>
      <c r="BG105" s="191"/>
      <c r="BH105" s="191"/>
      <c r="BI105" s="191"/>
      <c r="BJ105" s="191"/>
      <c r="BK105" s="191"/>
      <c r="BL105" s="191"/>
      <c r="BM105" s="191"/>
      <c r="BN105" s="191"/>
      <c r="BO105" s="191"/>
      <c r="BP105" s="191"/>
      <c r="BQ105" s="191"/>
      <c r="BR105" s="191"/>
      <c r="BS105" s="191"/>
      <c r="BT105" s="191"/>
      <c r="BU105" s="191"/>
      <c r="BV105" s="191"/>
      <c r="BW105" s="191"/>
      <c r="BX105" s="191"/>
      <c r="BY105" s="191"/>
      <c r="BZ105" s="191"/>
      <c r="CA105" s="191"/>
      <c r="CB105" s="191"/>
      <c r="CC105" s="191"/>
      <c r="CD105" s="191"/>
      <c r="CE105" s="191"/>
      <c r="CF105" s="191"/>
      <c r="CG105" s="191"/>
      <c r="CH105" s="191"/>
      <c r="CI105" s="191"/>
      <c r="CJ105" s="191"/>
      <c r="CK105" s="191"/>
      <c r="CL105" s="191"/>
      <c r="CM105" s="191"/>
      <c r="CN105" s="191"/>
      <c r="CO105" s="191"/>
      <c r="CP105" s="252"/>
    </row>
    <row r="106" spans="22:94" ht="16.5">
      <c r="V106" s="191"/>
      <c r="W106"/>
      <c r="X106"/>
      <c r="Y106"/>
      <c r="Z106"/>
      <c r="AA106"/>
      <c r="AB106"/>
      <c r="AC106" s="191"/>
      <c r="AD106"/>
      <c r="AE106"/>
      <c r="AF106"/>
      <c r="AG106"/>
      <c r="AH106"/>
      <c r="AI106"/>
      <c r="AJ106"/>
      <c r="AK106"/>
      <c r="AL106"/>
      <c r="AM106"/>
      <c r="AN106"/>
      <c r="AO106"/>
      <c r="AP106"/>
      <c r="AQ106"/>
      <c r="AR106"/>
      <c r="AS106"/>
      <c r="AT106"/>
      <c r="AU106"/>
      <c r="AV106"/>
      <c r="AW106"/>
      <c r="AX106"/>
      <c r="AY106"/>
      <c r="AZ106"/>
      <c r="BA106"/>
      <c r="BB106"/>
      <c r="BC106"/>
      <c r="BD106"/>
      <c r="BE106"/>
      <c r="BF106"/>
      <c r="BG106" s="191"/>
      <c r="BH106"/>
      <c r="BI106"/>
      <c r="BJ106"/>
      <c r="BK106"/>
      <c r="BL106"/>
      <c r="BM106"/>
      <c r="BN106"/>
      <c r="BO106"/>
      <c r="BP106"/>
      <c r="BQ106"/>
      <c r="BR106"/>
      <c r="BS106"/>
      <c r="BT106"/>
      <c r="BU106"/>
      <c r="BV106"/>
      <c r="BW106"/>
      <c r="BX106"/>
      <c r="BY106"/>
      <c r="BZ106"/>
      <c r="CA106"/>
      <c r="CB106" s="191"/>
      <c r="CC106"/>
      <c r="CD106"/>
      <c r="CE106"/>
      <c r="CF106"/>
      <c r="CG106"/>
      <c r="CH106"/>
      <c r="CI106"/>
      <c r="CJ106"/>
      <c r="CK106"/>
      <c r="CL106"/>
      <c r="CM106"/>
      <c r="CN106"/>
      <c r="CO106"/>
      <c r="CP106" s="252"/>
    </row>
    <row r="107" spans="22:94" ht="16.5">
      <c r="V107" s="191"/>
      <c r="W107"/>
      <c r="X107"/>
      <c r="Y107"/>
      <c r="Z107"/>
      <c r="AA107"/>
      <c r="AB107"/>
      <c r="AC107" s="191"/>
      <c r="AD107"/>
      <c r="AE107" s="12" t="s">
        <v>23</v>
      </c>
      <c r="BF107"/>
      <c r="BG107" s="191"/>
      <c r="BH107"/>
      <c r="BI107"/>
      <c r="BJ107"/>
      <c r="BK107"/>
      <c r="BL107"/>
      <c r="BM107"/>
      <c r="BN107"/>
      <c r="BO107"/>
      <c r="BP107"/>
      <c r="BQ107"/>
      <c r="BR107"/>
      <c r="BS107"/>
      <c r="BT107"/>
      <c r="BU107"/>
      <c r="BV107"/>
      <c r="BW107"/>
      <c r="BX107"/>
      <c r="BY107"/>
      <c r="BZ107"/>
      <c r="CA107"/>
      <c r="CB107" s="191"/>
      <c r="CC107"/>
      <c r="CD107"/>
      <c r="CE107"/>
      <c r="CF107"/>
      <c r="CG107"/>
      <c r="CH107"/>
      <c r="CI107"/>
      <c r="CJ107"/>
      <c r="CK107"/>
      <c r="CL107"/>
      <c r="CM107"/>
      <c r="CN107"/>
      <c r="CO107"/>
      <c r="CP107" s="252"/>
    </row>
    <row r="108" spans="22:94" ht="16.5">
      <c r="V108" s="191"/>
      <c r="W108"/>
      <c r="X108"/>
      <c r="Y108"/>
      <c r="Z108"/>
      <c r="AA108"/>
      <c r="AB108"/>
      <c r="AC108" s="191"/>
      <c r="AD108"/>
      <c r="AE108" s="13" t="s">
        <v>24</v>
      </c>
      <c r="AF108" s="13"/>
      <c r="BF108"/>
      <c r="BG108" s="191"/>
      <c r="BH108"/>
      <c r="BI108"/>
      <c r="BJ108"/>
      <c r="BK108"/>
      <c r="BL108"/>
      <c r="BM108"/>
      <c r="BN108"/>
      <c r="BO108"/>
      <c r="BP108"/>
      <c r="BQ108"/>
      <c r="BR108"/>
      <c r="BS108"/>
      <c r="BT108"/>
      <c r="BU108"/>
      <c r="BV108"/>
      <c r="BW108"/>
      <c r="BX108"/>
      <c r="BY108"/>
      <c r="BZ108"/>
      <c r="CA108"/>
      <c r="CB108" s="191"/>
      <c r="CC108"/>
      <c r="CD108"/>
      <c r="CE108"/>
      <c r="CF108"/>
      <c r="CG108"/>
      <c r="CH108"/>
      <c r="CI108"/>
      <c r="CJ108"/>
      <c r="CK108"/>
      <c r="CL108"/>
      <c r="CM108"/>
      <c r="CN108"/>
      <c r="CO108"/>
      <c r="CP108" s="252"/>
    </row>
    <row r="109" spans="22:94" ht="16.5">
      <c r="V109" s="191"/>
      <c r="W109"/>
      <c r="X109"/>
      <c r="Y109"/>
      <c r="Z109"/>
      <c r="AA109"/>
      <c r="AB109"/>
      <c r="AC109" s="191"/>
      <c r="AD109"/>
      <c r="AE109" s="12">
        <v>1</v>
      </c>
      <c r="AF109" s="12">
        <v>2</v>
      </c>
      <c r="AG109" s="12">
        <v>3</v>
      </c>
      <c r="AH109" s="12">
        <v>4</v>
      </c>
      <c r="AI109" s="12">
        <v>5</v>
      </c>
      <c r="AJ109" s="12">
        <v>6</v>
      </c>
      <c r="AK109" s="12">
        <v>7</v>
      </c>
      <c r="AL109" s="12">
        <v>8</v>
      </c>
      <c r="AM109" s="12">
        <v>9</v>
      </c>
      <c r="AN109" s="12">
        <v>10</v>
      </c>
      <c r="AO109" s="12">
        <v>11</v>
      </c>
      <c r="AP109" s="12">
        <v>12</v>
      </c>
      <c r="AQ109" s="12">
        <v>13</v>
      </c>
      <c r="AR109" s="12">
        <v>14</v>
      </c>
      <c r="AS109" s="12">
        <v>15</v>
      </c>
      <c r="AT109" s="12">
        <v>16</v>
      </c>
      <c r="AU109" s="12">
        <v>17</v>
      </c>
      <c r="AV109" s="12">
        <v>18</v>
      </c>
      <c r="AW109" s="12">
        <v>19</v>
      </c>
      <c r="AX109" s="12">
        <v>20</v>
      </c>
      <c r="AY109" s="12">
        <v>21</v>
      </c>
      <c r="AZ109" s="12">
        <v>22</v>
      </c>
      <c r="BA109" s="12">
        <v>23</v>
      </c>
      <c r="BB109" s="12">
        <v>24</v>
      </c>
      <c r="BC109" s="12">
        <v>25</v>
      </c>
      <c r="BD109" s="12">
        <v>26</v>
      </c>
      <c r="BF109"/>
      <c r="BG109" s="191"/>
      <c r="BH109"/>
      <c r="BI109"/>
      <c r="BJ109"/>
      <c r="BK109"/>
      <c r="BL109"/>
      <c r="BM109"/>
      <c r="BN109"/>
      <c r="BO109"/>
      <c r="BP109"/>
      <c r="BQ109"/>
      <c r="BR109"/>
      <c r="BS109"/>
      <c r="BT109"/>
      <c r="BU109"/>
      <c r="BV109"/>
      <c r="BW109"/>
      <c r="BX109"/>
      <c r="BY109"/>
      <c r="BZ109"/>
      <c r="CA109"/>
      <c r="CB109" s="191"/>
      <c r="CC109"/>
      <c r="CD109"/>
      <c r="CE109"/>
      <c r="CF109"/>
      <c r="CG109"/>
      <c r="CH109"/>
      <c r="CI109"/>
      <c r="CJ109"/>
      <c r="CK109"/>
      <c r="CL109"/>
      <c r="CM109"/>
      <c r="CN109"/>
      <c r="CO109"/>
      <c r="CP109" s="252"/>
    </row>
    <row r="110" spans="22:94" ht="16.5">
      <c r="V110" s="191"/>
      <c r="W110"/>
      <c r="X110"/>
      <c r="Y110"/>
      <c r="Z110"/>
      <c r="AA110"/>
      <c r="AB110"/>
      <c r="AC110" s="191"/>
      <c r="AD110"/>
      <c r="AE110" s="15" t="s">
        <v>27</v>
      </c>
      <c r="BF110"/>
      <c r="BG110" s="191"/>
      <c r="BH110"/>
      <c r="BI110"/>
      <c r="BJ110"/>
      <c r="BK110"/>
      <c r="BL110"/>
      <c r="BM110"/>
      <c r="BN110"/>
      <c r="BO110"/>
      <c r="BP110"/>
      <c r="BQ110"/>
      <c r="BR110"/>
      <c r="BS110"/>
      <c r="BT110"/>
      <c r="BU110"/>
      <c r="BV110"/>
      <c r="BW110"/>
      <c r="BX110"/>
      <c r="BY110"/>
      <c r="BZ110"/>
      <c r="CA110"/>
      <c r="CB110" s="191"/>
      <c r="CC110"/>
      <c r="CD110"/>
      <c r="CE110"/>
      <c r="CF110"/>
      <c r="CG110"/>
      <c r="CH110"/>
      <c r="CI110"/>
      <c r="CJ110"/>
      <c r="CK110"/>
      <c r="CL110"/>
      <c r="CM110"/>
      <c r="CN110"/>
      <c r="CO110"/>
      <c r="CP110" s="252"/>
    </row>
    <row r="111" spans="22:94" ht="32">
      <c r="V111" s="191"/>
      <c r="W111"/>
      <c r="X111"/>
      <c r="Y111"/>
      <c r="Z111"/>
      <c r="AA111"/>
      <c r="AB111"/>
      <c r="AC111" s="191"/>
      <c r="AD111"/>
      <c r="AE111" s="22" t="s">
        <v>29</v>
      </c>
      <c r="AF111" s="22" t="s">
        <v>30</v>
      </c>
      <c r="AG111" s="22" t="s">
        <v>31</v>
      </c>
      <c r="AH111" s="22" t="s">
        <v>32</v>
      </c>
      <c r="AI111" s="22" t="s">
        <v>33</v>
      </c>
      <c r="AJ111" s="22" t="s">
        <v>34</v>
      </c>
      <c r="AK111" s="22" t="s">
        <v>35</v>
      </c>
      <c r="AL111" s="22" t="s">
        <v>36</v>
      </c>
      <c r="AM111" s="22" t="s">
        <v>37</v>
      </c>
      <c r="AN111" s="22" t="s">
        <v>38</v>
      </c>
      <c r="AO111" s="22" t="s">
        <v>39</v>
      </c>
      <c r="AP111" s="22" t="s">
        <v>40</v>
      </c>
      <c r="AQ111" s="22" t="s">
        <v>41</v>
      </c>
      <c r="AR111" s="22" t="s">
        <v>42</v>
      </c>
      <c r="AS111" s="22" t="s">
        <v>43</v>
      </c>
      <c r="AT111" s="22" t="s">
        <v>44</v>
      </c>
      <c r="AU111" s="22" t="s">
        <v>45</v>
      </c>
      <c r="AV111" s="22" t="s">
        <v>46</v>
      </c>
      <c r="AW111" s="22" t="s">
        <v>47</v>
      </c>
      <c r="AX111" s="22" t="s">
        <v>48</v>
      </c>
      <c r="AY111" s="22" t="s">
        <v>49</v>
      </c>
      <c r="AZ111" s="22" t="s">
        <v>50</v>
      </c>
      <c r="BA111" s="22" t="s">
        <v>352</v>
      </c>
      <c r="BB111" s="22" t="s">
        <v>354</v>
      </c>
      <c r="BC111" s="22" t="s">
        <v>51</v>
      </c>
      <c r="BD111" s="22" t="s">
        <v>52</v>
      </c>
      <c r="BE111" s="81" t="s">
        <v>234</v>
      </c>
      <c r="BF111"/>
      <c r="BG111" s="191"/>
      <c r="BH111"/>
      <c r="BI111"/>
      <c r="BJ111"/>
      <c r="BK111"/>
      <c r="BL111"/>
      <c r="BM111"/>
      <c r="BN111"/>
      <c r="BO111"/>
      <c r="BP111"/>
      <c r="BQ111"/>
      <c r="BR111"/>
      <c r="BS111"/>
      <c r="BT111"/>
      <c r="BU111"/>
      <c r="BV111"/>
      <c r="BW111"/>
      <c r="BX111"/>
      <c r="BY111"/>
      <c r="BZ111"/>
      <c r="CA111"/>
      <c r="CB111" s="191"/>
      <c r="CC111"/>
      <c r="CD111"/>
      <c r="CE111"/>
      <c r="CF111"/>
      <c r="CG111"/>
      <c r="CH111"/>
      <c r="CI111"/>
      <c r="CJ111"/>
      <c r="CK111"/>
      <c r="CL111"/>
      <c r="CM111"/>
      <c r="CN111"/>
      <c r="CO111"/>
      <c r="CP111" s="252"/>
    </row>
    <row r="112" spans="22:94" ht="16.5">
      <c r="V112" s="191"/>
      <c r="W112"/>
      <c r="X112"/>
      <c r="Y112"/>
      <c r="Z112"/>
      <c r="AA112"/>
      <c r="AB112"/>
      <c r="AC112" s="191"/>
      <c r="AD112"/>
      <c r="AE112" s="12" t="str">
        <f>DBImplements[[#This Row],[Implement type]]&amp;", "&amp;DBImplements[[#This Row],[Width]]&amp;" "&amp;DBImplements[[#This Row],[Width Unit]]</f>
        <v>Front end loader, tractor mounted, 50 Ft</v>
      </c>
      <c r="AF112" s="58" t="s">
        <v>217</v>
      </c>
      <c r="AG112" s="29">
        <v>50</v>
      </c>
      <c r="AH112" s="28" t="s">
        <v>76</v>
      </c>
      <c r="AI112" s="29"/>
      <c r="AJ112" s="28"/>
      <c r="AK112" s="30">
        <v>19400</v>
      </c>
      <c r="AL112" s="31">
        <v>0.15</v>
      </c>
      <c r="AM112" s="32">
        <f t="shared" ref="AM112:AM143" si="8">AK112/(1-AL112)</f>
        <v>22823.529411764706</v>
      </c>
      <c r="AN112" s="29">
        <v>12</v>
      </c>
      <c r="AO112" s="29">
        <v>50</v>
      </c>
      <c r="AP112" s="33">
        <f t="shared" ref="AP112:AP143" si="9">IF(AND(AR112&lt;&gt;0,AS112&lt;&gt;0),AO112*(AG112*AR112*AS112)/8.25,AO112*AG112)</f>
        <v>1939.3939393939395</v>
      </c>
      <c r="AQ112" s="29" t="s">
        <v>162</v>
      </c>
      <c r="AR112" s="29">
        <v>8</v>
      </c>
      <c r="AS112" s="31">
        <v>0.8</v>
      </c>
      <c r="AT112" s="31">
        <v>1.02</v>
      </c>
      <c r="AU112" s="29">
        <v>30</v>
      </c>
      <c r="AV112"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12" s="53">
        <f>DBImplements[[#This Row],[TradeIn%]]*DBImplements[[#This Row],[PriceL]]</f>
        <v>6711.7343753870919</v>
      </c>
      <c r="AX112" s="54">
        <f>(DBImplements[[#This Row],[PriceP]]-DBImplements[[#This Row],[TradeIn$]])/DBImplements[[#This Row],[Life (yr)]]/DBImplements[[#This Row],[Use (ac/yr)]]</f>
        <v>0.54519891355758587</v>
      </c>
      <c r="AY112" s="76">
        <f>((DBImplements[[#This Row],[PriceP]]+DBImplements[[#This Row],[TradeIn$]])/2*(Equipment!$CS$256+Equipment!$CS$257+Equipment!$CS$258)+DBImplements[[#This Row],[Shed (ft^2)]]*Equipment!$CS$260)/DBImplements[[#This Row],[Use (ac/yr)]]</f>
        <v>0.44247025727101957</v>
      </c>
      <c r="AZ112" s="55">
        <f>DBImplements[[#This Row],[PriceL]]*(VLOOKUP(DBImplements[[#This Row],[ASABEtype]],DB_ASABECoef[],2)*(DBImplements[[#This Row],[Life (yr)]]*DBImplements[[#This Row],[Use (hr/yr)]]/1000)^VLOOKUP(DBImplements[[#This Row],[ASABEtype]],DB_ASABECoef[],3))/DBImplements[[#This Row],[Life (yr)]]/DBImplements[[#This Row],[Use (ac/yr)]]</f>
        <v>8.1544785745267467E-2</v>
      </c>
      <c r="BA112" s="14">
        <f>Equipment!$CS$265/(DBImplements[[#This Row],[Width]]*DBImplements[[#This Row],[Speed]]*DBImplements[[#This Row],[Efficiency]])</f>
        <v>2.5781249999999999E-2</v>
      </c>
      <c r="BB112" s="14">
        <f>DBImplements[[#This Row],[EquipHrs (hr/ac)]]*DBImplements[[#This Row],[LaborUse]]</f>
        <v>2.6296874999999997E-2</v>
      </c>
      <c r="BC112" s="39">
        <f>SUM(DBImplements[[#This Row],[Depr ($/ac)]:[OH ($/ac)]])</f>
        <v>0.98766917082860539</v>
      </c>
      <c r="BD112" s="39"/>
      <c r="BE112" s="12" t="s">
        <v>240</v>
      </c>
      <c r="BF112"/>
      <c r="BG112" s="191"/>
      <c r="BH112"/>
      <c r="BI112"/>
      <c r="BJ112"/>
      <c r="BK112"/>
      <c r="BL112"/>
      <c r="BM112"/>
      <c r="BN112"/>
      <c r="BO112"/>
      <c r="BP112"/>
      <c r="BQ112"/>
      <c r="BR112"/>
      <c r="BS112"/>
      <c r="BT112"/>
      <c r="BU112"/>
      <c r="BV112"/>
      <c r="BW112"/>
      <c r="BX112"/>
      <c r="BY112"/>
      <c r="BZ112"/>
      <c r="CA112"/>
      <c r="CB112" s="191"/>
      <c r="CC112"/>
      <c r="CD112"/>
      <c r="CE112"/>
      <c r="CF112"/>
      <c r="CG112"/>
      <c r="CH112"/>
      <c r="CI112"/>
      <c r="CJ112"/>
      <c r="CK112"/>
      <c r="CL112"/>
      <c r="CM112"/>
      <c r="CN112"/>
      <c r="CO112"/>
      <c r="CP112" s="252"/>
    </row>
    <row r="113" spans="22:94" ht="16.5">
      <c r="V113" s="191"/>
      <c r="W113"/>
      <c r="X113"/>
      <c r="Y113"/>
      <c r="Z113"/>
      <c r="AA113"/>
      <c r="AB113"/>
      <c r="AC113" s="191"/>
      <c r="AD113"/>
      <c r="AE113" s="12" t="str">
        <f>DBImplements[[#This Row],[Implement type]]&amp;", "&amp;DBImplements[[#This Row],[Width]]&amp;" "&amp;DBImplements[[#This Row],[Width Unit]]</f>
        <v>Anhydrous applicator, 21 Ft Folding</v>
      </c>
      <c r="AF113" s="58" t="s">
        <v>230</v>
      </c>
      <c r="AG113" s="29">
        <v>21</v>
      </c>
      <c r="AH113" s="28" t="str">
        <f t="shared" ref="AH113:AH120" si="10">IF(AG113&gt;15,"Ft Folding","Ft")</f>
        <v>Ft Folding</v>
      </c>
      <c r="AI113" s="29"/>
      <c r="AJ113" s="58"/>
      <c r="AK113" s="30">
        <v>41000</v>
      </c>
      <c r="AL113" s="31">
        <v>0.15</v>
      </c>
      <c r="AM113" s="32">
        <f t="shared" si="8"/>
        <v>48235.294117647063</v>
      </c>
      <c r="AN113" s="29">
        <v>12</v>
      </c>
      <c r="AO113" s="29">
        <v>100</v>
      </c>
      <c r="AP113" s="33">
        <f t="shared" si="9"/>
        <v>979.99999999999989</v>
      </c>
      <c r="AQ113" s="29" t="s">
        <v>100</v>
      </c>
      <c r="AR113" s="29">
        <v>5.5</v>
      </c>
      <c r="AS113" s="31">
        <v>0.7</v>
      </c>
      <c r="AT113" s="31">
        <v>1.1499999999999999</v>
      </c>
      <c r="AU113" s="29">
        <v>180</v>
      </c>
      <c r="AV113"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0.31452774341473483</v>
      </c>
      <c r="AW113" s="53">
        <f>DBImplements[[#This Row],[TradeIn%]]*DBImplements[[#This Row],[PriceL]]</f>
        <v>15171.338211769564</v>
      </c>
      <c r="AX113" s="54">
        <f>(DBImplements[[#This Row],[PriceP]]-DBImplements[[#This Row],[TradeIn$]])/DBImplements[[#This Row],[Life (yr)]]/DBImplements[[#This Row],[Use (ac/yr)]]</f>
        <v>2.1963147779107515</v>
      </c>
      <c r="AY113" s="76">
        <f>((DBImplements[[#This Row],[PriceP]]+DBImplements[[#This Row],[TradeIn$]])/2*(Equipment!$CS$256+Equipment!$CS$257+Equipment!$CS$258)+DBImplements[[#This Row],[Shed (ft^2)]]*Equipment!$CS$260)/DBImplements[[#This Row],[Use (ac/yr)]]</f>
        <v>1.9978565322381607</v>
      </c>
      <c r="AZ113" s="55">
        <f>DBImplements[[#This Row],[PriceL]]*(VLOOKUP(DBImplements[[#This Row],[ASABEtype]],DB_ASABECoef[],2)*(DBImplements[[#This Row],[Life (yr)]]*DBImplements[[#This Row],[Use (hr/yr)]]/1000)^VLOOKUP(DBImplements[[#This Row],[ASABEtype]],DB_ASABECoef[],3))/DBImplements[[#This Row],[Life (yr)]]/DBImplements[[#This Row],[Use (ac/yr)]]</f>
        <v>3.2751694819671116</v>
      </c>
      <c r="BA113" s="14">
        <f>Equipment!$CS$265/(DBImplements[[#This Row],[Width]]*DBImplements[[#This Row],[Speed]]*DBImplements[[#This Row],[Efficiency]])</f>
        <v>0.10204081632653061</v>
      </c>
      <c r="BB113" s="14">
        <f>DBImplements[[#This Row],[EquipHrs (hr/ac)]]*DBImplements[[#This Row],[LaborUse]]</f>
        <v>0.1173469387755102</v>
      </c>
      <c r="BC113" s="39">
        <f>SUM(DBImplements[[#This Row],[Depr ($/ac)]:[OH ($/ac)]])</f>
        <v>4.1941713101489118</v>
      </c>
      <c r="BD113" s="39"/>
      <c r="BE113" s="12" t="s">
        <v>243</v>
      </c>
      <c r="BF113"/>
      <c r="BG113" s="191"/>
      <c r="BH113"/>
      <c r="BI113"/>
      <c r="BJ113"/>
      <c r="BK113"/>
      <c r="BL113"/>
      <c r="BM113"/>
      <c r="BN113"/>
      <c r="BO113"/>
      <c r="BP113"/>
      <c r="BQ113"/>
      <c r="BR113"/>
      <c r="BS113"/>
      <c r="BT113"/>
      <c r="BU113"/>
      <c r="BV113"/>
      <c r="BW113"/>
      <c r="BX113"/>
      <c r="BY113"/>
      <c r="BZ113"/>
      <c r="CA113"/>
      <c r="CB113" s="191"/>
      <c r="CC113"/>
      <c r="CD113"/>
      <c r="CE113"/>
      <c r="CF113"/>
      <c r="CG113"/>
      <c r="CH113"/>
      <c r="CI113"/>
      <c r="CJ113"/>
      <c r="CK113"/>
      <c r="CL113"/>
      <c r="CM113"/>
      <c r="CN113"/>
      <c r="CO113"/>
      <c r="CP113" s="252"/>
    </row>
    <row r="114" spans="22:94" ht="16.5">
      <c r="V114" s="191"/>
      <c r="W114"/>
      <c r="X114"/>
      <c r="Y114"/>
      <c r="Z114"/>
      <c r="AA114"/>
      <c r="AB114"/>
      <c r="AC114" s="191"/>
      <c r="AD114"/>
      <c r="AE114" s="12" t="str">
        <f>DBImplements[[#This Row],[Implement type]]&amp;", "&amp;DBImplements[[#This Row],[Width]]&amp;" "&amp;DBImplements[[#This Row],[Width Unit]]</f>
        <v>Anhydrous applicator, 36 Ft Folding</v>
      </c>
      <c r="AF114" s="58" t="s">
        <v>230</v>
      </c>
      <c r="AG114" s="29">
        <v>36</v>
      </c>
      <c r="AH114" s="28" t="str">
        <f t="shared" si="10"/>
        <v>Ft Folding</v>
      </c>
      <c r="AI114" s="29"/>
      <c r="AJ114" s="58"/>
      <c r="AK114" s="30">
        <v>54000</v>
      </c>
      <c r="AL114" s="31">
        <v>0.15</v>
      </c>
      <c r="AM114" s="32">
        <f t="shared" si="8"/>
        <v>63529.411764705881</v>
      </c>
      <c r="AN114" s="29">
        <v>12</v>
      </c>
      <c r="AO114" s="29">
        <v>100</v>
      </c>
      <c r="AP114" s="33">
        <f t="shared" si="9"/>
        <v>1680</v>
      </c>
      <c r="AQ114" s="29" t="s">
        <v>100</v>
      </c>
      <c r="AR114" s="29">
        <v>5.5</v>
      </c>
      <c r="AS114" s="31">
        <v>0.7</v>
      </c>
      <c r="AT114" s="31">
        <v>1.1499999999999999</v>
      </c>
      <c r="AU114" s="29">
        <v>200</v>
      </c>
      <c r="AV114"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0.31452774341473483</v>
      </c>
      <c r="AW114" s="53">
        <f>DBImplements[[#This Row],[TradeIn%]]*DBImplements[[#This Row],[PriceL]]</f>
        <v>19981.762522818448</v>
      </c>
      <c r="AX114" s="54">
        <f>(DBImplements[[#This Row],[PriceP]]-DBImplements[[#This Row],[TradeIn$]])/DBImplements[[#This Row],[Life (yr)]]/DBImplements[[#This Row],[Use (ac/yr)]]</f>
        <v>1.6874125732728944</v>
      </c>
      <c r="AY114" s="76">
        <f>((DBImplements[[#This Row],[PriceP]]+DBImplements[[#This Row],[TradeIn$]])/2*(Equipment!$CS$256+Equipment!$CS$257+Equipment!$CS$258)+DBImplements[[#This Row],[Shed (ft^2)]]*Equipment!$CS$260)/DBImplements[[#This Row],[Use (ac/yr)]]</f>
        <v>1.5135504480550599</v>
      </c>
      <c r="AZ114" s="55">
        <f>DBImplements[[#This Row],[PriceL]]*(VLOOKUP(DBImplements[[#This Row],[ASABEtype]],DB_ASABECoef[],2)*(DBImplements[[#This Row],[Life (yr)]]*DBImplements[[#This Row],[Use (hr/yr)]]/1000)^VLOOKUP(DBImplements[[#This Row],[ASABEtype]],DB_ASABECoef[],3))/DBImplements[[#This Row],[Life (yr)]]/DBImplements[[#This Row],[Use (ac/yr)]]</f>
        <v>2.5162887483405858</v>
      </c>
      <c r="BA114" s="14">
        <f>Equipment!$CS$265/(DBImplements[[#This Row],[Width]]*DBImplements[[#This Row],[Speed]]*DBImplements[[#This Row],[Efficiency]])</f>
        <v>5.9523809523809527E-2</v>
      </c>
      <c r="BB114" s="14">
        <f>DBImplements[[#This Row],[EquipHrs (hr/ac)]]*DBImplements[[#This Row],[LaborUse]]</f>
        <v>6.8452380952380945E-2</v>
      </c>
      <c r="BC114" s="39">
        <f>SUM(DBImplements[[#This Row],[Depr ($/ac)]:[OH ($/ac)]])</f>
        <v>3.2009630213279543</v>
      </c>
      <c r="BD114" s="39"/>
      <c r="BE114" s="12" t="s">
        <v>243</v>
      </c>
      <c r="BF114"/>
      <c r="BG114" s="191"/>
      <c r="BH114"/>
      <c r="BI114"/>
      <c r="BJ114"/>
      <c r="BK114"/>
      <c r="BL114"/>
      <c r="BM114"/>
      <c r="BN114"/>
      <c r="BO114"/>
      <c r="BP114"/>
      <c r="BQ114"/>
      <c r="BR114"/>
      <c r="BS114"/>
      <c r="BT114"/>
      <c r="BU114"/>
      <c r="BV114"/>
      <c r="BW114"/>
      <c r="BX114"/>
      <c r="BY114"/>
      <c r="BZ114"/>
      <c r="CA114"/>
      <c r="CB114" s="191"/>
      <c r="CC114"/>
      <c r="CD114"/>
      <c r="CE114"/>
      <c r="CF114"/>
      <c r="CG114"/>
      <c r="CH114"/>
      <c r="CI114"/>
      <c r="CJ114"/>
      <c r="CK114"/>
      <c r="CL114"/>
      <c r="CM114"/>
      <c r="CN114"/>
      <c r="CO114"/>
      <c r="CP114" s="252"/>
    </row>
    <row r="115" spans="22:94" ht="16.5">
      <c r="V115" s="191"/>
      <c r="W115"/>
      <c r="X115"/>
      <c r="Y115"/>
      <c r="Z115"/>
      <c r="AA115"/>
      <c r="AB115"/>
      <c r="AC115" s="191"/>
      <c r="AD115"/>
      <c r="AE115" s="12" t="str">
        <f>DBImplements[[#This Row],[Implement type]]&amp;", "&amp;DBImplements[[#This Row],[Width]]&amp;" "&amp;DBImplements[[#This Row],[Width Unit]]</f>
        <v>Cultimulcher, 21 Ft Folding</v>
      </c>
      <c r="AF115" s="58" t="s">
        <v>218</v>
      </c>
      <c r="AG115" s="29">
        <v>21</v>
      </c>
      <c r="AH115" s="28" t="str">
        <f t="shared" si="10"/>
        <v>Ft Folding</v>
      </c>
      <c r="AI115" s="29"/>
      <c r="AJ115" s="58"/>
      <c r="AK115" s="30">
        <v>67000</v>
      </c>
      <c r="AL115" s="31">
        <v>0.1</v>
      </c>
      <c r="AM115" s="32">
        <f t="shared" si="8"/>
        <v>74444.444444444438</v>
      </c>
      <c r="AN115" s="29">
        <v>12</v>
      </c>
      <c r="AO115" s="29">
        <v>80</v>
      </c>
      <c r="AP115" s="33">
        <f t="shared" si="9"/>
        <v>977.45454545454561</v>
      </c>
      <c r="AQ115" s="29" t="s">
        <v>137</v>
      </c>
      <c r="AR115" s="29">
        <v>6</v>
      </c>
      <c r="AS115" s="31">
        <v>0.8</v>
      </c>
      <c r="AT115" s="31">
        <v>1.02</v>
      </c>
      <c r="AU115" s="29">
        <v>225</v>
      </c>
      <c r="AV115"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0.34143443659524941</v>
      </c>
      <c r="AW115" s="53">
        <f>DBImplements[[#This Row],[TradeIn%]]*DBImplements[[#This Row],[PriceL]]</f>
        <v>25417.896946535231</v>
      </c>
      <c r="AX115" s="54">
        <f>(DBImplements[[#This Row],[PriceP]]-DBImplements[[#This Row],[TradeIn$]])/DBImplements[[#This Row],[Life (yr)]]/DBImplements[[#This Row],[Use (ac/yr)]]</f>
        <v>3.5451011717828655</v>
      </c>
      <c r="AY115" s="76">
        <f>((DBImplements[[#This Row],[PriceP]]+DBImplements[[#This Row],[TradeIn$]])/2*(Equipment!$CS$256+Equipment!$CS$257+Equipment!$CS$258)+DBImplements[[#This Row],[Shed (ft^2)]]*Equipment!$CS$260)/DBImplements[[#This Row],[Use (ac/yr)]]</f>
        <v>3.225052775521855</v>
      </c>
      <c r="AZ115" s="55">
        <f>DBImplements[[#This Row],[PriceL]]*(VLOOKUP(DBImplements[[#This Row],[ASABEtype]],DB_ASABECoef[],2)*(DBImplements[[#This Row],[Life (yr)]]*DBImplements[[#This Row],[Use (hr/yr)]]/1000)^VLOOKUP(DBImplements[[#This Row],[ASABEtype]],DB_ASABECoef[],3))/DBImplements[[#This Row],[Life (yr)]]/DBImplements[[#This Row],[Use (ac/yr)]]</f>
        <v>0.96300171880027585</v>
      </c>
      <c r="BA115" s="14">
        <f>Equipment!$CS$265/(DBImplements[[#This Row],[Width]]*DBImplements[[#This Row],[Speed]]*DBImplements[[#This Row],[Efficiency]])</f>
        <v>8.1845238095238082E-2</v>
      </c>
      <c r="BB115" s="14">
        <f>DBImplements[[#This Row],[EquipHrs (hr/ac)]]*DBImplements[[#This Row],[LaborUse]]</f>
        <v>8.3482142857142852E-2</v>
      </c>
      <c r="BC115" s="39">
        <f>SUM(DBImplements[[#This Row],[Depr ($/ac)]:[OH ($/ac)]])</f>
        <v>6.7701539473047205</v>
      </c>
      <c r="BD115" s="39"/>
      <c r="BE115" s="12" t="s">
        <v>241</v>
      </c>
      <c r="BF115"/>
      <c r="BG115" s="191"/>
      <c r="BH115"/>
      <c r="BI115"/>
      <c r="BJ115"/>
      <c r="BK115"/>
      <c r="BL115"/>
      <c r="BM115"/>
      <c r="BN115"/>
      <c r="BO115"/>
      <c r="BP115"/>
      <c r="BQ115"/>
      <c r="BR115"/>
      <c r="BS115"/>
      <c r="BT115"/>
      <c r="BU115"/>
      <c r="BV115"/>
      <c r="BW115"/>
      <c r="BX115"/>
      <c r="BY115"/>
      <c r="BZ115"/>
      <c r="CA115"/>
      <c r="CB115" s="191"/>
      <c r="CC115"/>
      <c r="CD115"/>
      <c r="CE115"/>
      <c r="CF115"/>
      <c r="CG115"/>
      <c r="CH115"/>
      <c r="CI115"/>
      <c r="CJ115"/>
      <c r="CK115"/>
      <c r="CL115"/>
      <c r="CM115"/>
      <c r="CN115"/>
      <c r="CO115"/>
      <c r="CP115" s="252"/>
    </row>
    <row r="116" spans="22:94" ht="16.5">
      <c r="V116" s="191"/>
      <c r="W116"/>
      <c r="X116"/>
      <c r="Y116"/>
      <c r="Z116"/>
      <c r="AA116"/>
      <c r="AB116"/>
      <c r="AC116" s="191"/>
      <c r="AD116"/>
      <c r="AE116" s="12" t="str">
        <f>DBImplements[[#This Row],[Implement type]]&amp;", "&amp;DBImplements[[#This Row],[Width]]&amp;" "&amp;DBImplements[[#This Row],[Width Unit]]</f>
        <v>Field cultivator, 24 Ft Folding</v>
      </c>
      <c r="AF116" s="58" t="s">
        <v>96</v>
      </c>
      <c r="AG116" s="29">
        <v>24</v>
      </c>
      <c r="AH116" s="28" t="str">
        <f t="shared" si="10"/>
        <v>Ft Folding</v>
      </c>
      <c r="AI116" s="29"/>
      <c r="AJ116" s="29"/>
      <c r="AK116" s="30">
        <v>53500</v>
      </c>
      <c r="AL116" s="31">
        <v>0.1</v>
      </c>
      <c r="AM116" s="32">
        <f t="shared" si="8"/>
        <v>59444.444444444445</v>
      </c>
      <c r="AN116" s="29">
        <v>12</v>
      </c>
      <c r="AO116" s="29">
        <v>100</v>
      </c>
      <c r="AP116" s="33">
        <f t="shared" si="9"/>
        <v>1730.9090909090908</v>
      </c>
      <c r="AQ116" s="29" t="s">
        <v>97</v>
      </c>
      <c r="AR116" s="29">
        <v>7</v>
      </c>
      <c r="AS116" s="31">
        <v>0.85</v>
      </c>
      <c r="AT116" s="31">
        <v>1.02</v>
      </c>
      <c r="AU116" s="29">
        <v>200</v>
      </c>
      <c r="AV116"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0.30248724410907551</v>
      </c>
      <c r="AW116" s="53">
        <f>DBImplements[[#This Row],[TradeIn%]]*DBImplements[[#This Row],[PriceL]]</f>
        <v>17981.186177595046</v>
      </c>
      <c r="AX116" s="54">
        <f>(DBImplements[[#This Row],[PriceP]]-DBImplements[[#This Row],[TradeIn$]])/DBImplements[[#This Row],[Life (yr)]]/DBImplements[[#This Row],[Use (ac/yr)]]</f>
        <v>1.710026925973628</v>
      </c>
      <c r="AY116" s="37">
        <f>((DBImplements[[#This Row],[PriceP]]+DBImplements[[#This Row],[TradeIn$]])/2*(Equipment!$CS$256+Equipment!$CS$257+Equipment!$CS$258)+DBImplements[[#This Row],[Shed (ft^2)]]*Equipment!$CS$260)/DBImplements[[#This Row],[Use (ac/yr)]]</f>
        <v>1.4231662810655588</v>
      </c>
      <c r="AZ116" s="55">
        <f>DBImplements[[#This Row],[PriceL]]*(VLOOKUP(DBImplements[[#This Row],[ASABEtype]],DB_ASABECoef[],2)*(DBImplements[[#This Row],[Life (yr)]]*DBImplements[[#This Row],[Use (hr/yr)]]/1000)^VLOOKUP(DBImplements[[#This Row],[ASABEtype]],DB_ASABECoef[],3))/DBImplements[[#This Row],[Life (yr)]]/DBImplements[[#This Row],[Use (ac/yr)]]</f>
        <v>0.99740898522292698</v>
      </c>
      <c r="BA116" s="14">
        <f>Equipment!$CS$265/(DBImplements[[#This Row],[Width]]*DBImplements[[#This Row],[Speed]]*DBImplements[[#This Row],[Efficiency]])</f>
        <v>5.7773109243697489E-2</v>
      </c>
      <c r="BB116" s="14">
        <f>DBImplements[[#This Row],[EquipHrs (hr/ac)]]*DBImplements[[#This Row],[LaborUse]]</f>
        <v>5.8928571428571441E-2</v>
      </c>
      <c r="BC116" s="39">
        <f>SUM(DBImplements[[#This Row],[Depr ($/ac)]:[OH ($/ac)]])</f>
        <v>3.133193207039187</v>
      </c>
      <c r="BD116" s="40">
        <v>8</v>
      </c>
      <c r="BE116" s="12" t="s">
        <v>241</v>
      </c>
      <c r="BF116"/>
      <c r="BG116" s="191"/>
      <c r="BH116"/>
      <c r="BI116"/>
      <c r="BJ116"/>
      <c r="BK116"/>
      <c r="BL116"/>
      <c r="BM116"/>
      <c r="BN116"/>
      <c r="BO116"/>
      <c r="BP116"/>
      <c r="BQ116"/>
      <c r="BR116"/>
      <c r="BS116"/>
      <c r="BT116"/>
      <c r="BU116"/>
      <c r="BV116"/>
      <c r="BW116"/>
      <c r="BX116"/>
      <c r="BY116"/>
      <c r="BZ116"/>
      <c r="CA116"/>
      <c r="CB116" s="191"/>
      <c r="CC116"/>
      <c r="CD116"/>
      <c r="CE116"/>
      <c r="CF116"/>
      <c r="CG116"/>
      <c r="CH116"/>
      <c r="CI116"/>
      <c r="CJ116"/>
      <c r="CK116"/>
      <c r="CL116"/>
      <c r="CM116"/>
      <c r="CN116"/>
      <c r="CO116"/>
      <c r="CP116" s="252"/>
    </row>
    <row r="117" spans="22:94" ht="16.5">
      <c r="V117" s="191"/>
      <c r="W117"/>
      <c r="X117"/>
      <c r="Y117"/>
      <c r="Z117"/>
      <c r="AA117"/>
      <c r="AB117"/>
      <c r="AC117" s="191"/>
      <c r="AD117"/>
      <c r="AE117" s="12" t="str">
        <f>DBImplements[[#This Row],[Implement type]]&amp;", "&amp;DBImplements[[#This Row],[Width]]&amp;" "&amp;DBImplements[[#This Row],[Width Unit]]</f>
        <v>Field cultivator, 47 Ft Folding</v>
      </c>
      <c r="AF117" s="58" t="s">
        <v>96</v>
      </c>
      <c r="AG117" s="29">
        <v>47</v>
      </c>
      <c r="AH117" s="28" t="str">
        <f t="shared" si="10"/>
        <v>Ft Folding</v>
      </c>
      <c r="AI117" s="29"/>
      <c r="AJ117" s="29"/>
      <c r="AK117" s="30">
        <v>102000</v>
      </c>
      <c r="AL117" s="31">
        <v>0.1</v>
      </c>
      <c r="AM117" s="32">
        <f t="shared" si="8"/>
        <v>113333.33333333333</v>
      </c>
      <c r="AN117" s="29">
        <v>12</v>
      </c>
      <c r="AO117" s="29">
        <v>100</v>
      </c>
      <c r="AP117" s="33">
        <f t="shared" si="9"/>
        <v>3389.6969696969691</v>
      </c>
      <c r="AQ117" s="29" t="s">
        <v>97</v>
      </c>
      <c r="AR117" s="29">
        <v>7</v>
      </c>
      <c r="AS117" s="31">
        <v>0.85</v>
      </c>
      <c r="AT117" s="31">
        <v>1.02</v>
      </c>
      <c r="AU117" s="29">
        <v>400</v>
      </c>
      <c r="AV117"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0.30248724410907551</v>
      </c>
      <c r="AW117" s="53">
        <f>DBImplements[[#This Row],[TradeIn%]]*DBImplements[[#This Row],[PriceL]]</f>
        <v>34281.887665695227</v>
      </c>
      <c r="AX117" s="54">
        <f>(DBImplements[[#This Row],[PriceP]]-DBImplements[[#This Row],[TradeIn$]])/DBImplements[[#This Row],[Life (yr)]]/DBImplements[[#This Row],[Use (ac/yr)]]</f>
        <v>1.6648025113475611</v>
      </c>
      <c r="AY117" s="37">
        <f>((DBImplements[[#This Row],[PriceP]]+DBImplements[[#This Row],[TradeIn$]])/2*(Equipment!$CS$256+Equipment!$CS$257+Equipment!$CS$258)+DBImplements[[#This Row],[Shed (ft^2)]]*Equipment!$CS$260)/DBImplements[[#This Row],[Use (ac/yr)]]</f>
        <v>1.3908728599634468</v>
      </c>
      <c r="AZ117" s="55">
        <f>DBImplements[[#This Row],[PriceL]]*(VLOOKUP(DBImplements[[#This Row],[ASABEtype]],DB_ASABECoef[],2)*(DBImplements[[#This Row],[Life (yr)]]*DBImplements[[#This Row],[Use (hr/yr)]]/1000)^VLOOKUP(DBImplements[[#This Row],[ASABEtype]],DB_ASABECoef[],3))/DBImplements[[#This Row],[Life (yr)]]/DBImplements[[#This Row],[Use (ac/yr)]]</f>
        <v>0.97103089911542062</v>
      </c>
      <c r="BA117" s="14">
        <f>Equipment!$CS$265/(DBImplements[[#This Row],[Width]]*DBImplements[[#This Row],[Speed]]*DBImplements[[#This Row],[Efficiency]])</f>
        <v>2.9501162166994461E-2</v>
      </c>
      <c r="BB117" s="14">
        <f>DBImplements[[#This Row],[EquipHrs (hr/ac)]]*DBImplements[[#This Row],[LaborUse]]</f>
        <v>3.0091185410334349E-2</v>
      </c>
      <c r="BC117" s="39">
        <f>SUM(DBImplements[[#This Row],[Depr ($/ac)]:[OH ($/ac)]])</f>
        <v>3.0556753713110076</v>
      </c>
      <c r="BD117" s="40">
        <v>9</v>
      </c>
      <c r="BE117" s="12" t="s">
        <v>241</v>
      </c>
      <c r="BF117"/>
      <c r="BG117" s="191"/>
      <c r="BH117"/>
      <c r="BI117"/>
      <c r="BJ117"/>
      <c r="BK117"/>
      <c r="BL117"/>
      <c r="BM117"/>
      <c r="BN117"/>
      <c r="BO117"/>
      <c r="BP117"/>
      <c r="BQ117"/>
      <c r="BR117"/>
      <c r="BS117"/>
      <c r="BT117"/>
      <c r="BU117"/>
      <c r="BV117"/>
      <c r="BW117"/>
      <c r="BX117"/>
      <c r="BY117"/>
      <c r="BZ117"/>
      <c r="CA117"/>
      <c r="CB117" s="191"/>
      <c r="CC117"/>
      <c r="CD117"/>
      <c r="CE117"/>
      <c r="CF117"/>
      <c r="CG117"/>
      <c r="CH117"/>
      <c r="CI117"/>
      <c r="CJ117"/>
      <c r="CK117"/>
      <c r="CL117"/>
      <c r="CM117"/>
      <c r="CN117"/>
      <c r="CO117"/>
      <c r="CP117" s="252"/>
    </row>
    <row r="118" spans="22:94" ht="16.5">
      <c r="V118" s="191"/>
      <c r="W118"/>
      <c r="X118"/>
      <c r="Y118"/>
      <c r="Z118"/>
      <c r="AA118"/>
      <c r="AB118"/>
      <c r="AC118" s="191"/>
      <c r="AD118"/>
      <c r="AE118" s="12" t="str">
        <f>DBImplements[[#This Row],[Implement type]]&amp;", "&amp;DBImplements[[#This Row],[Width]]&amp;" "&amp;DBImplements[[#This Row],[Width Unit]]</f>
        <v>Field cultivator, 60 Ft Folding</v>
      </c>
      <c r="AF118" s="58" t="s">
        <v>96</v>
      </c>
      <c r="AG118" s="29">
        <v>60</v>
      </c>
      <c r="AH118" s="28" t="str">
        <f t="shared" si="10"/>
        <v>Ft Folding</v>
      </c>
      <c r="AI118" s="29"/>
      <c r="AJ118" s="29"/>
      <c r="AK118" s="30">
        <v>137500</v>
      </c>
      <c r="AL118" s="31">
        <v>0.1</v>
      </c>
      <c r="AM118" s="32">
        <f t="shared" si="8"/>
        <v>152777.77777777778</v>
      </c>
      <c r="AN118" s="29">
        <v>12</v>
      </c>
      <c r="AO118" s="29">
        <v>100</v>
      </c>
      <c r="AP118" s="33">
        <f t="shared" si="9"/>
        <v>4327.272727272727</v>
      </c>
      <c r="AQ118" s="29" t="s">
        <v>97</v>
      </c>
      <c r="AR118" s="29">
        <v>7</v>
      </c>
      <c r="AS118" s="31">
        <v>0.85</v>
      </c>
      <c r="AT118" s="31">
        <v>1.02</v>
      </c>
      <c r="AU118" s="29">
        <v>400</v>
      </c>
      <c r="AV118"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0.30248724410907551</v>
      </c>
      <c r="AW118" s="53">
        <f>DBImplements[[#This Row],[TradeIn%]]*DBImplements[[#This Row],[PriceL]]</f>
        <v>46213.32896110876</v>
      </c>
      <c r="AX118" s="54">
        <f>(DBImplements[[#This Row],[PriceP]]-DBImplements[[#This Row],[TradeIn$]])/DBImplements[[#This Row],[Life (yr)]]/DBImplements[[#This Row],[Use (ac/yr)]]</f>
        <v>1.757971606141113</v>
      </c>
      <c r="AY118" s="37">
        <f>((DBImplements[[#This Row],[PriceP]]+DBImplements[[#This Row],[TradeIn$]])/2*(Equipment!$CS$256+Equipment!$CS$257+Equipment!$CS$258)+DBImplements[[#This Row],[Shed (ft^2)]]*Equipment!$CS$260)/DBImplements[[#This Row],[Use (ac/yr)]]</f>
        <v>1.437530327260369</v>
      </c>
      <c r="AZ118" s="55">
        <f>DBImplements[[#This Row],[PriceL]]*(VLOOKUP(DBImplements[[#This Row],[ASABEtype]],DB_ASABECoef[],2)*(DBImplements[[#This Row],[Life (yr)]]*DBImplements[[#This Row],[Use (hr/yr)]]/1000)^VLOOKUP(DBImplements[[#This Row],[ASABEtype]],DB_ASABECoef[],3))/DBImplements[[#This Row],[Life (yr)]]/DBImplements[[#This Row],[Use (ac/yr)]]</f>
        <v>1.0253737231263733</v>
      </c>
      <c r="BA118" s="14">
        <f>Equipment!$CS$265/(DBImplements[[#This Row],[Width]]*DBImplements[[#This Row],[Speed]]*DBImplements[[#This Row],[Efficiency]])</f>
        <v>2.3109243697478993E-2</v>
      </c>
      <c r="BB118" s="14">
        <f>DBImplements[[#This Row],[EquipHrs (hr/ac)]]*DBImplements[[#This Row],[LaborUse]]</f>
        <v>2.3571428571428573E-2</v>
      </c>
      <c r="BC118" s="39">
        <f>SUM(DBImplements[[#This Row],[Depr ($/ac)]:[OH ($/ac)]])</f>
        <v>3.195501933401482</v>
      </c>
      <c r="BD118" s="40">
        <v>10</v>
      </c>
      <c r="BE118" s="12" t="s">
        <v>241</v>
      </c>
      <c r="BF118"/>
      <c r="BG118" s="191"/>
      <c r="BH118"/>
      <c r="BI118"/>
      <c r="BJ118"/>
      <c r="BK118"/>
      <c r="BL118"/>
      <c r="BM118"/>
      <c r="BN118"/>
      <c r="BO118"/>
      <c r="BP118"/>
      <c r="BQ118"/>
      <c r="BR118"/>
      <c r="BS118"/>
      <c r="BT118"/>
      <c r="BU118"/>
      <c r="BV118"/>
      <c r="BW118"/>
      <c r="BX118"/>
      <c r="BY118"/>
      <c r="BZ118"/>
      <c r="CA118"/>
      <c r="CB118" s="191"/>
      <c r="CC118"/>
      <c r="CD118"/>
      <c r="CE118"/>
      <c r="CF118"/>
      <c r="CG118"/>
      <c r="CH118"/>
      <c r="CI118"/>
      <c r="CJ118"/>
      <c r="CK118"/>
      <c r="CL118"/>
      <c r="CM118"/>
      <c r="CN118"/>
      <c r="CO118"/>
      <c r="CP118" s="252"/>
    </row>
    <row r="119" spans="22:94" ht="16.5">
      <c r="V119" s="191"/>
      <c r="W119"/>
      <c r="X119"/>
      <c r="Y119"/>
      <c r="Z119"/>
      <c r="AA119"/>
      <c r="AB119"/>
      <c r="AC119" s="191"/>
      <c r="AD119"/>
      <c r="AE119" s="12" t="str">
        <f>DBImplements[[#This Row],[Implement type]]&amp;", "&amp;DBImplements[[#This Row],[Width]]&amp;" "&amp;DBImplements[[#This Row],[Width Unit]]</f>
        <v>Tandem disk, 21 Ft Folding</v>
      </c>
      <c r="AF119" s="58" t="s">
        <v>104</v>
      </c>
      <c r="AG119" s="29">
        <v>21</v>
      </c>
      <c r="AH119" s="28" t="str">
        <f t="shared" si="10"/>
        <v>Ft Folding</v>
      </c>
      <c r="AI119" s="29"/>
      <c r="AJ119" s="29"/>
      <c r="AK119" s="30">
        <v>85500</v>
      </c>
      <c r="AL119" s="31">
        <v>0.1</v>
      </c>
      <c r="AM119" s="32">
        <f t="shared" si="8"/>
        <v>95000</v>
      </c>
      <c r="AN119" s="29">
        <v>12</v>
      </c>
      <c r="AO119" s="29">
        <v>100</v>
      </c>
      <c r="AP119" s="33">
        <f t="shared" si="9"/>
        <v>1221.818181818182</v>
      </c>
      <c r="AQ119" s="29" t="s">
        <v>84</v>
      </c>
      <c r="AR119" s="29">
        <v>6</v>
      </c>
      <c r="AS119" s="31">
        <v>0.8</v>
      </c>
      <c r="AT119" s="31">
        <v>1.02</v>
      </c>
      <c r="AU119" s="29">
        <v>260</v>
      </c>
      <c r="AV119"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0.34143443659524941</v>
      </c>
      <c r="AW119" s="53">
        <f>DBImplements[[#This Row],[TradeIn%]]*DBImplements[[#This Row],[PriceL]]</f>
        <v>32436.271476548693</v>
      </c>
      <c r="AX119" s="54">
        <f>(DBImplements[[#This Row],[PriceP]]-DBImplements[[#This Row],[TradeIn$]])/DBImplements[[#This Row],[Life (yr)]]/DBImplements[[#This Row],[Use (ac/yr)]]</f>
        <v>3.619177912685791</v>
      </c>
      <c r="AY119" s="37">
        <f>((DBImplements[[#This Row],[PriceP]]+DBImplements[[#This Row],[TradeIn$]])/2*(Equipment!$CS$256+Equipment!$CS$257+Equipment!$CS$258)+DBImplements[[#This Row],[Shed (ft^2)]]*Equipment!$CS$260)/DBImplements[[#This Row],[Use (ac/yr)]]</f>
        <v>3.2709232922497571</v>
      </c>
      <c r="AZ119" s="55">
        <f>DBImplements[[#This Row],[PriceL]]*(VLOOKUP(DBImplements[[#This Row],[ASABEtype]],DB_ASABECoef[],2)*(DBImplements[[#This Row],[Life (yr)]]*DBImplements[[#This Row],[Use (hr/yr)]]/1000)^VLOOKUP(DBImplements[[#This Row],[ASABEtype]],DB_ASABECoef[],3))/DBImplements[[#This Row],[Life (yr)]]/DBImplements[[#This Row],[Use (ac/yr)]]</f>
        <v>1.5900705685350511</v>
      </c>
      <c r="BA119" s="14">
        <f>Equipment!$CS$265/(DBImplements[[#This Row],[Width]]*DBImplements[[#This Row],[Speed]]*DBImplements[[#This Row],[Efficiency]])</f>
        <v>8.1845238095238082E-2</v>
      </c>
      <c r="BB119" s="14">
        <f>DBImplements[[#This Row],[EquipHrs (hr/ac)]]*DBImplements[[#This Row],[LaborUse]]</f>
        <v>8.3482142857142852E-2</v>
      </c>
      <c r="BC119" s="39">
        <f>SUM(DBImplements[[#This Row],[Depr ($/ac)]:[OH ($/ac)]])</f>
        <v>6.8901012049355481</v>
      </c>
      <c r="BD119" s="40">
        <v>11</v>
      </c>
      <c r="BE119" s="12" t="s">
        <v>241</v>
      </c>
      <c r="BF119"/>
      <c r="BG119" s="191"/>
      <c r="BH119"/>
      <c r="BI119"/>
      <c r="BJ119"/>
      <c r="BK119"/>
      <c r="BL119"/>
      <c r="BM119"/>
      <c r="BN119"/>
      <c r="BO119"/>
      <c r="BP119"/>
      <c r="BQ119"/>
      <c r="BR119"/>
      <c r="BS119"/>
      <c r="BT119"/>
      <c r="BU119"/>
      <c r="BV119"/>
      <c r="BW119"/>
      <c r="BX119"/>
      <c r="BY119"/>
      <c r="BZ119"/>
      <c r="CA119"/>
      <c r="CB119" s="191"/>
      <c r="CC119"/>
      <c r="CD119"/>
      <c r="CE119"/>
      <c r="CF119"/>
      <c r="CG119"/>
      <c r="CH119"/>
      <c r="CI119"/>
      <c r="CJ119"/>
      <c r="CK119"/>
      <c r="CL119"/>
      <c r="CM119"/>
      <c r="CN119"/>
      <c r="CO119"/>
      <c r="CP119" s="252"/>
    </row>
    <row r="120" spans="22:94" ht="16.5">
      <c r="V120" s="191"/>
      <c r="W120"/>
      <c r="X120"/>
      <c r="Y120"/>
      <c r="Z120"/>
      <c r="AA120"/>
      <c r="AB120"/>
      <c r="AC120" s="191"/>
      <c r="AD120"/>
      <c r="AE120" s="12" t="str">
        <f>DBImplements[[#This Row],[Implement type]]&amp;", "&amp;DBImplements[[#This Row],[Width]]&amp;" "&amp;DBImplements[[#This Row],[Width Unit]]</f>
        <v>Tandem disk, 30 Ft Folding</v>
      </c>
      <c r="AF120" s="58" t="s">
        <v>104</v>
      </c>
      <c r="AG120" s="29">
        <v>30</v>
      </c>
      <c r="AH120" s="28" t="str">
        <f t="shared" si="10"/>
        <v>Ft Folding</v>
      </c>
      <c r="AI120" s="29"/>
      <c r="AJ120" s="29"/>
      <c r="AK120" s="30">
        <v>123500</v>
      </c>
      <c r="AL120" s="31">
        <v>0.1</v>
      </c>
      <c r="AM120" s="32">
        <f t="shared" si="8"/>
        <v>137222.22222222222</v>
      </c>
      <c r="AN120" s="29">
        <v>12</v>
      </c>
      <c r="AO120" s="29">
        <v>100</v>
      </c>
      <c r="AP120" s="33">
        <f t="shared" si="9"/>
        <v>1745.4545454545455</v>
      </c>
      <c r="AQ120" s="29" t="s">
        <v>75</v>
      </c>
      <c r="AR120" s="29">
        <v>6</v>
      </c>
      <c r="AS120" s="31">
        <v>0.8</v>
      </c>
      <c r="AT120" s="31">
        <v>1.02</v>
      </c>
      <c r="AU120" s="29">
        <v>280</v>
      </c>
      <c r="AV120"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0.30248724410907551</v>
      </c>
      <c r="AW120" s="53">
        <f>DBImplements[[#This Row],[TradeIn%]]*DBImplements[[#This Row],[PriceL]]</f>
        <v>41507.971830523136</v>
      </c>
      <c r="AX120" s="54">
        <f>(DBImplements[[#This Row],[PriceP]]-DBImplements[[#This Row],[TradeIn$]])/DBImplements[[#This Row],[Life (yr)]]/DBImplements[[#This Row],[Use (ac/yr)]]</f>
        <v>3.9145499560080097</v>
      </c>
      <c r="AY120" s="37">
        <f>((DBImplements[[#This Row],[PriceP]]+DBImplements[[#This Row],[TradeIn$]])/2*(Equipment!$CS$256+Equipment!$CS$257+Equipment!$CS$258)+DBImplements[[#This Row],[Shed (ft^2)]]*Equipment!$CS$260)/DBImplements[[#This Row],[Use (ac/yr)]]</f>
        <v>3.1569910712686795</v>
      </c>
      <c r="AZ120" s="55">
        <f>DBImplements[[#This Row],[PriceL]]*(VLOOKUP(DBImplements[[#This Row],[ASABEtype]],DB_ASABECoef[],2)*(DBImplements[[#This Row],[Life (yr)]]*DBImplements[[#This Row],[Use (hr/yr)]]/1000)^VLOOKUP(DBImplements[[#This Row],[ASABEtype]],DB_ASABECoef[],3))/DBImplements[[#This Row],[Life (yr)]]/DBImplements[[#This Row],[Use (ac/yr)]]</f>
        <v>2.3678077318403421</v>
      </c>
      <c r="BA120" s="14">
        <f>Equipment!$CS$265/(DBImplements[[#This Row],[Width]]*DBImplements[[#This Row],[Speed]]*DBImplements[[#This Row],[Efficiency]])</f>
        <v>5.7291666666666664E-2</v>
      </c>
      <c r="BB120" s="14">
        <f>DBImplements[[#This Row],[EquipHrs (hr/ac)]]*DBImplements[[#This Row],[LaborUse]]</f>
        <v>5.8437499999999996E-2</v>
      </c>
      <c r="BC120" s="39">
        <f>SUM(DBImplements[[#This Row],[Depr ($/ac)]:[OH ($/ac)]])</f>
        <v>7.0715410272766892</v>
      </c>
      <c r="BD120" s="40">
        <v>12</v>
      </c>
      <c r="BE120" s="12" t="s">
        <v>241</v>
      </c>
      <c r="BF120"/>
      <c r="BG120" s="191"/>
      <c r="BH120"/>
      <c r="BI120"/>
      <c r="BJ120"/>
      <c r="BK120"/>
      <c r="BL120"/>
      <c r="BM120"/>
      <c r="BN120"/>
      <c r="BO120"/>
      <c r="BP120"/>
      <c r="BQ120"/>
      <c r="BR120"/>
      <c r="BS120"/>
      <c r="BT120"/>
      <c r="BU120"/>
      <c r="BV120"/>
      <c r="BW120"/>
      <c r="BX120"/>
      <c r="BY120"/>
      <c r="BZ120"/>
      <c r="CA120"/>
      <c r="CB120" s="191"/>
      <c r="CC120"/>
      <c r="CD120"/>
      <c r="CE120"/>
      <c r="CF120"/>
      <c r="CG120"/>
      <c r="CH120"/>
      <c r="CI120"/>
      <c r="CJ120"/>
      <c r="CK120"/>
      <c r="CL120"/>
      <c r="CM120"/>
      <c r="CN120"/>
      <c r="CO120"/>
      <c r="CP120" s="252"/>
    </row>
    <row r="121" spans="22:94" ht="16.5">
      <c r="V121" s="191"/>
      <c r="W121"/>
      <c r="X121"/>
      <c r="Y121"/>
      <c r="Z121"/>
      <c r="AA121"/>
      <c r="AB121"/>
      <c r="AC121" s="191"/>
      <c r="AD121"/>
      <c r="AE121" s="12" t="str">
        <f>DBImplements[[#This Row],[Implement type]]&amp;", "&amp;DBImplements[[#This Row],[Width]]&amp;" "&amp;DBImplements[[#This Row],[Width Unit]]</f>
        <v>Forage harvester, pull-type w/corn head, 7.5 Ft</v>
      </c>
      <c r="AF121" s="28" t="s">
        <v>152</v>
      </c>
      <c r="AG121" s="29">
        <v>7.5</v>
      </c>
      <c r="AH121" s="28" t="s">
        <v>76</v>
      </c>
      <c r="AI121" s="29">
        <v>3</v>
      </c>
      <c r="AJ121" s="28" t="s">
        <v>110</v>
      </c>
      <c r="AK121" s="30">
        <v>94500</v>
      </c>
      <c r="AL121" s="31">
        <v>0.1</v>
      </c>
      <c r="AM121" s="32">
        <f t="shared" si="8"/>
        <v>105000</v>
      </c>
      <c r="AN121" s="29">
        <v>12</v>
      </c>
      <c r="AO121" s="29">
        <v>200</v>
      </c>
      <c r="AP121" s="33">
        <f t="shared" si="9"/>
        <v>413.63636363636363</v>
      </c>
      <c r="AQ121" s="29" t="s">
        <v>153</v>
      </c>
      <c r="AR121" s="29">
        <v>3.5</v>
      </c>
      <c r="AS121" s="31">
        <v>0.65</v>
      </c>
      <c r="AT121" s="31">
        <v>1.1100000000000001</v>
      </c>
      <c r="AU121" s="29">
        <v>140</v>
      </c>
      <c r="AV121"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0.58537933558730071</v>
      </c>
      <c r="AW121" s="53">
        <f>DBImplements[[#This Row],[TradeIn%]]*DBImplements[[#This Row],[PriceL]]</f>
        <v>61464.830236666574</v>
      </c>
      <c r="AX121" s="54">
        <f>(DBImplements[[#This Row],[PriceP]]-DBImplements[[#This Row],[TradeIn$]])/DBImplements[[#This Row],[Life (yr)]]/DBImplements[[#This Row],[Use (ac/yr)]]</f>
        <v>6.6554371318071013</v>
      </c>
      <c r="AY121" s="37">
        <f>((DBImplements[[#This Row],[PriceP]]+DBImplements[[#This Row],[TradeIn$]])/2*(Equipment!$CS$256+Equipment!$CS$257+Equipment!$CS$258)+DBImplements[[#This Row],[Shed (ft^2)]]*Equipment!$CS$260)/DBImplements[[#This Row],[Use (ac/yr)]]</f>
        <v>12.299629486468135</v>
      </c>
      <c r="AZ121" s="55">
        <f>DBImplements[[#This Row],[PriceL]]*(VLOOKUP(DBImplements[[#This Row],[ASABEtype]],DB_ASABECoef[],2)*(DBImplements[[#This Row],[Life (yr)]]*DBImplements[[#This Row],[Use (hr/yr)]]/1000)^VLOOKUP(DBImplements[[#This Row],[ASABEtype]],DB_ASABECoef[],3))/DBImplements[[#This Row],[Life (yr)]]/DBImplements[[#This Row],[Use (ac/yr)]]</f>
        <v>12.877115388658057</v>
      </c>
      <c r="BA121" s="14">
        <f>Equipment!$CS$265/(DBImplements[[#This Row],[Width]]*DBImplements[[#This Row],[Speed]]*DBImplements[[#This Row],[Efficiency]])</f>
        <v>0.48351648351648352</v>
      </c>
      <c r="BB121" s="14">
        <f>DBImplements[[#This Row],[EquipHrs (hr/ac)]]*DBImplements[[#This Row],[LaborUse]]</f>
        <v>0.53670329670329675</v>
      </c>
      <c r="BC121" s="39">
        <f>SUM(DBImplements[[#This Row],[Depr ($/ac)]:[OH ($/ac)]])</f>
        <v>18.955066618275236</v>
      </c>
      <c r="BD121" s="40">
        <v>37</v>
      </c>
      <c r="BE121" s="12" t="s">
        <v>239</v>
      </c>
      <c r="BF121"/>
      <c r="BG121" s="191"/>
      <c r="BH121"/>
      <c r="BI121"/>
      <c r="BJ121"/>
      <c r="BK121"/>
      <c r="BL121"/>
      <c r="BM121"/>
      <c r="BN121"/>
      <c r="BO121"/>
      <c r="BP121"/>
      <c r="BQ121"/>
      <c r="BR121"/>
      <c r="BS121"/>
      <c r="BT121"/>
      <c r="BU121"/>
      <c r="BV121"/>
      <c r="BW121"/>
      <c r="BX121"/>
      <c r="BY121"/>
      <c r="BZ121"/>
      <c r="CA121"/>
      <c r="CB121" s="191"/>
      <c r="CC121"/>
      <c r="CD121"/>
      <c r="CE121"/>
      <c r="CF121"/>
      <c r="CG121"/>
      <c r="CH121"/>
      <c r="CI121"/>
      <c r="CJ121"/>
      <c r="CK121"/>
      <c r="CL121"/>
      <c r="CM121"/>
      <c r="CN121"/>
      <c r="CO121"/>
      <c r="CP121" s="252"/>
    </row>
    <row r="122" spans="22:94" ht="16.5">
      <c r="V122" s="191"/>
      <c r="W122"/>
      <c r="X122"/>
      <c r="Y122"/>
      <c r="Z122"/>
      <c r="AA122"/>
      <c r="AB122"/>
      <c r="AC122" s="191"/>
      <c r="AD122"/>
      <c r="AE122" s="12" t="str">
        <f>DBImplements[[#This Row],[Implement type]]&amp;", "&amp;DBImplements[[#This Row],[Width]]&amp;" "&amp;DBImplements[[#This Row],[Width Unit]]</f>
        <v>Forage harvester, pull-type w/pickup head, 12 Ft</v>
      </c>
      <c r="AF122" s="28" t="s">
        <v>155</v>
      </c>
      <c r="AG122" s="29">
        <v>12</v>
      </c>
      <c r="AH122" s="28" t="s">
        <v>76</v>
      </c>
      <c r="AI122" s="29"/>
      <c r="AJ122" s="28"/>
      <c r="AK122" s="30">
        <v>83000</v>
      </c>
      <c r="AL122" s="31">
        <v>0.1</v>
      </c>
      <c r="AM122" s="32">
        <f t="shared" si="8"/>
        <v>92222.222222222219</v>
      </c>
      <c r="AN122" s="29">
        <v>12</v>
      </c>
      <c r="AO122" s="29">
        <v>200</v>
      </c>
      <c r="AP122" s="33">
        <f t="shared" si="9"/>
        <v>661.81818181818187</v>
      </c>
      <c r="AQ122" s="29" t="s">
        <v>153</v>
      </c>
      <c r="AR122" s="29">
        <v>3.5</v>
      </c>
      <c r="AS122" s="31">
        <v>0.65</v>
      </c>
      <c r="AT122" s="31">
        <v>1.1100000000000001</v>
      </c>
      <c r="AU122" s="29">
        <v>140</v>
      </c>
      <c r="AV122"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0.58537933558730071</v>
      </c>
      <c r="AW122" s="53">
        <f>DBImplements[[#This Row],[TradeIn%]]*DBImplements[[#This Row],[PriceL]]</f>
        <v>53984.98317082884</v>
      </c>
      <c r="AX122" s="54">
        <f>(DBImplements[[#This Row],[PriceP]]-DBImplements[[#This Row],[TradeIn$]])/DBImplements[[#This Row],[Life (yr)]]/DBImplements[[#This Row],[Use (ac/yr)]]</f>
        <v>3.6534476318782367</v>
      </c>
      <c r="AY122" s="37">
        <f>((DBImplements[[#This Row],[PriceP]]+DBImplements[[#This Row],[TradeIn$]])/2*(Equipment!$CS$256+Equipment!$CS$257+Equipment!$CS$258)+DBImplements[[#This Row],[Shed (ft^2)]]*Equipment!$CS$260)/DBImplements[[#This Row],[Use (ac/yr)]]</f>
        <v>6.7767311230338168</v>
      </c>
      <c r="AZ122" s="55">
        <f>DBImplements[[#This Row],[PriceL]]*(VLOOKUP(DBImplements[[#This Row],[ASABEtype]],DB_ASABECoef[],2)*(DBImplements[[#This Row],[Life (yr)]]*DBImplements[[#This Row],[Use (hr/yr)]]/1000)^VLOOKUP(DBImplements[[#This Row],[ASABEtype]],DB_ASABECoef[],3))/DBImplements[[#This Row],[Life (yr)]]/DBImplements[[#This Row],[Use (ac/yr)]]</f>
        <v>7.0687868866310763</v>
      </c>
      <c r="BA122" s="14">
        <f>Equipment!$CS$265/(DBImplements[[#This Row],[Width]]*DBImplements[[#This Row],[Speed]]*DBImplements[[#This Row],[Efficiency]])</f>
        <v>0.30219780219780218</v>
      </c>
      <c r="BB122" s="14">
        <f>DBImplements[[#This Row],[EquipHrs (hr/ac)]]*DBImplements[[#This Row],[LaborUse]]</f>
        <v>0.33543956043956047</v>
      </c>
      <c r="BC122" s="39">
        <f>SUM(DBImplements[[#This Row],[Depr ($/ac)]:[OH ($/ac)]])</f>
        <v>10.430178754912053</v>
      </c>
      <c r="BD122" s="40">
        <v>38</v>
      </c>
      <c r="BE122" s="12" t="s">
        <v>239</v>
      </c>
      <c r="BF122"/>
      <c r="BG122" s="191"/>
      <c r="BH122"/>
      <c r="BI122"/>
      <c r="BJ122"/>
      <c r="BK122"/>
      <c r="BL122"/>
      <c r="BM122"/>
      <c r="BN122"/>
      <c r="BO122"/>
      <c r="BP122"/>
      <c r="BQ122"/>
      <c r="BR122"/>
      <c r="BS122"/>
      <c r="BT122"/>
      <c r="BU122"/>
      <c r="BV122"/>
      <c r="BW122"/>
      <c r="BX122"/>
      <c r="BY122"/>
      <c r="BZ122"/>
      <c r="CA122"/>
      <c r="CB122" s="191"/>
      <c r="CC122"/>
      <c r="CD122"/>
      <c r="CE122"/>
      <c r="CF122"/>
      <c r="CG122"/>
      <c r="CH122"/>
      <c r="CI122"/>
      <c r="CJ122"/>
      <c r="CK122"/>
      <c r="CL122"/>
      <c r="CM122"/>
      <c r="CN122"/>
      <c r="CO122"/>
      <c r="CP122" s="252"/>
    </row>
    <row r="123" spans="22:94" ht="16.5">
      <c r="V123" s="191"/>
      <c r="W123"/>
      <c r="X123"/>
      <c r="Y123"/>
      <c r="Z123"/>
      <c r="AA123"/>
      <c r="AB123"/>
      <c r="AC123" s="191"/>
      <c r="AD123"/>
      <c r="AE123" s="12" t="str">
        <f>DBImplements[[#This Row],[Implement type]]&amp;", "&amp;DBImplements[[#This Row],[Width]]&amp;" "&amp;DBImplements[[#This Row],[Width Unit]]</f>
        <v>Forage harvester, self-prop corn head, 15 Ft</v>
      </c>
      <c r="AF123" s="58" t="s">
        <v>156</v>
      </c>
      <c r="AG123" s="29">
        <v>15</v>
      </c>
      <c r="AH123" s="28" t="s">
        <v>76</v>
      </c>
      <c r="AI123" s="29">
        <v>6</v>
      </c>
      <c r="AJ123" s="28" t="s">
        <v>110</v>
      </c>
      <c r="AK123" s="30">
        <v>107500</v>
      </c>
      <c r="AL123" s="31">
        <v>0.1</v>
      </c>
      <c r="AM123" s="32">
        <f t="shared" si="8"/>
        <v>119444.44444444444</v>
      </c>
      <c r="AN123" s="29">
        <v>12</v>
      </c>
      <c r="AO123" s="29">
        <v>200</v>
      </c>
      <c r="AP123" s="33">
        <f t="shared" si="9"/>
        <v>1018.1818181818181</v>
      </c>
      <c r="AQ123" s="29" t="s">
        <v>112</v>
      </c>
      <c r="AR123" s="29">
        <v>4</v>
      </c>
      <c r="AS123" s="31">
        <v>0.7</v>
      </c>
      <c r="AT123" s="31">
        <v>1.1100000000000001</v>
      </c>
      <c r="AU123" s="29">
        <v>300</v>
      </c>
      <c r="AV123"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0.58537933558730071</v>
      </c>
      <c r="AW123" s="53">
        <f>DBImplements[[#This Row],[TradeIn%]]*DBImplements[[#This Row],[PriceL]]</f>
        <v>69920.309528483136</v>
      </c>
      <c r="AX123" s="54">
        <f>(DBImplements[[#This Row],[PriceP]]-DBImplements[[#This Row],[TradeIn$]])/DBImplements[[#This Row],[Life (yr)]]/DBImplements[[#This Row],[Use (ac/yr)]]</f>
        <v>3.0757187141866482</v>
      </c>
      <c r="AY123" s="37">
        <f>((DBImplements[[#This Row],[PriceP]]+DBImplements[[#This Row],[TradeIn$]])/2*(Equipment!$CS$256+Equipment!$CS$257+Equipment!$CS$258)+DBImplements[[#This Row],[Shed (ft^2)]]*Equipment!$CS$260)/DBImplements[[#This Row],[Use (ac/yr)]]</f>
        <v>5.8180772929703117</v>
      </c>
      <c r="AZ123" s="55">
        <f>DBImplements[[#This Row],[PriceL]]*(VLOOKUP(DBImplements[[#This Row],[ASABEtype]],DB_ASABECoef[],2)*(DBImplements[[#This Row],[Life (yr)]]*DBImplements[[#This Row],[Use (hr/yr)]]/1000)^VLOOKUP(DBImplements[[#This Row],[ASABEtype]],DB_ASABECoef[],3))/DBImplements[[#This Row],[Life (yr)]]/DBImplements[[#This Row],[Use (ac/yr)]]</f>
        <v>1.6892857142857141</v>
      </c>
      <c r="BA123" s="14">
        <f>Equipment!$CS$265/(DBImplements[[#This Row],[Width]]*DBImplements[[#This Row],[Speed]]*DBImplements[[#This Row],[Efficiency]])</f>
        <v>0.19642857142857142</v>
      </c>
      <c r="BB123" s="14">
        <f>DBImplements[[#This Row],[EquipHrs (hr/ac)]]*DBImplements[[#This Row],[LaborUse]]</f>
        <v>0.2180357142857143</v>
      </c>
      <c r="BC123" s="39">
        <f>SUM(DBImplements[[#This Row],[Depr ($/ac)]:[OH ($/ac)]])</f>
        <v>8.8937960071569595</v>
      </c>
      <c r="BD123" s="40">
        <v>39</v>
      </c>
      <c r="BE123" s="12" t="s">
        <v>239</v>
      </c>
      <c r="BF123"/>
      <c r="BG123" s="191"/>
      <c r="BH123"/>
      <c r="BI123"/>
      <c r="BJ123"/>
      <c r="BK123"/>
      <c r="BL123"/>
      <c r="BM123"/>
      <c r="BN123"/>
      <c r="BO123"/>
      <c r="BP123"/>
      <c r="BQ123"/>
      <c r="BR123"/>
      <c r="BS123"/>
      <c r="BT123"/>
      <c r="BU123"/>
      <c r="BV123"/>
      <c r="BW123"/>
      <c r="BX123"/>
      <c r="BY123"/>
      <c r="BZ123"/>
      <c r="CA123"/>
      <c r="CB123" s="191"/>
      <c r="CC123"/>
      <c r="CD123"/>
      <c r="CE123"/>
      <c r="CF123"/>
      <c r="CG123"/>
      <c r="CH123"/>
      <c r="CI123"/>
      <c r="CJ123"/>
      <c r="CK123"/>
      <c r="CL123"/>
      <c r="CM123"/>
      <c r="CN123"/>
      <c r="CO123"/>
      <c r="CP123" s="252"/>
    </row>
    <row r="124" spans="22:94" ht="16.5">
      <c r="V124" s="191"/>
      <c r="W124"/>
      <c r="X124"/>
      <c r="Y124"/>
      <c r="Z124"/>
      <c r="AA124"/>
      <c r="AB124"/>
      <c r="AC124" s="191"/>
      <c r="AD124"/>
      <c r="AE124" s="12" t="str">
        <f>DBImplements[[#This Row],[Implement type]]&amp;", "&amp;DBImplements[[#This Row],[Width]]&amp;" "&amp;DBImplements[[#This Row],[Width Unit]]</f>
        <v>Forage harvester, self-prop corn head, 20 Ft Folding</v>
      </c>
      <c r="AF124" s="58" t="s">
        <v>156</v>
      </c>
      <c r="AG124" s="29">
        <v>20</v>
      </c>
      <c r="AH124" s="28" t="s">
        <v>212</v>
      </c>
      <c r="AI124" s="29">
        <v>8</v>
      </c>
      <c r="AJ124" s="28" t="s">
        <v>110</v>
      </c>
      <c r="AK124" s="30">
        <v>141000</v>
      </c>
      <c r="AL124" s="31">
        <v>0.1</v>
      </c>
      <c r="AM124" s="32">
        <f t="shared" si="8"/>
        <v>156666.66666666666</v>
      </c>
      <c r="AN124" s="29">
        <v>12</v>
      </c>
      <c r="AO124" s="29">
        <v>200</v>
      </c>
      <c r="AP124" s="33">
        <f t="shared" si="9"/>
        <v>1357.5757575757575</v>
      </c>
      <c r="AQ124" s="29" t="s">
        <v>112</v>
      </c>
      <c r="AR124" s="29">
        <v>4</v>
      </c>
      <c r="AS124" s="31">
        <v>0.7</v>
      </c>
      <c r="AT124" s="31">
        <v>1.1100000000000001</v>
      </c>
      <c r="AU124" s="29">
        <v>300</v>
      </c>
      <c r="AV124"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0.58537933558730071</v>
      </c>
      <c r="AW124" s="53">
        <f>DBImplements[[#This Row],[TradeIn%]]*DBImplements[[#This Row],[PriceL]]</f>
        <v>91709.429242010432</v>
      </c>
      <c r="AX124" s="54">
        <f>(DBImplements[[#This Row],[PriceP]]-DBImplements[[#This Row],[TradeIn$]])/DBImplements[[#This Row],[Life (yr)]]/DBImplements[[#This Row],[Use (ac/yr)]]</f>
        <v>3.0256488746533776</v>
      </c>
      <c r="AY124" s="37">
        <f>((DBImplements[[#This Row],[PriceP]]+DBImplements[[#This Row],[TradeIn$]])/2*(Equipment!$CS$256+Equipment!$CS$257+Equipment!$CS$258)+DBImplements[[#This Row],[Shed (ft^2)]]*Equipment!$CS$260)/DBImplements[[#This Row],[Use (ac/yr)]]</f>
        <v>5.6566199157064894</v>
      </c>
      <c r="AZ124" s="55">
        <f>DBImplements[[#This Row],[PriceL]]*(VLOOKUP(DBImplements[[#This Row],[ASABEtype]],DB_ASABECoef[],2)*(DBImplements[[#This Row],[Life (yr)]]*DBImplements[[#This Row],[Use (hr/yr)]]/1000)^VLOOKUP(DBImplements[[#This Row],[ASABEtype]],DB_ASABECoef[],3))/DBImplements[[#This Row],[Life (yr)]]/DBImplements[[#This Row],[Use (ac/yr)]]</f>
        <v>1.661785714285714</v>
      </c>
      <c r="BA124" s="14">
        <f>Equipment!$CS$265/(DBImplements[[#This Row],[Width]]*DBImplements[[#This Row],[Speed]]*DBImplements[[#This Row],[Efficiency]])</f>
        <v>0.14732142857142858</v>
      </c>
      <c r="BB124" s="14">
        <f>DBImplements[[#This Row],[EquipHrs (hr/ac)]]*DBImplements[[#This Row],[LaborUse]]</f>
        <v>0.16352678571428572</v>
      </c>
      <c r="BC124" s="39">
        <f>SUM(DBImplements[[#This Row],[Depr ($/ac)]:[OH ($/ac)]])</f>
        <v>8.682268790359867</v>
      </c>
      <c r="BD124" s="40">
        <v>40</v>
      </c>
      <c r="BE124" s="12" t="s">
        <v>239</v>
      </c>
      <c r="BF124"/>
      <c r="BG124" s="191"/>
      <c r="BH124"/>
      <c r="BI124"/>
      <c r="BJ124"/>
      <c r="BK124"/>
      <c r="BL124"/>
      <c r="BM124"/>
      <c r="BN124"/>
      <c r="BO124"/>
      <c r="BP124"/>
      <c r="BQ124"/>
      <c r="BR124"/>
      <c r="BS124"/>
      <c r="BT124"/>
      <c r="BU124"/>
      <c r="BV124"/>
      <c r="BW124"/>
      <c r="BX124"/>
      <c r="BY124"/>
      <c r="BZ124"/>
      <c r="CA124"/>
      <c r="CB124" s="191"/>
      <c r="CC124"/>
      <c r="CD124"/>
      <c r="CE124"/>
      <c r="CF124"/>
      <c r="CG124"/>
      <c r="CH124"/>
      <c r="CI124"/>
      <c r="CJ124"/>
      <c r="CK124"/>
      <c r="CL124"/>
      <c r="CM124"/>
      <c r="CN124"/>
      <c r="CO124"/>
      <c r="CP124" s="252"/>
    </row>
    <row r="125" spans="22:94" ht="16.5">
      <c r="V125" s="191"/>
      <c r="W125"/>
      <c r="X125"/>
      <c r="Y125"/>
      <c r="Z125"/>
      <c r="AA125"/>
      <c r="AB125"/>
      <c r="AC125" s="191"/>
      <c r="AD125"/>
      <c r="AE125" s="12" t="str">
        <f>DBImplements[[#This Row],[Implement type]]&amp;", "&amp;DBImplements[[#This Row],[Width]]&amp;" "&amp;DBImplements[[#This Row],[Width Unit]]</f>
        <v>Forage harvester, self-prop pickup head (2X windrows), 24 Ft Folding</v>
      </c>
      <c r="AF125" s="28" t="s">
        <v>160</v>
      </c>
      <c r="AG125" s="29">
        <v>24</v>
      </c>
      <c r="AH125" s="28" t="s">
        <v>212</v>
      </c>
      <c r="AI125" s="29"/>
      <c r="AJ125" s="28"/>
      <c r="AK125" s="30">
        <v>35000</v>
      </c>
      <c r="AL125" s="31">
        <v>0.1</v>
      </c>
      <c r="AM125" s="32">
        <f t="shared" si="8"/>
        <v>38888.888888888891</v>
      </c>
      <c r="AN125" s="29">
        <v>12</v>
      </c>
      <c r="AO125" s="29">
        <v>200</v>
      </c>
      <c r="AP125" s="33">
        <f t="shared" si="9"/>
        <v>1629.0909090909088</v>
      </c>
      <c r="AQ125" s="29" t="s">
        <v>112</v>
      </c>
      <c r="AR125" s="29">
        <v>4</v>
      </c>
      <c r="AS125" s="31">
        <v>0.7</v>
      </c>
      <c r="AT125" s="31">
        <v>1.1100000000000001</v>
      </c>
      <c r="AU125" s="29">
        <v>300</v>
      </c>
      <c r="AV125"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0.58537933558730071</v>
      </c>
      <c r="AW125" s="53">
        <f>DBImplements[[#This Row],[TradeIn%]]*DBImplements[[#This Row],[PriceL]]</f>
        <v>22764.751939506139</v>
      </c>
      <c r="AX125" s="54">
        <f>(DBImplements[[#This Row],[PriceP]]-DBImplements[[#This Row],[TradeIn$]])/DBImplements[[#This Row],[Life (yr)]]/DBImplements[[#This Row],[Use (ac/yr)]]</f>
        <v>0.62587299416588771</v>
      </c>
      <c r="AY125" s="37">
        <f>((DBImplements[[#This Row],[PriceP]]+DBImplements[[#This Row],[TradeIn$]])/2*(Equipment!$CS$256+Equipment!$CS$257+Equipment!$CS$258)+DBImplements[[#This Row],[Shed (ft^2)]]*Equipment!$CS$260)/DBImplements[[#This Row],[Use (ac/yr)]]</f>
        <v>1.3042836045377943</v>
      </c>
      <c r="AZ125" s="55">
        <f>DBImplements[[#This Row],[PriceL]]*(VLOOKUP(DBImplements[[#This Row],[ASABEtype]],DB_ASABECoef[],2)*(DBImplements[[#This Row],[Life (yr)]]*DBImplements[[#This Row],[Use (hr/yr)]]/1000)^VLOOKUP(DBImplements[[#This Row],[ASABEtype]],DB_ASABECoef[],3))/DBImplements[[#This Row],[Life (yr)]]/DBImplements[[#This Row],[Use (ac/yr)]]</f>
        <v>0.34375000000000006</v>
      </c>
      <c r="BA125" s="14">
        <f>Equipment!$CS$265/(DBImplements[[#This Row],[Width]]*DBImplements[[#This Row],[Speed]]*DBImplements[[#This Row],[Efficiency]])</f>
        <v>0.12276785714285716</v>
      </c>
      <c r="BB125" s="14">
        <f>DBImplements[[#This Row],[EquipHrs (hr/ac)]]*DBImplements[[#This Row],[LaborUse]]</f>
        <v>0.13627232142857146</v>
      </c>
      <c r="BC125" s="39">
        <f>SUM(DBImplements[[#This Row],[Depr ($/ac)]:[OH ($/ac)]])</f>
        <v>1.9301565987036819</v>
      </c>
      <c r="BD125" s="40">
        <v>42</v>
      </c>
      <c r="BE125" s="12" t="s">
        <v>239</v>
      </c>
      <c r="BF125"/>
      <c r="BG125" s="191"/>
      <c r="BH125"/>
      <c r="BI125"/>
      <c r="BJ125"/>
      <c r="BK125"/>
      <c r="BL125"/>
      <c r="BM125"/>
      <c r="BN125"/>
      <c r="BO125"/>
      <c r="BP125"/>
      <c r="BQ125"/>
      <c r="BR125"/>
      <c r="BS125"/>
      <c r="BT125"/>
      <c r="BU125"/>
      <c r="BV125"/>
      <c r="BW125"/>
      <c r="BX125"/>
      <c r="BY125"/>
      <c r="BZ125"/>
      <c r="CA125"/>
      <c r="CB125" s="191"/>
      <c r="CC125"/>
      <c r="CD125"/>
      <c r="CE125"/>
      <c r="CF125"/>
      <c r="CG125"/>
      <c r="CH125"/>
      <c r="CI125"/>
      <c r="CJ125"/>
      <c r="CK125"/>
      <c r="CL125"/>
      <c r="CM125"/>
      <c r="CN125"/>
      <c r="CO125"/>
      <c r="CP125" s="252"/>
    </row>
    <row r="126" spans="22:94" ht="16.5">
      <c r="V126" s="191"/>
      <c r="W126"/>
      <c r="X126"/>
      <c r="Y126"/>
      <c r="Z126"/>
      <c r="AA126"/>
      <c r="AB126"/>
      <c r="AC126" s="191"/>
      <c r="AD126"/>
      <c r="AE126" s="12" t="str">
        <f>DBImplements[[#This Row],[Implement type]]&amp;", "&amp;DBImplements[[#This Row],[Width]]&amp;" "&amp;DBImplements[[#This Row],[Width Unit]]</f>
        <v>Forage harvester, self-prop pickup head, 12 Ft</v>
      </c>
      <c r="AF126" s="28" t="s">
        <v>158</v>
      </c>
      <c r="AG126" s="29">
        <v>12</v>
      </c>
      <c r="AH126" s="28" t="s">
        <v>76</v>
      </c>
      <c r="AI126" s="29"/>
      <c r="AJ126" s="28"/>
      <c r="AK126" s="30">
        <v>35000</v>
      </c>
      <c r="AL126" s="31">
        <v>0.1</v>
      </c>
      <c r="AM126" s="32">
        <f t="shared" si="8"/>
        <v>38888.888888888891</v>
      </c>
      <c r="AN126" s="29">
        <v>12</v>
      </c>
      <c r="AO126" s="29">
        <v>200</v>
      </c>
      <c r="AP126" s="33">
        <f t="shared" si="9"/>
        <v>814.54545454545439</v>
      </c>
      <c r="AQ126" s="29" t="s">
        <v>112</v>
      </c>
      <c r="AR126" s="29">
        <v>4</v>
      </c>
      <c r="AS126" s="31">
        <v>0.7</v>
      </c>
      <c r="AT126" s="31">
        <v>1.1100000000000001</v>
      </c>
      <c r="AU126" s="29">
        <v>300</v>
      </c>
      <c r="AV126"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0.58537933558730071</v>
      </c>
      <c r="AW126" s="53">
        <f>DBImplements[[#This Row],[TradeIn%]]*DBImplements[[#This Row],[PriceL]]</f>
        <v>22764.751939506139</v>
      </c>
      <c r="AX126" s="54">
        <f>(DBImplements[[#This Row],[PriceP]]-DBImplements[[#This Row],[TradeIn$]])/DBImplements[[#This Row],[Life (yr)]]/DBImplements[[#This Row],[Use (ac/yr)]]</f>
        <v>1.2517459883317754</v>
      </c>
      <c r="AY126" s="37">
        <f>((DBImplements[[#This Row],[PriceP]]+DBImplements[[#This Row],[TradeIn$]])/2*(Equipment!$CS$256+Equipment!$CS$257+Equipment!$CS$258)+DBImplements[[#This Row],[Shed (ft^2)]]*Equipment!$CS$260)/DBImplements[[#This Row],[Use (ac/yr)]]</f>
        <v>2.6085672090755887</v>
      </c>
      <c r="AZ126" s="55">
        <f>DBImplements[[#This Row],[PriceL]]*(VLOOKUP(DBImplements[[#This Row],[ASABEtype]],DB_ASABECoef[],2)*(DBImplements[[#This Row],[Life (yr)]]*DBImplements[[#This Row],[Use (hr/yr)]]/1000)^VLOOKUP(DBImplements[[#This Row],[ASABEtype]],DB_ASABECoef[],3))/DBImplements[[#This Row],[Life (yr)]]/DBImplements[[#This Row],[Use (ac/yr)]]</f>
        <v>0.68750000000000011</v>
      </c>
      <c r="BA126" s="14">
        <f>Equipment!$CS$265/(DBImplements[[#This Row],[Width]]*DBImplements[[#This Row],[Speed]]*DBImplements[[#This Row],[Efficiency]])</f>
        <v>0.24553571428571433</v>
      </c>
      <c r="BB126" s="14">
        <f>DBImplements[[#This Row],[EquipHrs (hr/ac)]]*DBImplements[[#This Row],[LaborUse]]</f>
        <v>0.27254464285714292</v>
      </c>
      <c r="BC126" s="39">
        <f>SUM(DBImplements[[#This Row],[Depr ($/ac)]:[OH ($/ac)]])</f>
        <v>3.8603131974073639</v>
      </c>
      <c r="BD126" s="40">
        <v>41</v>
      </c>
      <c r="BE126" s="12" t="s">
        <v>239</v>
      </c>
      <c r="BF126"/>
      <c r="BG126" s="191"/>
      <c r="BH126"/>
      <c r="BI126"/>
      <c r="BJ126"/>
      <c r="BK126"/>
      <c r="BL126"/>
      <c r="BM126"/>
      <c r="BN126"/>
      <c r="BO126"/>
      <c r="BP126"/>
      <c r="BQ126"/>
      <c r="BR126"/>
      <c r="BS126"/>
      <c r="BT126"/>
      <c r="BU126"/>
      <c r="BV126"/>
      <c r="BW126"/>
      <c r="BX126"/>
      <c r="BY126"/>
      <c r="BZ126"/>
      <c r="CA126"/>
      <c r="CB126" s="191"/>
      <c r="CC126"/>
      <c r="CD126"/>
      <c r="CE126"/>
      <c r="CF126"/>
      <c r="CG126"/>
      <c r="CH126"/>
      <c r="CI126"/>
      <c r="CJ126"/>
      <c r="CK126"/>
      <c r="CL126"/>
      <c r="CM126"/>
      <c r="CN126"/>
      <c r="CO126"/>
      <c r="CP126" s="252"/>
    </row>
    <row r="127" spans="22:94" ht="16.5">
      <c r="V127" s="191"/>
      <c r="W127"/>
      <c r="X127"/>
      <c r="Y127"/>
      <c r="Z127"/>
      <c r="AA127"/>
      <c r="AB127"/>
      <c r="AC127" s="191"/>
      <c r="AD127"/>
      <c r="AE127" s="12" t="str">
        <f>DBImplements[[#This Row],[Implement type]]&amp;", "&amp;DBImplements[[#This Row],[Width]]&amp;" "&amp;DBImplements[[#This Row],[Width Unit]]</f>
        <v>Combine belt pickup hd, 23 Ft</v>
      </c>
      <c r="AF127" s="28" t="s">
        <v>165</v>
      </c>
      <c r="AG127" s="29">
        <v>23</v>
      </c>
      <c r="AH127" s="28" t="s">
        <v>76</v>
      </c>
      <c r="AI127" s="29"/>
      <c r="AJ127" s="28"/>
      <c r="AK127" s="30">
        <v>56000</v>
      </c>
      <c r="AL127" s="31">
        <v>0.2</v>
      </c>
      <c r="AM127" s="32">
        <f t="shared" si="8"/>
        <v>70000</v>
      </c>
      <c r="AN127" s="29">
        <v>12</v>
      </c>
      <c r="AO127" s="30">
        <v>106.52173913043478</v>
      </c>
      <c r="AP127" s="33">
        <f t="shared" si="9"/>
        <v>831.51515151515139</v>
      </c>
      <c r="AQ127" s="29" t="s">
        <v>91</v>
      </c>
      <c r="AR127" s="29">
        <v>4</v>
      </c>
      <c r="AS127" s="31">
        <v>0.7</v>
      </c>
      <c r="AT127" s="31">
        <v>1.1100000000000001</v>
      </c>
      <c r="AU127" s="29">
        <v>75</v>
      </c>
      <c r="AV127"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0.15758632073628612</v>
      </c>
      <c r="AW127" s="53">
        <f>DBImplements[[#This Row],[TradeIn%]]*DBImplements[[#This Row],[PriceL]]</f>
        <v>11031.042451540028</v>
      </c>
      <c r="AX127" s="54">
        <f>(DBImplements[[#This Row],[PriceP]]-DBImplements[[#This Row],[TradeIn$]])/DBImplements[[#This Row],[Life (yr)]]/DBImplements[[#This Row],[Use (ac/yr)]]</f>
        <v>4.5067286172837075</v>
      </c>
      <c r="AY127" s="37">
        <f>((DBImplements[[#This Row],[PriceP]]+DBImplements[[#This Row],[TradeIn$]])/2*(Equipment!$CS$256+Equipment!$CS$257+Equipment!$CS$258)+DBImplements[[#This Row],[Shed (ft^2)]]*Equipment!$CS$260)/DBImplements[[#This Row],[Use (ac/yr)]]</f>
        <v>2.6468874512549063</v>
      </c>
      <c r="AZ127" s="55">
        <f>DBImplements[[#This Row],[PriceL]]*(VLOOKUP(DBImplements[[#This Row],[ASABEtype]],DB_ASABECoef[],2)*(DBImplements[[#This Row],[Life (yr)]]*DBImplements[[#This Row],[Use (hr/yr)]]/1000)^VLOOKUP(DBImplements[[#This Row],[ASABEtype]],DB_ASABECoef[],3))/DBImplements[[#This Row],[Life (yr)]]/DBImplements[[#This Row],[Use (ac/yr)]]</f>
        <v>0.46990228444688409</v>
      </c>
      <c r="BA127" s="14">
        <f>Equipment!$CS$265/(DBImplements[[#This Row],[Width]]*DBImplements[[#This Row],[Speed]]*DBImplements[[#This Row],[Efficiency]])</f>
        <v>0.12810559006211181</v>
      </c>
      <c r="BB127" s="14">
        <f>DBImplements[[#This Row],[EquipHrs (hr/ac)]]*DBImplements[[#This Row],[LaborUse]]</f>
        <v>0.14219720496894411</v>
      </c>
      <c r="BC127" s="39">
        <f>SUM(DBImplements[[#This Row],[Depr ($/ac)]:[OH ($/ac)]])</f>
        <v>7.1536160685386143</v>
      </c>
      <c r="BD127" s="40">
        <v>53</v>
      </c>
      <c r="BE127" s="12" t="s">
        <v>244</v>
      </c>
      <c r="BF127"/>
      <c r="BG127" s="191"/>
      <c r="BH127"/>
      <c r="BI127"/>
      <c r="BJ127"/>
      <c r="BK127"/>
      <c r="BL127"/>
      <c r="BM127"/>
      <c r="BN127"/>
      <c r="BO127"/>
      <c r="BP127"/>
      <c r="BQ127"/>
      <c r="BR127"/>
      <c r="BS127"/>
      <c r="BT127"/>
      <c r="BU127"/>
      <c r="BV127"/>
      <c r="BW127"/>
      <c r="BX127"/>
      <c r="BY127"/>
      <c r="BZ127"/>
      <c r="CA127"/>
      <c r="CB127" s="191"/>
      <c r="CC127"/>
      <c r="CD127"/>
      <c r="CE127"/>
      <c r="CF127"/>
      <c r="CG127"/>
      <c r="CH127"/>
      <c r="CI127"/>
      <c r="CJ127"/>
      <c r="CK127"/>
      <c r="CL127"/>
      <c r="CM127"/>
      <c r="CN127"/>
      <c r="CO127"/>
      <c r="CP127" s="252"/>
    </row>
    <row r="128" spans="22:94" ht="16.5">
      <c r="V128" s="191"/>
      <c r="W128"/>
      <c r="X128"/>
      <c r="Y128"/>
      <c r="Z128"/>
      <c r="AA128"/>
      <c r="AB128"/>
      <c r="AC128" s="191"/>
      <c r="AD128"/>
      <c r="AE128" s="12" t="str">
        <f>DBImplements[[#This Row],[Implement type]]&amp;", "&amp;DBImplements[[#This Row],[Width]]&amp;" "&amp;DBImplements[[#This Row],[Width Unit]]</f>
        <v>Combine chopping corn hd, 20 Ft</v>
      </c>
      <c r="AF128" s="28" t="s">
        <v>164</v>
      </c>
      <c r="AG128" s="29">
        <v>20</v>
      </c>
      <c r="AH128" s="28" t="s">
        <v>76</v>
      </c>
      <c r="AI128" s="29">
        <v>8</v>
      </c>
      <c r="AJ128" s="28" t="s">
        <v>110</v>
      </c>
      <c r="AK128" s="30">
        <v>112500</v>
      </c>
      <c r="AL128" s="31">
        <v>0.2</v>
      </c>
      <c r="AM128" s="32">
        <f t="shared" si="8"/>
        <v>140625</v>
      </c>
      <c r="AN128" s="29">
        <v>12</v>
      </c>
      <c r="AO128" s="29">
        <v>200</v>
      </c>
      <c r="AP128" s="33">
        <f t="shared" si="9"/>
        <v>1357.5757575757575</v>
      </c>
      <c r="AQ128" s="29" t="s">
        <v>81</v>
      </c>
      <c r="AR128" s="29">
        <v>4</v>
      </c>
      <c r="AS128" s="31">
        <v>0.7</v>
      </c>
      <c r="AT128" s="31">
        <v>1.1100000000000001</v>
      </c>
      <c r="AU128" s="29">
        <v>160</v>
      </c>
      <c r="AV128"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0.34143443659524941</v>
      </c>
      <c r="AW128" s="53">
        <f>DBImplements[[#This Row],[TradeIn%]]*DBImplements[[#This Row],[PriceL]]</f>
        <v>48014.217646206947</v>
      </c>
      <c r="AX128" s="54">
        <f>(DBImplements[[#This Row],[PriceP]]-DBImplements[[#This Row],[TradeIn$]])/DBImplements[[#This Row],[Life (yr)]]/DBImplements[[#This Row],[Use (ac/yr)]]</f>
        <v>3.958390657877922</v>
      </c>
      <c r="AY128" s="37">
        <f>((DBImplements[[#This Row],[PriceP]]+DBImplements[[#This Row],[TradeIn$]])/2*(Equipment!$CS$256+Equipment!$CS$257+Equipment!$CS$258)+DBImplements[[#This Row],[Shed (ft^2)]]*Equipment!$CS$260)/DBImplements[[#This Row],[Use (ac/yr)]]</f>
        <v>3.8682198139358248</v>
      </c>
      <c r="AZ128" s="55">
        <f>DBImplements[[#This Row],[PriceL]]*(VLOOKUP(DBImplements[[#This Row],[ASABEtype]],DB_ASABECoef[],2)*(DBImplements[[#This Row],[Life (yr)]]*DBImplements[[#This Row],[Use (hr/yr)]]/1000)^VLOOKUP(DBImplements[[#This Row],[ASABEtype]],DB_ASABECoef[],3))/DBImplements[[#This Row],[Life (yr)]]/DBImplements[[#This Row],[Use (ac/yr)]]</f>
        <v>8.2332439752530782</v>
      </c>
      <c r="BA128" s="14">
        <f>Equipment!$CS$265/(DBImplements[[#This Row],[Width]]*DBImplements[[#This Row],[Speed]]*DBImplements[[#This Row],[Efficiency]])</f>
        <v>0.14732142857142858</v>
      </c>
      <c r="BB128" s="14">
        <f>DBImplements[[#This Row],[EquipHrs (hr/ac)]]*DBImplements[[#This Row],[LaborUse]]</f>
        <v>0.16352678571428572</v>
      </c>
      <c r="BC128" s="39">
        <f>SUM(DBImplements[[#This Row],[Depr ($/ac)]:[OH ($/ac)]])</f>
        <v>7.8266104718137468</v>
      </c>
      <c r="BD128" s="40">
        <v>48</v>
      </c>
      <c r="BE128" s="12" t="s">
        <v>244</v>
      </c>
      <c r="BF128"/>
      <c r="BG128" s="191"/>
      <c r="BH128"/>
      <c r="BI128"/>
      <c r="BJ128"/>
      <c r="BK128"/>
      <c r="BL128"/>
      <c r="BM128"/>
      <c r="BN128"/>
      <c r="BO128"/>
      <c r="BP128"/>
      <c r="BQ128"/>
      <c r="BR128"/>
      <c r="BS128"/>
      <c r="BT128"/>
      <c r="BU128"/>
      <c r="BV128"/>
      <c r="BW128"/>
      <c r="BX128"/>
      <c r="BY128"/>
      <c r="BZ128"/>
      <c r="CA128"/>
      <c r="CB128" s="191"/>
      <c r="CC128"/>
      <c r="CD128"/>
      <c r="CE128"/>
      <c r="CF128"/>
      <c r="CG128"/>
      <c r="CH128"/>
      <c r="CI128"/>
      <c r="CJ128"/>
      <c r="CK128"/>
      <c r="CL128"/>
      <c r="CM128"/>
      <c r="CN128"/>
      <c r="CO128"/>
      <c r="CP128" s="252"/>
    </row>
    <row r="129" spans="22:94" ht="16.5">
      <c r="V129" s="191"/>
      <c r="W129"/>
      <c r="X129"/>
      <c r="Y129"/>
      <c r="Z129"/>
      <c r="AA129"/>
      <c r="AB129"/>
      <c r="AC129" s="191"/>
      <c r="AD129"/>
      <c r="AE129" s="12" t="str">
        <f>DBImplements[[#This Row],[Implement type]]&amp;", "&amp;DBImplements[[#This Row],[Width]]&amp;" "&amp;DBImplements[[#This Row],[Width Unit]]</f>
        <v>Combine chopping corn hd, 22 Ft</v>
      </c>
      <c r="AF129" s="28" t="s">
        <v>164</v>
      </c>
      <c r="AG129" s="29">
        <v>22</v>
      </c>
      <c r="AH129" s="28" t="s">
        <v>76</v>
      </c>
      <c r="AI129" s="29">
        <v>12</v>
      </c>
      <c r="AJ129" s="28" t="s">
        <v>110</v>
      </c>
      <c r="AK129" s="30">
        <v>160000</v>
      </c>
      <c r="AL129" s="31">
        <v>0.2</v>
      </c>
      <c r="AM129" s="32">
        <f t="shared" si="8"/>
        <v>200000</v>
      </c>
      <c r="AN129" s="29">
        <v>12</v>
      </c>
      <c r="AO129" s="29">
        <v>200</v>
      </c>
      <c r="AP129" s="33">
        <f t="shared" si="9"/>
        <v>1493.333333333333</v>
      </c>
      <c r="AQ129" s="29" t="s">
        <v>81</v>
      </c>
      <c r="AR129" s="29">
        <v>4</v>
      </c>
      <c r="AS129" s="31">
        <v>0.7</v>
      </c>
      <c r="AT129" s="31">
        <v>1.1100000000000001</v>
      </c>
      <c r="AU129" s="29">
        <v>160</v>
      </c>
      <c r="AV129"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0.34143443659524941</v>
      </c>
      <c r="AW129" s="53">
        <f>DBImplements[[#This Row],[TradeIn%]]*DBImplements[[#This Row],[PriceL]]</f>
        <v>68286.887319049885</v>
      </c>
      <c r="AX129" s="54">
        <f>(DBImplements[[#This Row],[PriceP]]-DBImplements[[#This Row],[TradeIn$]])/DBImplements[[#This Row],[Life (yr)]]/DBImplements[[#This Row],[Use (ac/yr)]]</f>
        <v>5.1179192344280207</v>
      </c>
      <c r="AY129" s="37">
        <f>((DBImplements[[#This Row],[PriceP]]+DBImplements[[#This Row],[TradeIn$]])/2*(Equipment!$CS$256+Equipment!$CS$257+Equipment!$CS$258)+DBImplements[[#This Row],[Shed (ft^2)]]*Equipment!$CS$260)/DBImplements[[#This Row],[Use (ac/yr)]]</f>
        <v>4.9574890891648984</v>
      </c>
      <c r="AZ129" s="55">
        <f>DBImplements[[#This Row],[PriceL]]*(VLOOKUP(DBImplements[[#This Row],[ASABEtype]],DB_ASABECoef[],2)*(DBImplements[[#This Row],[Life (yr)]]*DBImplements[[#This Row],[Use (hr/yr)]]/1000)^VLOOKUP(DBImplements[[#This Row],[ASABEtype]],DB_ASABECoef[],3))/DBImplements[[#This Row],[Life (yr)]]/DBImplements[[#This Row],[Use (ac/yr)]]</f>
        <v>10.645002311438326</v>
      </c>
      <c r="BA129" s="14">
        <f>Equipment!$CS$265/(DBImplements[[#This Row],[Width]]*DBImplements[[#This Row],[Speed]]*DBImplements[[#This Row],[Efficiency]])</f>
        <v>0.13392857142857145</v>
      </c>
      <c r="BB129" s="14">
        <f>DBImplements[[#This Row],[EquipHrs (hr/ac)]]*DBImplements[[#This Row],[LaborUse]]</f>
        <v>0.14866071428571431</v>
      </c>
      <c r="BC129" s="39">
        <f>SUM(DBImplements[[#This Row],[Depr ($/ac)]:[OH ($/ac)]])</f>
        <v>10.075408323592919</v>
      </c>
      <c r="BD129" s="40">
        <v>52</v>
      </c>
      <c r="BE129" s="12" t="s">
        <v>244</v>
      </c>
      <c r="BF129"/>
      <c r="BG129" s="191"/>
      <c r="BH129"/>
      <c r="BI129"/>
      <c r="BJ129"/>
      <c r="BK129"/>
      <c r="BL129"/>
      <c r="BM129"/>
      <c r="BN129"/>
      <c r="BO129"/>
      <c r="BP129"/>
      <c r="BQ129"/>
      <c r="BR129"/>
      <c r="BS129"/>
      <c r="BT129"/>
      <c r="BU129"/>
      <c r="BV129"/>
      <c r="BW129"/>
      <c r="BX129"/>
      <c r="BY129"/>
      <c r="BZ129"/>
      <c r="CA129"/>
      <c r="CB129" s="191"/>
      <c r="CC129"/>
      <c r="CD129"/>
      <c r="CE129"/>
      <c r="CF129"/>
      <c r="CG129"/>
      <c r="CH129"/>
      <c r="CI129"/>
      <c r="CJ129"/>
      <c r="CK129"/>
      <c r="CL129"/>
      <c r="CM129"/>
      <c r="CN129"/>
      <c r="CO129"/>
      <c r="CP129" s="252"/>
    </row>
    <row r="130" spans="22:94" ht="16.5">
      <c r="V130" s="191"/>
      <c r="W130"/>
      <c r="X130"/>
      <c r="Y130"/>
      <c r="Z130"/>
      <c r="AA130"/>
      <c r="AB130"/>
      <c r="AC130" s="191"/>
      <c r="AD130"/>
      <c r="AE130" s="12" t="str">
        <f>DBImplements[[#This Row],[Implement type]]&amp;", "&amp;DBImplements[[#This Row],[Width]]&amp;" "&amp;DBImplements[[#This Row],[Width Unit]]</f>
        <v>Combine chopping corn hd, 30 Ft</v>
      </c>
      <c r="AF130" s="28" t="s">
        <v>164</v>
      </c>
      <c r="AG130" s="29">
        <v>30</v>
      </c>
      <c r="AH130" s="28" t="s">
        <v>76</v>
      </c>
      <c r="AI130" s="29">
        <v>12</v>
      </c>
      <c r="AJ130" s="28" t="s">
        <v>110</v>
      </c>
      <c r="AK130" s="30">
        <v>169500</v>
      </c>
      <c r="AL130" s="31">
        <v>0.2</v>
      </c>
      <c r="AM130" s="32">
        <f t="shared" si="8"/>
        <v>211875</v>
      </c>
      <c r="AN130" s="29">
        <v>12</v>
      </c>
      <c r="AO130" s="29">
        <v>200</v>
      </c>
      <c r="AP130" s="33">
        <f t="shared" si="9"/>
        <v>2036.3636363636363</v>
      </c>
      <c r="AQ130" s="29" t="s">
        <v>81</v>
      </c>
      <c r="AR130" s="29">
        <v>4</v>
      </c>
      <c r="AS130" s="31">
        <v>0.7</v>
      </c>
      <c r="AT130" s="31">
        <v>1.1100000000000001</v>
      </c>
      <c r="AU130" s="29">
        <v>160</v>
      </c>
      <c r="AV130"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0.34143443659524941</v>
      </c>
      <c r="AW130" s="53">
        <f>DBImplements[[#This Row],[TradeIn%]]*DBImplements[[#This Row],[PriceL]]</f>
        <v>72341.421253618464</v>
      </c>
      <c r="AX130" s="54">
        <f>(DBImplements[[#This Row],[PriceP]]-DBImplements[[#This Row],[TradeIn$]])/DBImplements[[#This Row],[Life (yr)]]/DBImplements[[#This Row],[Use (ac/yr)]]</f>
        <v>3.9759835052462686</v>
      </c>
      <c r="AY130" s="37">
        <f>((DBImplements[[#This Row],[PriceP]]+DBImplements[[#This Row],[TradeIn$]])/2*(Equipment!$CS$256+Equipment!$CS$257+Equipment!$CS$258)+DBImplements[[#This Row],[Shed (ft^2)]]*Equipment!$CS$260)/DBImplements[[#This Row],[Use (ac/yr)]]</f>
        <v>3.8468277566069995</v>
      </c>
      <c r="AZ130" s="55">
        <f>DBImplements[[#This Row],[PriceL]]*(VLOOKUP(DBImplements[[#This Row],[ASABEtype]],DB_ASABECoef[],2)*(DBImplements[[#This Row],[Life (yr)]]*DBImplements[[#This Row],[Use (hr/yr)]]/1000)^VLOOKUP(DBImplements[[#This Row],[ASABEtype]],DB_ASABECoef[],3))/DBImplements[[#This Row],[Life (yr)]]/DBImplements[[#This Row],[Use (ac/yr)]]</f>
        <v>8.2698361706986461</v>
      </c>
      <c r="BA130" s="14">
        <f>Equipment!$CS$265/(DBImplements[[#This Row],[Width]]*DBImplements[[#This Row],[Speed]]*DBImplements[[#This Row],[Efficiency]])</f>
        <v>9.8214285714285712E-2</v>
      </c>
      <c r="BB130" s="14">
        <f>DBImplements[[#This Row],[EquipHrs (hr/ac)]]*DBImplements[[#This Row],[LaborUse]]</f>
        <v>0.10901785714285715</v>
      </c>
      <c r="BC130" s="39">
        <f>SUM(DBImplements[[#This Row],[Depr ($/ac)]:[OH ($/ac)]])</f>
        <v>7.8228112618532677</v>
      </c>
      <c r="BD130" s="40">
        <v>51</v>
      </c>
      <c r="BE130" s="12" t="s">
        <v>244</v>
      </c>
      <c r="BF130"/>
      <c r="BG130" s="191"/>
      <c r="BH130"/>
      <c r="BI130"/>
      <c r="BJ130"/>
      <c r="BK130"/>
      <c r="BL130"/>
      <c r="BM130"/>
      <c r="BN130"/>
      <c r="BO130"/>
      <c r="BP130"/>
      <c r="BQ130"/>
      <c r="BR130"/>
      <c r="BS130"/>
      <c r="BT130"/>
      <c r="BU130"/>
      <c r="BV130"/>
      <c r="BW130"/>
      <c r="BX130"/>
      <c r="BY130"/>
      <c r="BZ130"/>
      <c r="CA130"/>
      <c r="CB130" s="191"/>
      <c r="CC130"/>
      <c r="CD130"/>
      <c r="CE130"/>
      <c r="CF130"/>
      <c r="CG130"/>
      <c r="CH130"/>
      <c r="CI130"/>
      <c r="CJ130"/>
      <c r="CK130"/>
      <c r="CL130"/>
      <c r="CM130"/>
      <c r="CN130"/>
      <c r="CO130"/>
      <c r="CP130" s="252"/>
    </row>
    <row r="131" spans="22:94" ht="16.5">
      <c r="V131" s="191"/>
      <c r="W131"/>
      <c r="X131"/>
      <c r="Y131"/>
      <c r="Z131"/>
      <c r="AA131"/>
      <c r="AB131"/>
      <c r="AC131" s="191"/>
      <c r="AD131"/>
      <c r="AE131" s="12" t="str">
        <f>DBImplements[[#This Row],[Implement type]]&amp;", "&amp;DBImplements[[#This Row],[Width]]&amp;" "&amp;DBImplements[[#This Row],[Width Unit]]</f>
        <v>Combine corn hd, 15 Ft</v>
      </c>
      <c r="AF131" s="28" t="s">
        <v>163</v>
      </c>
      <c r="AG131" s="29">
        <v>15</v>
      </c>
      <c r="AH131" s="28" t="s">
        <v>76</v>
      </c>
      <c r="AI131" s="29">
        <v>6</v>
      </c>
      <c r="AJ131" s="28" t="s">
        <v>110</v>
      </c>
      <c r="AK131" s="30">
        <v>64000</v>
      </c>
      <c r="AL131" s="31">
        <v>0.2</v>
      </c>
      <c r="AM131" s="32">
        <f t="shared" si="8"/>
        <v>80000</v>
      </c>
      <c r="AN131" s="29">
        <v>12</v>
      </c>
      <c r="AO131" s="29">
        <v>200</v>
      </c>
      <c r="AP131" s="33">
        <f t="shared" si="9"/>
        <v>1018.1818181818181</v>
      </c>
      <c r="AQ131" s="29" t="s">
        <v>91</v>
      </c>
      <c r="AR131" s="29">
        <v>4</v>
      </c>
      <c r="AS131" s="31">
        <v>0.7</v>
      </c>
      <c r="AT131" s="31">
        <v>1.1100000000000001</v>
      </c>
      <c r="AU131" s="29">
        <v>120</v>
      </c>
      <c r="AV131"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0.13510167737495204</v>
      </c>
      <c r="AW131" s="53">
        <f>DBImplements[[#This Row],[TradeIn%]]*DBImplements[[#This Row],[PriceL]]</f>
        <v>10808.134189996164</v>
      </c>
      <c r="AX131" s="54">
        <f>(DBImplements[[#This Row],[PriceP]]-DBImplements[[#This Row],[TradeIn$]])/DBImplements[[#This Row],[Life (yr)]]/DBImplements[[#This Row],[Use (ac/yr)]]</f>
        <v>4.3535009219497196</v>
      </c>
      <c r="AY131" s="37">
        <f>((DBImplements[[#This Row],[PriceP]]+DBImplements[[#This Row],[TradeIn$]])/2*(Equipment!$CS$256+Equipment!$CS$257+Equipment!$CS$258)+DBImplements[[#This Row],[Shed (ft^2)]]*Equipment!$CS$260)/DBImplements[[#This Row],[Use (ac/yr)]]</f>
        <v>2.4469740979673271</v>
      </c>
      <c r="AZ131" s="55">
        <f>DBImplements[[#This Row],[PriceL]]*(VLOOKUP(DBImplements[[#This Row],[ASABEtype]],DB_ASABECoef[],2)*(DBImplements[[#This Row],[Life (yr)]]*DBImplements[[#This Row],[Use (hr/yr)]]/1000)^VLOOKUP(DBImplements[[#This Row],[ASABEtype]],DB_ASABECoef[],3))/DBImplements[[#This Row],[Life (yr)]]/DBImplements[[#This Row],[Use (ac/yr)]]</f>
        <v>1.6465957963607134</v>
      </c>
      <c r="BA131" s="14">
        <f>Equipment!$CS$265/(DBImplements[[#This Row],[Width]]*DBImplements[[#This Row],[Speed]]*DBImplements[[#This Row],[Efficiency]])</f>
        <v>0.19642857142857142</v>
      </c>
      <c r="BB131" s="14">
        <f>DBImplements[[#This Row],[EquipHrs (hr/ac)]]*DBImplements[[#This Row],[LaborUse]]</f>
        <v>0.2180357142857143</v>
      </c>
      <c r="BC131" s="39">
        <f>SUM(DBImplements[[#This Row],[Depr ($/ac)]:[OH ($/ac)]])</f>
        <v>6.8004750199170463</v>
      </c>
      <c r="BD131" s="40">
        <v>46</v>
      </c>
      <c r="BE131" s="12" t="s">
        <v>244</v>
      </c>
      <c r="BF131"/>
      <c r="BG131" s="191"/>
      <c r="BH131"/>
      <c r="BI131"/>
      <c r="BJ131"/>
      <c r="BK131"/>
      <c r="BL131"/>
      <c r="BM131"/>
      <c r="BN131"/>
      <c r="BO131"/>
      <c r="BP131"/>
      <c r="BQ131"/>
      <c r="BR131"/>
      <c r="BS131"/>
      <c r="BT131"/>
      <c r="BU131"/>
      <c r="BV131"/>
      <c r="BW131"/>
      <c r="BX131"/>
      <c r="BY131"/>
      <c r="BZ131"/>
      <c r="CA131"/>
      <c r="CB131" s="191"/>
      <c r="CC131"/>
      <c r="CD131"/>
      <c r="CE131"/>
      <c r="CF131"/>
      <c r="CG131"/>
      <c r="CH131"/>
      <c r="CI131"/>
      <c r="CJ131"/>
      <c r="CK131"/>
      <c r="CL131"/>
      <c r="CM131"/>
      <c r="CN131"/>
      <c r="CO131"/>
      <c r="CP131" s="252"/>
    </row>
    <row r="132" spans="22:94" ht="16.5">
      <c r="V132" s="191"/>
      <c r="W132"/>
      <c r="X132"/>
      <c r="Y132"/>
      <c r="Z132"/>
      <c r="AA132"/>
      <c r="AB132"/>
      <c r="AC132" s="191"/>
      <c r="AD132"/>
      <c r="AE132" s="12" t="str">
        <f>DBImplements[[#This Row],[Implement type]]&amp;", "&amp;DBImplements[[#This Row],[Width]]&amp;" "&amp;DBImplements[[#This Row],[Width Unit]]</f>
        <v>Combine corn hd, 20 Ft</v>
      </c>
      <c r="AF132" s="28" t="s">
        <v>163</v>
      </c>
      <c r="AG132" s="29">
        <v>20</v>
      </c>
      <c r="AH132" s="28" t="s">
        <v>76</v>
      </c>
      <c r="AI132" s="29">
        <v>8</v>
      </c>
      <c r="AJ132" s="28" t="s">
        <v>110</v>
      </c>
      <c r="AK132" s="30">
        <v>83000</v>
      </c>
      <c r="AL132" s="31">
        <v>0.2</v>
      </c>
      <c r="AM132" s="32">
        <f t="shared" si="8"/>
        <v>103750</v>
      </c>
      <c r="AN132" s="29">
        <v>12</v>
      </c>
      <c r="AO132" s="29">
        <v>200</v>
      </c>
      <c r="AP132" s="33">
        <f t="shared" si="9"/>
        <v>1357.5757575757575</v>
      </c>
      <c r="AQ132" s="29" t="s">
        <v>91</v>
      </c>
      <c r="AR132" s="29">
        <v>4</v>
      </c>
      <c r="AS132" s="31">
        <v>0.7</v>
      </c>
      <c r="AT132" s="31">
        <v>1.1100000000000001</v>
      </c>
      <c r="AU132" s="29">
        <v>160</v>
      </c>
      <c r="AV132"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0.13510167737495204</v>
      </c>
      <c r="AW132" s="53">
        <f>DBImplements[[#This Row],[TradeIn%]]*DBImplements[[#This Row],[PriceL]]</f>
        <v>14016.799027651276</v>
      </c>
      <c r="AX132" s="54">
        <f>(DBImplements[[#This Row],[PriceP]]-DBImplements[[#This Row],[TradeIn$]])/DBImplements[[#This Row],[Life (yr)]]/DBImplements[[#This Row],[Use (ac/yr)]]</f>
        <v>4.2344598811151561</v>
      </c>
      <c r="AY132" s="37">
        <f>((DBImplements[[#This Row],[PriceP]]+DBImplements[[#This Row],[TradeIn$]])/2*(Equipment!$CS$256+Equipment!$CS$257+Equipment!$CS$258)+DBImplements[[#This Row],[Shed (ft^2)]]*Equipment!$CS$260)/DBImplements[[#This Row],[Use (ac/yr)]]</f>
        <v>2.3831881095252951</v>
      </c>
      <c r="AZ132" s="55">
        <f>DBImplements[[#This Row],[PriceL]]*(VLOOKUP(DBImplements[[#This Row],[ASABEtype]],DB_ASABECoef[],2)*(DBImplements[[#This Row],[Life (yr)]]*DBImplements[[#This Row],[Use (hr/yr)]]/1000)^VLOOKUP(DBImplements[[#This Row],[ASABEtype]],DB_ASABECoef[],3))/DBImplements[[#This Row],[Life (yr)]]/DBImplements[[#This Row],[Use (ac/yr)]]</f>
        <v>1.6015716925539754</v>
      </c>
      <c r="BA132" s="14">
        <f>Equipment!$CS$265/(DBImplements[[#This Row],[Width]]*DBImplements[[#This Row],[Speed]]*DBImplements[[#This Row],[Efficiency]])</f>
        <v>0.14732142857142858</v>
      </c>
      <c r="BB132" s="14">
        <f>DBImplements[[#This Row],[EquipHrs (hr/ac)]]*DBImplements[[#This Row],[LaborUse]]</f>
        <v>0.16352678571428572</v>
      </c>
      <c r="BC132" s="39">
        <f>SUM(DBImplements[[#This Row],[Depr ($/ac)]:[OH ($/ac)]])</f>
        <v>6.6176479906404513</v>
      </c>
      <c r="BD132" s="40">
        <v>47</v>
      </c>
      <c r="BE132" s="12" t="s">
        <v>244</v>
      </c>
      <c r="BF132"/>
      <c r="BG132" s="191"/>
      <c r="BH132"/>
      <c r="BI132"/>
      <c r="BJ132"/>
      <c r="BK132"/>
      <c r="BL132"/>
      <c r="BM132"/>
      <c r="BN132"/>
      <c r="BO132"/>
      <c r="BP132"/>
      <c r="BQ132"/>
      <c r="BR132"/>
      <c r="BS132"/>
      <c r="BT132"/>
      <c r="BU132"/>
      <c r="BV132"/>
      <c r="BW132"/>
      <c r="BX132"/>
      <c r="BY132"/>
      <c r="BZ132"/>
      <c r="CA132"/>
      <c r="CB132" s="191"/>
      <c r="CC132"/>
      <c r="CD132"/>
      <c r="CE132"/>
      <c r="CF132"/>
      <c r="CG132"/>
      <c r="CH132"/>
      <c r="CI132"/>
      <c r="CJ132"/>
      <c r="CK132"/>
      <c r="CL132"/>
      <c r="CM132"/>
      <c r="CN132"/>
      <c r="CO132"/>
      <c r="CP132" s="252"/>
    </row>
    <row r="133" spans="22:94" ht="16.5">
      <c r="V133" s="191"/>
      <c r="W133"/>
      <c r="X133"/>
      <c r="Y133"/>
      <c r="Z133"/>
      <c r="AA133"/>
      <c r="AB133"/>
      <c r="AC133" s="191"/>
      <c r="AD133"/>
      <c r="AE133" s="12" t="str">
        <f>DBImplements[[#This Row],[Implement type]]&amp;", "&amp;DBImplements[[#This Row],[Width]]&amp;" "&amp;DBImplements[[#This Row],[Width Unit]]</f>
        <v>Combine corn hd, 22 Ft</v>
      </c>
      <c r="AF133" s="28" t="s">
        <v>163</v>
      </c>
      <c r="AG133" s="29">
        <v>22</v>
      </c>
      <c r="AH133" s="28" t="s">
        <v>76</v>
      </c>
      <c r="AI133" s="29">
        <v>12</v>
      </c>
      <c r="AJ133" s="28" t="s">
        <v>110</v>
      </c>
      <c r="AK133" s="30">
        <v>121500</v>
      </c>
      <c r="AL133" s="31">
        <v>0.2</v>
      </c>
      <c r="AM133" s="32">
        <f t="shared" si="8"/>
        <v>151875</v>
      </c>
      <c r="AN133" s="29">
        <v>12</v>
      </c>
      <c r="AO133" s="29">
        <v>200</v>
      </c>
      <c r="AP133" s="33">
        <f t="shared" si="9"/>
        <v>1493.333333333333</v>
      </c>
      <c r="AQ133" s="29" t="s">
        <v>91</v>
      </c>
      <c r="AR133" s="29">
        <v>4</v>
      </c>
      <c r="AS133" s="31">
        <v>0.7</v>
      </c>
      <c r="AT133" s="31">
        <v>1.1100000000000001</v>
      </c>
      <c r="AU133" s="29">
        <v>160</v>
      </c>
      <c r="AV133"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0.13510167737495204</v>
      </c>
      <c r="AW133" s="53">
        <f>DBImplements[[#This Row],[TradeIn%]]*DBImplements[[#This Row],[PriceL]]</f>
        <v>20518.567251320841</v>
      </c>
      <c r="AX133" s="54">
        <f>(DBImplements[[#This Row],[PriceP]]-DBImplements[[#This Row],[TradeIn$]])/DBImplements[[#This Row],[Life (yr)]]/DBImplements[[#This Row],[Use (ac/yr)]]</f>
        <v>5.6351245953504003</v>
      </c>
      <c r="AY133" s="37">
        <f>((DBImplements[[#This Row],[PriceP]]+DBImplements[[#This Row],[TradeIn$]])/2*(Equipment!$CS$256+Equipment!$CS$257+Equipment!$CS$258)+DBImplements[[#This Row],[Shed (ft^2)]]*Equipment!$CS$260)/DBImplements[[#This Row],[Use (ac/yr)]]</f>
        <v>3.1233244716534712</v>
      </c>
      <c r="AZ133" s="55">
        <f>DBImplements[[#This Row],[PriceL]]*(VLOOKUP(DBImplements[[#This Row],[ASABEtype]],DB_ASABECoef[],2)*(DBImplements[[#This Row],[Life (yr)]]*DBImplements[[#This Row],[Use (hr/yr)]]/1000)^VLOOKUP(DBImplements[[#This Row],[ASABEtype]],DB_ASABECoef[],3))/DBImplements[[#This Row],[Life (yr)]]/DBImplements[[#This Row],[Use (ac/yr)]]</f>
        <v>2.1313358230592332</v>
      </c>
      <c r="BA133" s="14">
        <f>Equipment!$CS$265/(DBImplements[[#This Row],[Width]]*DBImplements[[#This Row],[Speed]]*DBImplements[[#This Row],[Efficiency]])</f>
        <v>0.13392857142857145</v>
      </c>
      <c r="BB133" s="14">
        <f>DBImplements[[#This Row],[EquipHrs (hr/ac)]]*DBImplements[[#This Row],[LaborUse]]</f>
        <v>0.14866071428571431</v>
      </c>
      <c r="BC133" s="39">
        <f>SUM(DBImplements[[#This Row],[Depr ($/ac)]:[OH ($/ac)]])</f>
        <v>8.7584490670038715</v>
      </c>
      <c r="BD133" s="40">
        <v>50</v>
      </c>
      <c r="BE133" s="12" t="s">
        <v>244</v>
      </c>
      <c r="BF133"/>
      <c r="BG133" s="191"/>
      <c r="BH133"/>
      <c r="BI133"/>
      <c r="BJ133"/>
      <c r="BK133"/>
      <c r="BL133"/>
      <c r="BM133"/>
      <c r="BN133"/>
      <c r="BO133"/>
      <c r="BP133"/>
      <c r="BQ133"/>
      <c r="BR133"/>
      <c r="BS133"/>
      <c r="BT133"/>
      <c r="BU133"/>
      <c r="BV133"/>
      <c r="BW133"/>
      <c r="BX133"/>
      <c r="BY133"/>
      <c r="BZ133"/>
      <c r="CA133"/>
      <c r="CB133" s="191"/>
      <c r="CC133"/>
      <c r="CD133"/>
      <c r="CE133"/>
      <c r="CF133"/>
      <c r="CG133"/>
      <c r="CH133"/>
      <c r="CI133"/>
      <c r="CJ133"/>
      <c r="CK133"/>
      <c r="CL133"/>
      <c r="CM133"/>
      <c r="CN133"/>
      <c r="CO133"/>
      <c r="CP133" s="252"/>
    </row>
    <row r="134" spans="22:94" ht="16.5">
      <c r="V134" s="191"/>
      <c r="W134"/>
      <c r="X134"/>
      <c r="Y134"/>
      <c r="Z134"/>
      <c r="AA134"/>
      <c r="AB134"/>
      <c r="AC134" s="191"/>
      <c r="AD134"/>
      <c r="AE134" s="12" t="str">
        <f>DBImplements[[#This Row],[Implement type]]&amp;", "&amp;DBImplements[[#This Row],[Width]]&amp;" "&amp;DBImplements[[#This Row],[Width Unit]]</f>
        <v>Combine corn hd, 30 Ft</v>
      </c>
      <c r="AF134" s="28" t="s">
        <v>163</v>
      </c>
      <c r="AG134" s="29">
        <v>30</v>
      </c>
      <c r="AH134" s="28" t="s">
        <v>76</v>
      </c>
      <c r="AI134" s="29">
        <v>12</v>
      </c>
      <c r="AJ134" s="28" t="s">
        <v>110</v>
      </c>
      <c r="AK134" s="30">
        <v>129000</v>
      </c>
      <c r="AL134" s="31">
        <v>0.2</v>
      </c>
      <c r="AM134" s="32">
        <f t="shared" si="8"/>
        <v>161250</v>
      </c>
      <c r="AN134" s="29">
        <v>12</v>
      </c>
      <c r="AO134" s="29">
        <v>200</v>
      </c>
      <c r="AP134" s="33">
        <f t="shared" si="9"/>
        <v>2036.3636363636363</v>
      </c>
      <c r="AQ134" s="29" t="s">
        <v>91</v>
      </c>
      <c r="AR134" s="29">
        <v>4</v>
      </c>
      <c r="AS134" s="31">
        <v>0.7</v>
      </c>
      <c r="AT134" s="31">
        <v>1.1100000000000001</v>
      </c>
      <c r="AU134" s="29">
        <v>160</v>
      </c>
      <c r="AV134"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0.13510167737495204</v>
      </c>
      <c r="AW134" s="53">
        <f>DBImplements[[#This Row],[TradeIn%]]*DBImplements[[#This Row],[PriceL]]</f>
        <v>21785.145476711019</v>
      </c>
      <c r="AX134" s="54">
        <f>(DBImplements[[#This Row],[PriceP]]-DBImplements[[#This Row],[TradeIn$]])/DBImplements[[#This Row],[Life (yr)]]/DBImplements[[#This Row],[Use (ac/yr)]]</f>
        <v>4.3875126479024509</v>
      </c>
      <c r="AY134" s="37">
        <f>((DBImplements[[#This Row],[PriceP]]+DBImplements[[#This Row],[TradeIn$]])/2*(Equipment!$CS$256+Equipment!$CS$257+Equipment!$CS$258)+DBImplements[[#This Row],[Shed (ft^2)]]*Equipment!$CS$260)/DBImplements[[#This Row],[Use (ac/yr)]]</f>
        <v>2.4271222068264224</v>
      </c>
      <c r="AZ134" s="55">
        <f>DBImplements[[#This Row],[PriceL]]*(VLOOKUP(DBImplements[[#This Row],[ASABEtype]],DB_ASABECoef[],2)*(DBImplements[[#This Row],[Life (yr)]]*DBImplements[[#This Row],[Use (hr/yr)]]/1000)^VLOOKUP(DBImplements[[#This Row],[ASABEtype]],DB_ASABECoef[],3))/DBImplements[[#This Row],[Life (yr)]]/DBImplements[[#This Row],[Use (ac/yr)]]</f>
        <v>1.6594598260197817</v>
      </c>
      <c r="BA134" s="14">
        <f>Equipment!$CS$265/(DBImplements[[#This Row],[Width]]*DBImplements[[#This Row],[Speed]]*DBImplements[[#This Row],[Efficiency]])</f>
        <v>9.8214285714285712E-2</v>
      </c>
      <c r="BB134" s="14">
        <f>DBImplements[[#This Row],[EquipHrs (hr/ac)]]*DBImplements[[#This Row],[LaborUse]]</f>
        <v>0.10901785714285715</v>
      </c>
      <c r="BC134" s="39">
        <f>SUM(DBImplements[[#This Row],[Depr ($/ac)]:[OH ($/ac)]])</f>
        <v>6.8146348547288733</v>
      </c>
      <c r="BD134" s="40">
        <v>49</v>
      </c>
      <c r="BE134" s="12" t="s">
        <v>244</v>
      </c>
      <c r="BF134"/>
      <c r="BG134" s="191"/>
      <c r="BH134"/>
      <c r="BI134"/>
      <c r="BJ134"/>
      <c r="BK134"/>
      <c r="BL134"/>
      <c r="BM134"/>
      <c r="BN134"/>
      <c r="BO134"/>
      <c r="BP134"/>
      <c r="BQ134"/>
      <c r="BR134"/>
      <c r="BS134"/>
      <c r="BT134"/>
      <c r="BU134"/>
      <c r="BV134"/>
      <c r="BW134"/>
      <c r="BX134"/>
      <c r="BY134"/>
      <c r="BZ134"/>
      <c r="CA134"/>
      <c r="CB134" s="191"/>
      <c r="CC134"/>
      <c r="CD134"/>
      <c r="CE134"/>
      <c r="CF134"/>
      <c r="CG134"/>
      <c r="CH134"/>
      <c r="CI134"/>
      <c r="CJ134"/>
      <c r="CK134"/>
      <c r="CL134"/>
      <c r="CM134"/>
      <c r="CN134"/>
      <c r="CO134"/>
      <c r="CP134" s="252"/>
    </row>
    <row r="135" spans="22:94" ht="16.5">
      <c r="V135" s="191"/>
      <c r="W135"/>
      <c r="X135"/>
      <c r="Y135"/>
      <c r="Z135"/>
      <c r="AA135"/>
      <c r="AB135"/>
      <c r="AC135" s="191"/>
      <c r="AD135"/>
      <c r="AE135" s="12" t="str">
        <f>DBImplements[[#This Row],[Implement type]]&amp;", "&amp;DBImplements[[#This Row],[Width]]&amp;" "&amp;DBImplements[[#This Row],[Width Unit]]</f>
        <v>Combine platform, 20 Ft</v>
      </c>
      <c r="AF135" s="28" t="s">
        <v>161</v>
      </c>
      <c r="AG135" s="29">
        <v>20</v>
      </c>
      <c r="AH135" s="28" t="s">
        <v>76</v>
      </c>
      <c r="AI135" s="29"/>
      <c r="AJ135" s="29"/>
      <c r="AK135" s="30">
        <v>36000</v>
      </c>
      <c r="AL135" s="31">
        <v>0.2</v>
      </c>
      <c r="AM135" s="32">
        <f t="shared" si="8"/>
        <v>45000</v>
      </c>
      <c r="AN135" s="29">
        <v>12</v>
      </c>
      <c r="AO135" s="29">
        <v>199.99999999999997</v>
      </c>
      <c r="AP135" s="33">
        <f t="shared" si="9"/>
        <v>1187.8787878787878</v>
      </c>
      <c r="AQ135" s="29" t="s">
        <v>91</v>
      </c>
      <c r="AR135" s="29">
        <v>3.5</v>
      </c>
      <c r="AS135" s="31">
        <v>0.7</v>
      </c>
      <c r="AT135" s="31">
        <v>1.1100000000000001</v>
      </c>
      <c r="AU135" s="29">
        <v>108</v>
      </c>
      <c r="AV135"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0.1351016773749521</v>
      </c>
      <c r="AW135" s="53">
        <f>DBImplements[[#This Row],[TradeIn%]]*DBImplements[[#This Row],[PriceL]]</f>
        <v>6079.5754818728446</v>
      </c>
      <c r="AX135" s="54">
        <f>(DBImplements[[#This Row],[PriceP]]-DBImplements[[#This Row],[TradeIn$]])/DBImplements[[#This Row],[Life (yr)]]/DBImplements[[#This Row],[Use (ac/yr)]]</f>
        <v>2.0990093730829003</v>
      </c>
      <c r="AY135" s="37">
        <f>((DBImplements[[#This Row],[PriceP]]+DBImplements[[#This Row],[TradeIn$]])/2*(Equipment!$CS$256+Equipment!$CS$257+Equipment!$CS$258)+DBImplements[[#This Row],[Shed (ft^2)]]*Equipment!$CS$260)/DBImplements[[#This Row],[Use (ac/yr)]]</f>
        <v>1.2128360100982809</v>
      </c>
      <c r="AZ135" s="55">
        <f>DBImplements[[#This Row],[PriceL]]*(VLOOKUP(DBImplements[[#This Row],[ASABEtype]],DB_ASABECoef[],2)*(DBImplements[[#This Row],[Life (yr)]]*DBImplements[[#This Row],[Use (hr/yr)]]/1000)^VLOOKUP(DBImplements[[#This Row],[ASABEtype]],DB_ASABECoef[],3))/DBImplements[[#This Row],[Life (yr)]]/DBImplements[[#This Row],[Use (ac/yr)]]</f>
        <v>0.7938944018167724</v>
      </c>
      <c r="BA135" s="14">
        <f>Equipment!$CS$265/(DBImplements[[#This Row],[Width]]*DBImplements[[#This Row],[Speed]]*DBImplements[[#This Row],[Efficiency]])</f>
        <v>0.1683673469387755</v>
      </c>
      <c r="BB135" s="14">
        <f>DBImplements[[#This Row],[EquipHrs (hr/ac)]]*DBImplements[[#This Row],[LaborUse]]</f>
        <v>0.18688775510204084</v>
      </c>
      <c r="BC135" s="39">
        <f>SUM(DBImplements[[#This Row],[Depr ($/ac)]:[OH ($/ac)]])</f>
        <v>3.3118453831811809</v>
      </c>
      <c r="BD135" s="40">
        <v>43</v>
      </c>
      <c r="BE135" s="12" t="s">
        <v>244</v>
      </c>
      <c r="BF135"/>
      <c r="BG135" s="191"/>
      <c r="BH135"/>
      <c r="BI135"/>
      <c r="BJ135"/>
      <c r="BK135"/>
      <c r="BL135"/>
      <c r="BM135"/>
      <c r="BN135"/>
      <c r="BO135"/>
      <c r="BP135"/>
      <c r="BQ135"/>
      <c r="BR135"/>
      <c r="BS135"/>
      <c r="BT135"/>
      <c r="BU135"/>
      <c r="BV135"/>
      <c r="BW135"/>
      <c r="BX135"/>
      <c r="BY135"/>
      <c r="BZ135"/>
      <c r="CA135"/>
      <c r="CB135" s="191"/>
      <c r="CC135"/>
      <c r="CD135"/>
      <c r="CE135"/>
      <c r="CF135"/>
      <c r="CG135"/>
      <c r="CH135"/>
      <c r="CI135"/>
      <c r="CJ135"/>
      <c r="CK135"/>
      <c r="CL135"/>
      <c r="CM135"/>
      <c r="CN135"/>
      <c r="CO135"/>
      <c r="CP135" s="252"/>
    </row>
    <row r="136" spans="22:94" ht="16.5">
      <c r="V136" s="191"/>
      <c r="W136"/>
      <c r="X136"/>
      <c r="Y136"/>
      <c r="Z136"/>
      <c r="AA136"/>
      <c r="AB136"/>
      <c r="AC136" s="191"/>
      <c r="AD136"/>
      <c r="AE136" s="12" t="str">
        <f>DBImplements[[#This Row],[Implement type]]&amp;", "&amp;DBImplements[[#This Row],[Width]]&amp;" "&amp;DBImplements[[#This Row],[Width Unit]]</f>
        <v>Combine platform, 25 Ft</v>
      </c>
      <c r="AF136" s="28" t="s">
        <v>161</v>
      </c>
      <c r="AG136" s="29">
        <v>25</v>
      </c>
      <c r="AH136" s="28" t="s">
        <v>76</v>
      </c>
      <c r="AI136" s="29"/>
      <c r="AJ136" s="29"/>
      <c r="AK136" s="30">
        <v>43500</v>
      </c>
      <c r="AL136" s="31">
        <v>0.2</v>
      </c>
      <c r="AM136" s="32">
        <f t="shared" si="8"/>
        <v>54375</v>
      </c>
      <c r="AN136" s="29">
        <v>12</v>
      </c>
      <c r="AO136" s="29">
        <v>200</v>
      </c>
      <c r="AP136" s="33">
        <f t="shared" si="9"/>
        <v>1484.8484848484845</v>
      </c>
      <c r="AQ136" s="29" t="s">
        <v>91</v>
      </c>
      <c r="AR136" s="29">
        <v>3.5</v>
      </c>
      <c r="AS136" s="31">
        <v>0.7</v>
      </c>
      <c r="AT136" s="31">
        <v>1.1100000000000001</v>
      </c>
      <c r="AU136" s="29">
        <v>108</v>
      </c>
      <c r="AV136"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0.13510167737495204</v>
      </c>
      <c r="AW136" s="53">
        <f>DBImplements[[#This Row],[TradeIn%]]*DBImplements[[#This Row],[PriceL]]</f>
        <v>7346.1537072630172</v>
      </c>
      <c r="AX136" s="54">
        <f>(DBImplements[[#This Row],[PriceP]]-DBImplements[[#This Row],[TradeIn$]])/DBImplements[[#This Row],[Life (yr)]]/DBImplements[[#This Row],[Use (ac/yr)]]</f>
        <v>2.0290423939801374</v>
      </c>
      <c r="AY136" s="37">
        <f>((DBImplements[[#This Row],[PriceP]]+DBImplements[[#This Row],[TradeIn$]])/2*(Equipment!$CS$256+Equipment!$CS$257+Equipment!$CS$258)+DBImplements[[#This Row],[Shed (ft^2)]]*Equipment!$CS$260)/DBImplements[[#This Row],[Use (ac/yr)]]</f>
        <v>1.1577215088062278</v>
      </c>
      <c r="AZ136" s="55">
        <f>DBImplements[[#This Row],[PriceL]]*(VLOOKUP(DBImplements[[#This Row],[ASABEtype]],DB_ASABECoef[],2)*(DBImplements[[#This Row],[Life (yr)]]*DBImplements[[#This Row],[Use (hr/yr)]]/1000)^VLOOKUP(DBImplements[[#This Row],[ASABEtype]],DB_ASABECoef[],3))/DBImplements[[#This Row],[Life (yr)]]/DBImplements[[#This Row],[Use (ac/yr)]]</f>
        <v>0.76743125508954679</v>
      </c>
      <c r="BA136" s="14">
        <f>Equipment!$CS$265/(DBImplements[[#This Row],[Width]]*DBImplements[[#This Row],[Speed]]*DBImplements[[#This Row],[Efficiency]])</f>
        <v>0.13469387755102041</v>
      </c>
      <c r="BB136" s="14">
        <f>DBImplements[[#This Row],[EquipHrs (hr/ac)]]*DBImplements[[#This Row],[LaborUse]]</f>
        <v>0.14951020408163268</v>
      </c>
      <c r="BC136" s="39">
        <f>SUM(DBImplements[[#This Row],[Depr ($/ac)]:[OH ($/ac)]])</f>
        <v>3.1867639027863652</v>
      </c>
      <c r="BD136" s="40">
        <v>44</v>
      </c>
      <c r="BE136" s="12" t="s">
        <v>244</v>
      </c>
      <c r="BF136"/>
      <c r="BG136" s="191"/>
      <c r="BH136"/>
      <c r="BI136"/>
      <c r="BJ136"/>
      <c r="BK136"/>
      <c r="BL136"/>
      <c r="BM136"/>
      <c r="BN136"/>
      <c r="BO136"/>
      <c r="BP136"/>
      <c r="BQ136"/>
      <c r="BR136"/>
      <c r="BS136"/>
      <c r="BT136"/>
      <c r="BU136"/>
      <c r="BV136"/>
      <c r="BW136"/>
      <c r="BX136"/>
      <c r="BY136"/>
      <c r="BZ136"/>
      <c r="CA136"/>
      <c r="CB136" s="191"/>
      <c r="CC136"/>
      <c r="CD136"/>
      <c r="CE136"/>
      <c r="CF136"/>
      <c r="CG136"/>
      <c r="CH136"/>
      <c r="CI136"/>
      <c r="CJ136"/>
      <c r="CK136"/>
      <c r="CL136"/>
      <c r="CM136"/>
      <c r="CN136"/>
      <c r="CO136"/>
      <c r="CP136" s="252"/>
    </row>
    <row r="137" spans="22:94" ht="16.5">
      <c r="V137" s="191"/>
      <c r="W137"/>
      <c r="X137"/>
      <c r="Y137"/>
      <c r="Z137"/>
      <c r="AA137"/>
      <c r="AB137"/>
      <c r="AC137" s="191"/>
      <c r="AD137"/>
      <c r="AE137" s="12" t="str">
        <f>DBImplements[[#This Row],[Implement type]]&amp;", "&amp;DBImplements[[#This Row],[Width]]&amp;" "&amp;DBImplements[[#This Row],[Width Unit]]</f>
        <v>Combine platform, 30 Ft</v>
      </c>
      <c r="AF137" s="28" t="s">
        <v>161</v>
      </c>
      <c r="AG137" s="29">
        <v>30</v>
      </c>
      <c r="AH137" s="28" t="s">
        <v>76</v>
      </c>
      <c r="AI137" s="29"/>
      <c r="AJ137" s="29"/>
      <c r="AK137" s="30">
        <v>51000</v>
      </c>
      <c r="AL137" s="31">
        <v>0.2</v>
      </c>
      <c r="AM137" s="32">
        <f t="shared" si="8"/>
        <v>63750</v>
      </c>
      <c r="AN137" s="29">
        <v>12</v>
      </c>
      <c r="AO137" s="29">
        <v>200</v>
      </c>
      <c r="AP137" s="33">
        <f t="shared" si="9"/>
        <v>1781.8181818181818</v>
      </c>
      <c r="AQ137" s="29" t="s">
        <v>91</v>
      </c>
      <c r="AR137" s="29">
        <v>3.5</v>
      </c>
      <c r="AS137" s="31">
        <v>0.7</v>
      </c>
      <c r="AT137" s="31">
        <v>1.1100000000000001</v>
      </c>
      <c r="AU137" s="29">
        <v>108</v>
      </c>
      <c r="AV137"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0.13510167737495204</v>
      </c>
      <c r="AW137" s="53">
        <f>DBImplements[[#This Row],[TradeIn%]]*DBImplements[[#This Row],[PriceL]]</f>
        <v>8612.7319326531924</v>
      </c>
      <c r="AX137" s="54">
        <f>(DBImplements[[#This Row],[PriceP]]-DBImplements[[#This Row],[TradeIn$]])/DBImplements[[#This Row],[Life (yr)]]/DBImplements[[#This Row],[Use (ac/yr)]]</f>
        <v>1.9823977412449614</v>
      </c>
      <c r="AY137" s="37">
        <f>((DBImplements[[#This Row],[PriceP]]+DBImplements[[#This Row],[TradeIn$]])/2*(Equipment!$CS$256+Equipment!$CS$257+Equipment!$CS$258)+DBImplements[[#This Row],[Shed (ft^2)]]*Equipment!$CS$260)/DBImplements[[#This Row],[Use (ac/yr)]]</f>
        <v>1.1209785079448591</v>
      </c>
      <c r="AZ137" s="55">
        <f>DBImplements[[#This Row],[PriceL]]*(VLOOKUP(DBImplements[[#This Row],[ASABEtype]],DB_ASABECoef[],2)*(DBImplements[[#This Row],[Life (yr)]]*DBImplements[[#This Row],[Use (hr/yr)]]/1000)^VLOOKUP(DBImplements[[#This Row],[ASABEtype]],DB_ASABECoef[],3))/DBImplements[[#This Row],[Life (yr)]]/DBImplements[[#This Row],[Use (ac/yr)]]</f>
        <v>0.74978915727139628</v>
      </c>
      <c r="BA137" s="14">
        <f>Equipment!$CS$265/(DBImplements[[#This Row],[Width]]*DBImplements[[#This Row],[Speed]]*DBImplements[[#This Row],[Efficiency]])</f>
        <v>0.11224489795918367</v>
      </c>
      <c r="BB137" s="14">
        <f>DBImplements[[#This Row],[EquipHrs (hr/ac)]]*DBImplements[[#This Row],[LaborUse]]</f>
        <v>0.12459183673469389</v>
      </c>
      <c r="BC137" s="39">
        <f>SUM(DBImplements[[#This Row],[Depr ($/ac)]:[OH ($/ac)]])</f>
        <v>3.1033762491898207</v>
      </c>
      <c r="BD137" s="40">
        <v>45</v>
      </c>
      <c r="BE137" s="12" t="s">
        <v>244</v>
      </c>
      <c r="BF137"/>
      <c r="BG137" s="191"/>
      <c r="BH137"/>
      <c r="BI137"/>
      <c r="BJ137"/>
      <c r="BK137"/>
      <c r="BL137"/>
      <c r="BM137"/>
      <c r="BN137"/>
      <c r="BO137"/>
      <c r="BP137"/>
      <c r="BQ137"/>
      <c r="BR137"/>
      <c r="BS137"/>
      <c r="BT137"/>
      <c r="BU137"/>
      <c r="BV137"/>
      <c r="BW137"/>
      <c r="BX137"/>
      <c r="BY137"/>
      <c r="BZ137"/>
      <c r="CA137"/>
      <c r="CB137" s="191"/>
      <c r="CC137"/>
      <c r="CD137"/>
      <c r="CE137"/>
      <c r="CF137"/>
      <c r="CG137"/>
      <c r="CH137"/>
      <c r="CI137"/>
      <c r="CJ137"/>
      <c r="CK137"/>
      <c r="CL137"/>
      <c r="CM137"/>
      <c r="CN137"/>
      <c r="CO137"/>
      <c r="CP137" s="252"/>
    </row>
    <row r="138" spans="22:94" ht="16.5">
      <c r="V138" s="191"/>
      <c r="W138"/>
      <c r="X138"/>
      <c r="Y138"/>
      <c r="Z138"/>
      <c r="AA138"/>
      <c r="AB138"/>
      <c r="AC138" s="191"/>
      <c r="AD138"/>
      <c r="AE138" s="12" t="str">
        <f>DBImplements[[#This Row],[Implement type]]&amp;", "&amp;DBImplements[[#This Row],[Width]]&amp;" "&amp;DBImplements[[#This Row],[Width Unit]]</f>
        <v>Grain cart, 30 Ft</v>
      </c>
      <c r="AF138" s="28" t="s">
        <v>166</v>
      </c>
      <c r="AG138" s="29">
        <v>30</v>
      </c>
      <c r="AH138" s="28" t="s">
        <v>76</v>
      </c>
      <c r="AI138" s="29"/>
      <c r="AJ138" s="28"/>
      <c r="AK138" s="30">
        <v>131500</v>
      </c>
      <c r="AL138" s="31">
        <v>0.1</v>
      </c>
      <c r="AM138" s="32">
        <f t="shared" si="8"/>
        <v>146111.11111111109</v>
      </c>
      <c r="AN138" s="29">
        <v>12</v>
      </c>
      <c r="AO138" s="29">
        <v>200</v>
      </c>
      <c r="AP138" s="33">
        <f t="shared" si="9"/>
        <v>1374.5454545454545</v>
      </c>
      <c r="AQ138" s="29" t="s">
        <v>159</v>
      </c>
      <c r="AR138" s="29">
        <v>3</v>
      </c>
      <c r="AS138" s="31">
        <v>0.63</v>
      </c>
      <c r="AT138" s="31">
        <v>1.1100000000000001</v>
      </c>
      <c r="AU138" s="29">
        <v>0</v>
      </c>
      <c r="AV138"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38" s="53">
        <f>DBImplements[[#This Row],[TradeIn%]]*DBImplements[[#This Row],[PriceL]]</f>
        <v>42967.01659844743</v>
      </c>
      <c r="AX138" s="54">
        <f>(DBImplements[[#This Row],[PriceP]]-DBImplements[[#This Row],[TradeIn$]])/DBImplements[[#This Row],[Life (yr)]]/DBImplements[[#This Row],[Use (ac/yr)]]</f>
        <v>5.3674097079865426</v>
      </c>
      <c r="AY138" s="37">
        <f>((DBImplements[[#This Row],[PriceP]]+DBImplements[[#This Row],[TradeIn$]])/2*(Equipment!$CS$256+Equipment!$CS$257+Equipment!$CS$258)+DBImplements[[#This Row],[Shed (ft^2)]]*Equipment!$CS$260)/DBImplements[[#This Row],[Use (ac/yr)]]</f>
        <v>4.0299342292994558</v>
      </c>
      <c r="AZ138" s="55">
        <f>DBImplements[[#This Row],[PriceL]]*(VLOOKUP(DBImplements[[#This Row],[ASABEtype]],DB_ASABECoef[],2)*(DBImplements[[#This Row],[Life (yr)]]*DBImplements[[#This Row],[Use (hr/yr)]]/1000)^VLOOKUP(DBImplements[[#This Row],[ASABEtype]],DB_ASABECoef[],3))/DBImplements[[#This Row],[Life (yr)]]/DBImplements[[#This Row],[Use (ac/yr)]]</f>
        <v>5.2525610214624514</v>
      </c>
      <c r="BA138" s="14">
        <f>Equipment!$CS$265/(DBImplements[[#This Row],[Width]]*DBImplements[[#This Row],[Speed]]*DBImplements[[#This Row],[Efficiency]])</f>
        <v>0.14550264550264549</v>
      </c>
      <c r="BB138" s="14">
        <f>DBImplements[[#This Row],[EquipHrs (hr/ac)]]*DBImplements[[#This Row],[LaborUse]]</f>
        <v>0.16150793650793652</v>
      </c>
      <c r="BC138" s="39">
        <f>SUM(DBImplements[[#This Row],[Depr ($/ac)]:[OH ($/ac)]])</f>
        <v>9.3973439372859993</v>
      </c>
      <c r="BD138" s="40">
        <v>54</v>
      </c>
      <c r="BE138" s="12" t="s">
        <v>244</v>
      </c>
      <c r="BF138"/>
      <c r="BG138" s="191"/>
      <c r="BH138"/>
      <c r="BI138"/>
      <c r="BJ138"/>
      <c r="BK138"/>
      <c r="BL138"/>
      <c r="BM138"/>
      <c r="BN138"/>
      <c r="BO138"/>
      <c r="BP138"/>
      <c r="BQ138"/>
      <c r="BR138"/>
      <c r="BS138"/>
      <c r="BT138"/>
      <c r="BU138"/>
      <c r="BV138"/>
      <c r="BW138"/>
      <c r="BX138"/>
      <c r="BY138"/>
      <c r="BZ138"/>
      <c r="CA138"/>
      <c r="CB138" s="191"/>
      <c r="CC138"/>
      <c r="CD138"/>
      <c r="CE138"/>
      <c r="CF138"/>
      <c r="CG138"/>
      <c r="CH138"/>
      <c r="CI138"/>
      <c r="CJ138"/>
      <c r="CK138"/>
      <c r="CL138"/>
      <c r="CM138"/>
      <c r="CN138"/>
      <c r="CO138"/>
      <c r="CP138" s="252"/>
    </row>
    <row r="139" spans="22:94" ht="16.5">
      <c r="V139" s="191"/>
      <c r="W139"/>
      <c r="X139"/>
      <c r="Y139"/>
      <c r="Z139"/>
      <c r="AA139"/>
      <c r="AB139"/>
      <c r="AC139" s="191"/>
      <c r="AD139"/>
      <c r="AE139" s="12" t="str">
        <f>DBImplements[[#This Row],[Implement type]]&amp;", "&amp;DBImplements[[#This Row],[Width]]&amp;" "&amp;DBImplements[[#This Row],[Width Unit]]</f>
        <v>Disk mower, 9 Ft</v>
      </c>
      <c r="AF139" s="58" t="s">
        <v>214</v>
      </c>
      <c r="AG139" s="29">
        <v>9</v>
      </c>
      <c r="AH139" s="28" t="str">
        <f t="shared" ref="AH139:AH145" si="11">IF(AG139&gt;15,"Ft Folding","Ft")</f>
        <v>Ft</v>
      </c>
      <c r="AI139" s="29"/>
      <c r="AJ139" s="58"/>
      <c r="AK139" s="30">
        <v>13500</v>
      </c>
      <c r="AL139" s="31">
        <v>0.1</v>
      </c>
      <c r="AM139" s="32">
        <f t="shared" si="8"/>
        <v>15000</v>
      </c>
      <c r="AN139" s="29">
        <v>12</v>
      </c>
      <c r="AO139" s="29">
        <v>80</v>
      </c>
      <c r="AP139" s="33">
        <f t="shared" si="9"/>
        <v>453.81818181818187</v>
      </c>
      <c r="AQ139" s="29" t="s">
        <v>130</v>
      </c>
      <c r="AR139" s="29">
        <v>6.5</v>
      </c>
      <c r="AS139" s="31">
        <v>0.8</v>
      </c>
      <c r="AT139" s="31">
        <v>1.05</v>
      </c>
      <c r="AU139" s="29">
        <v>50</v>
      </c>
      <c r="AV139"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0.29790868815561528</v>
      </c>
      <c r="AW139" s="53">
        <f>DBImplements[[#This Row],[TradeIn%]]*DBImplements[[#This Row],[PriceL]]</f>
        <v>4468.6303223342293</v>
      </c>
      <c r="AX139" s="54">
        <f>(DBImplements[[#This Row],[PriceP]]-DBImplements[[#This Row],[TradeIn$]])/DBImplements[[#This Row],[Life (yr)]]/DBImplements[[#This Row],[Use (ac/yr)]]</f>
        <v>1.6584045548598336</v>
      </c>
      <c r="AY139" s="37">
        <f>((DBImplements[[#This Row],[PriceP]]+DBImplements[[#This Row],[TradeIn$]])/2*(Equipment!$CS$256+Equipment!$CS$257+Equipment!$CS$258)+DBImplements[[#This Row],[Shed (ft^2)]]*Equipment!$CS$260)/DBImplements[[#This Row],[Use (ac/yr)]]</f>
        <v>1.3639051622227605</v>
      </c>
      <c r="AZ139" s="55">
        <f>DBImplements[[#This Row],[PriceL]]*(VLOOKUP(DBImplements[[#This Row],[ASABEtype]],DB_ASABECoef[],2)*(DBImplements[[#This Row],[Life (yr)]]*DBImplements[[#This Row],[Use (hr/yr)]]/1000)^VLOOKUP(DBImplements[[#This Row],[ASABEtype]],DB_ASABECoef[],3))/DBImplements[[#This Row],[Life (yr)]]/DBImplements[[#This Row],[Use (ac/yr)]]</f>
        <v>1.1169230769230767</v>
      </c>
      <c r="BA139" s="14">
        <f>Equipment!$CS$265/(DBImplements[[#This Row],[Width]]*DBImplements[[#This Row],[Speed]]*DBImplements[[#This Row],[Efficiency]])</f>
        <v>0.17628205128205127</v>
      </c>
      <c r="BB139" s="14">
        <f>DBImplements[[#This Row],[EquipHrs (hr/ac)]]*DBImplements[[#This Row],[LaborUse]]</f>
        <v>0.18509615384615383</v>
      </c>
      <c r="BC139" s="39">
        <f>SUM(DBImplements[[#This Row],[Depr ($/ac)]:[OH ($/ac)]])</f>
        <v>3.0223097170825941</v>
      </c>
      <c r="BD139" s="40">
        <v>28</v>
      </c>
      <c r="BE139" s="12" t="s">
        <v>237</v>
      </c>
      <c r="BF139"/>
      <c r="BG139" s="191"/>
      <c r="BH139"/>
      <c r="BI139"/>
      <c r="BJ139"/>
      <c r="BK139"/>
      <c r="BL139"/>
      <c r="BM139"/>
      <c r="BN139"/>
      <c r="BO139"/>
      <c r="BP139"/>
      <c r="BQ139"/>
      <c r="BR139"/>
      <c r="BS139"/>
      <c r="BT139"/>
      <c r="BU139"/>
      <c r="BV139"/>
      <c r="BW139"/>
      <c r="BX139"/>
      <c r="BY139"/>
      <c r="BZ139"/>
      <c r="CA139"/>
      <c r="CB139" s="191"/>
      <c r="CC139"/>
      <c r="CD139"/>
      <c r="CE139"/>
      <c r="CF139"/>
      <c r="CG139"/>
      <c r="CH139"/>
      <c r="CI139"/>
      <c r="CJ139"/>
      <c r="CK139"/>
      <c r="CL139"/>
      <c r="CM139"/>
      <c r="CN139"/>
      <c r="CO139"/>
      <c r="CP139" s="252"/>
    </row>
    <row r="140" spans="22:94" ht="16.5">
      <c r="V140" s="191"/>
      <c r="W140"/>
      <c r="X140"/>
      <c r="Y140"/>
      <c r="Z140"/>
      <c r="AA140"/>
      <c r="AB140"/>
      <c r="AC140" s="191"/>
      <c r="AD140"/>
      <c r="AE140" s="12" t="str">
        <f>DBImplements[[#This Row],[Implement type]]&amp;", "&amp;DBImplements[[#This Row],[Width]]&amp;" "&amp;DBImplements[[#This Row],[Width Unit]]</f>
        <v>Disk mower/conditioner, 12 Ft</v>
      </c>
      <c r="AF140" s="58" t="s">
        <v>215</v>
      </c>
      <c r="AG140" s="29">
        <v>12</v>
      </c>
      <c r="AH140" s="28" t="str">
        <f t="shared" si="11"/>
        <v>Ft</v>
      </c>
      <c r="AI140" s="29"/>
      <c r="AJ140" s="29"/>
      <c r="AK140" s="30">
        <v>47000</v>
      </c>
      <c r="AL140" s="31">
        <v>0.1</v>
      </c>
      <c r="AM140" s="32">
        <f t="shared" si="8"/>
        <v>52222.222222222219</v>
      </c>
      <c r="AN140" s="29">
        <v>12</v>
      </c>
      <c r="AO140" s="29">
        <v>80</v>
      </c>
      <c r="AP140" s="33">
        <f t="shared" si="9"/>
        <v>605.09090909090912</v>
      </c>
      <c r="AQ140" s="29" t="s">
        <v>135</v>
      </c>
      <c r="AR140" s="29">
        <v>6.5</v>
      </c>
      <c r="AS140" s="31">
        <v>0.8</v>
      </c>
      <c r="AT140" s="31">
        <v>1.05</v>
      </c>
      <c r="AU140" s="29">
        <v>200</v>
      </c>
      <c r="AV140"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0.3754768367568771</v>
      </c>
      <c r="AW140" s="53">
        <f>DBImplements[[#This Row],[TradeIn%]]*DBImplements[[#This Row],[PriceL]]</f>
        <v>19608.234808414691</v>
      </c>
      <c r="AX140" s="54">
        <f>(DBImplements[[#This Row],[PriceP]]-DBImplements[[#This Row],[TradeIn$]])/DBImplements[[#This Row],[Life (yr)]]/DBImplements[[#This Row],[Use (ac/yr)]]</f>
        <v>3.7724035595382408</v>
      </c>
      <c r="AY140" s="37">
        <f>((DBImplements[[#This Row],[PriceP]]+DBImplements[[#This Row],[TradeIn$]])/2*(Equipment!$CS$256+Equipment!$CS$257+Equipment!$CS$258)+DBImplements[[#This Row],[Shed (ft^2)]]*Equipment!$CS$260)/DBImplements[[#This Row],[Use (ac/yr)]]</f>
        <v>3.8153857761120782</v>
      </c>
      <c r="AZ140" s="55">
        <f>DBImplements[[#This Row],[PriceL]]*(VLOOKUP(DBImplements[[#This Row],[ASABEtype]],DB_ASABECoef[],2)*(DBImplements[[#This Row],[Life (yr)]]*DBImplements[[#This Row],[Use (hr/yr)]]/1000)^VLOOKUP(DBImplements[[#This Row],[ASABEtype]],DB_ASABECoef[],3))/DBImplements[[#This Row],[Life (yr)]]/DBImplements[[#This Row],[Use (ac/yr)]]</f>
        <v>1.0605128205128203</v>
      </c>
      <c r="BA140" s="14">
        <f>Equipment!$CS$265/(DBImplements[[#This Row],[Width]]*DBImplements[[#This Row],[Speed]]*DBImplements[[#This Row],[Efficiency]])</f>
        <v>0.13221153846153844</v>
      </c>
      <c r="BB140" s="14">
        <f>DBImplements[[#This Row],[EquipHrs (hr/ac)]]*DBImplements[[#This Row],[LaborUse]]</f>
        <v>0.13882211538461536</v>
      </c>
      <c r="BC140" s="39">
        <f>SUM(DBImplements[[#This Row],[Depr ($/ac)]:[OH ($/ac)]])</f>
        <v>7.587789335650319</v>
      </c>
      <c r="BD140" s="40">
        <v>28</v>
      </c>
      <c r="BE140" s="12" t="s">
        <v>237</v>
      </c>
      <c r="BF140"/>
      <c r="BG140" s="191"/>
      <c r="BH140"/>
      <c r="BI140"/>
      <c r="BJ140"/>
      <c r="BK140"/>
      <c r="BL140"/>
      <c r="BM140"/>
      <c r="BN140"/>
      <c r="BO140"/>
      <c r="BP140"/>
      <c r="BQ140"/>
      <c r="BR140"/>
      <c r="BS140"/>
      <c r="BT140"/>
      <c r="BU140"/>
      <c r="BV140"/>
      <c r="BW140"/>
      <c r="BX140"/>
      <c r="BY140"/>
      <c r="BZ140"/>
      <c r="CA140"/>
      <c r="CB140" s="191"/>
      <c r="CC140"/>
      <c r="CD140"/>
      <c r="CE140"/>
      <c r="CF140"/>
      <c r="CG140"/>
      <c r="CH140"/>
      <c r="CI140"/>
      <c r="CJ140"/>
      <c r="CK140"/>
      <c r="CL140"/>
      <c r="CM140"/>
      <c r="CN140"/>
      <c r="CO140"/>
      <c r="CP140" s="252"/>
    </row>
    <row r="141" spans="22:94" ht="16.5">
      <c r="V141" s="191"/>
      <c r="W141"/>
      <c r="X141"/>
      <c r="Y141"/>
      <c r="Z141"/>
      <c r="AA141"/>
      <c r="AB141"/>
      <c r="AC141" s="191"/>
      <c r="AD141"/>
      <c r="AE141" s="12" t="str">
        <f>DBImplements[[#This Row],[Implement type]]&amp;", "&amp;DBImplements[[#This Row],[Width]]&amp;" "&amp;DBImplements[[#This Row],[Width Unit]]</f>
        <v>Hay merger, 14 Ft</v>
      </c>
      <c r="AF141" s="58" t="s">
        <v>142</v>
      </c>
      <c r="AG141" s="29">
        <v>14</v>
      </c>
      <c r="AH141" s="28" t="str">
        <f t="shared" si="11"/>
        <v>Ft</v>
      </c>
      <c r="AI141" s="29"/>
      <c r="AJ141" s="29"/>
      <c r="AK141" s="30">
        <f>ROUND(65000*1.1,-3)</f>
        <v>72000</v>
      </c>
      <c r="AL141" s="31">
        <v>0.1</v>
      </c>
      <c r="AM141" s="32">
        <f t="shared" si="8"/>
        <v>80000</v>
      </c>
      <c r="AN141" s="29">
        <v>12</v>
      </c>
      <c r="AO141" s="29">
        <v>200</v>
      </c>
      <c r="AP141" s="33">
        <f t="shared" si="9"/>
        <v>2172.121212121212</v>
      </c>
      <c r="AQ141" s="29" t="s">
        <v>140</v>
      </c>
      <c r="AR141" s="29">
        <v>8</v>
      </c>
      <c r="AS141" s="31">
        <v>0.8</v>
      </c>
      <c r="AT141" s="31">
        <v>1.02</v>
      </c>
      <c r="AU141" s="29">
        <v>345</v>
      </c>
      <c r="AV141"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41" s="53">
        <f>DBImplements[[#This Row],[TradeIn%]]*DBImplements[[#This Row],[PriceL]]</f>
        <v>23525.666882800117</v>
      </c>
      <c r="AX141" s="54">
        <f>(DBImplements[[#This Row],[PriceP]]-DBImplements[[#This Row],[TradeIn$]])/DBImplements[[#This Row],[Life (yr)]]/DBImplements[[#This Row],[Use (ac/yr)]]</f>
        <v>1.8597156260086454</v>
      </c>
      <c r="AY141" s="37">
        <f>((DBImplements[[#This Row],[PriceP]]+DBImplements[[#This Row],[TradeIn$]])/2*(Equipment!$CS$256+Equipment!$CS$257+Equipment!$CS$258)+DBImplements[[#This Row],[Shed (ft^2)]]*Equipment!$CS$260)/DBImplements[[#This Row],[Use (ac/yr)]]</f>
        <v>1.550245192132927</v>
      </c>
      <c r="AZ141" s="55">
        <f>DBImplements[[#This Row],[PriceL]]*(VLOOKUP(DBImplements[[#This Row],[ASABEtype]],DB_ASABECoef[],2)*(DBImplements[[#This Row],[Life (yr)]]*DBImplements[[#This Row],[Use (hr/yr)]]/1000)^VLOOKUP(DBImplements[[#This Row],[ASABEtype]],DB_ASABECoef[],3))/DBImplements[[#This Row],[Life (yr)]]/DBImplements[[#This Row],[Use (ac/yr)]]</f>
        <v>1.7773352073562201</v>
      </c>
      <c r="BA141" s="14">
        <f>Equipment!$CS$265/(DBImplements[[#This Row],[Width]]*DBImplements[[#This Row],[Speed]]*DBImplements[[#This Row],[Efficiency]])</f>
        <v>9.2075892857142849E-2</v>
      </c>
      <c r="BB141" s="14">
        <f>DBImplements[[#This Row],[EquipHrs (hr/ac)]]*DBImplements[[#This Row],[LaborUse]]</f>
        <v>9.3917410714285707E-2</v>
      </c>
      <c r="BC141" s="39">
        <f>SUM(DBImplements[[#This Row],[Depr ($/ac)]:[OH ($/ac)]])</f>
        <v>3.4099608181415721</v>
      </c>
      <c r="BD141" s="40">
        <v>30</v>
      </c>
      <c r="BE141" s="12" t="s">
        <v>237</v>
      </c>
      <c r="BF141"/>
      <c r="BG141" s="191"/>
      <c r="BH141"/>
      <c r="BI141"/>
      <c r="BJ141"/>
      <c r="BK141"/>
      <c r="BL141"/>
      <c r="BM141"/>
      <c r="BN141"/>
      <c r="BO141"/>
      <c r="BP141"/>
      <c r="BQ141"/>
      <c r="BR141"/>
      <c r="BS141"/>
      <c r="BT141"/>
      <c r="BU141"/>
      <c r="BV141"/>
      <c r="BW141"/>
      <c r="BX141"/>
      <c r="BY141"/>
      <c r="BZ141"/>
      <c r="CA141"/>
      <c r="CB141" s="191"/>
      <c r="CC141"/>
      <c r="CD141"/>
      <c r="CE141"/>
      <c r="CF141"/>
      <c r="CG141"/>
      <c r="CH141"/>
      <c r="CI141"/>
      <c r="CJ141"/>
      <c r="CK141"/>
      <c r="CL141"/>
      <c r="CM141"/>
      <c r="CN141"/>
      <c r="CO141"/>
      <c r="CP141" s="252"/>
    </row>
    <row r="142" spans="22:94" ht="16.5">
      <c r="V142" s="191"/>
      <c r="W142"/>
      <c r="X142"/>
      <c r="Y142"/>
      <c r="Z142"/>
      <c r="AA142"/>
      <c r="AB142"/>
      <c r="AC142" s="191"/>
      <c r="AD142"/>
      <c r="AE142" s="12" t="str">
        <f>DBImplements[[#This Row],[Implement type]]&amp;", "&amp;DBImplements[[#This Row],[Width]]&amp;" "&amp;DBImplements[[#This Row],[Width Unit]]</f>
        <v>Hay merger, 34 Ft Folding</v>
      </c>
      <c r="AF142" s="58" t="s">
        <v>142</v>
      </c>
      <c r="AG142" s="29">
        <v>34</v>
      </c>
      <c r="AH142" s="28" t="str">
        <f t="shared" si="11"/>
        <v>Ft Folding</v>
      </c>
      <c r="AI142" s="29"/>
      <c r="AJ142" s="29"/>
      <c r="AK142" s="30">
        <f>260000*1.1</f>
        <v>286000</v>
      </c>
      <c r="AL142" s="31">
        <v>0.1</v>
      </c>
      <c r="AM142" s="32">
        <f t="shared" si="8"/>
        <v>317777.77777777775</v>
      </c>
      <c r="AN142" s="29">
        <v>12</v>
      </c>
      <c r="AO142" s="29">
        <v>200</v>
      </c>
      <c r="AP142" s="33">
        <f t="shared" si="9"/>
        <v>5275.1515151515159</v>
      </c>
      <c r="AQ142" s="29" t="s">
        <v>144</v>
      </c>
      <c r="AR142" s="29">
        <v>8</v>
      </c>
      <c r="AS142" s="31">
        <v>0.8</v>
      </c>
      <c r="AT142" s="31">
        <v>1.02</v>
      </c>
      <c r="AU142" s="29">
        <v>345</v>
      </c>
      <c r="AV142"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0.3754768367568771</v>
      </c>
      <c r="AW142" s="53">
        <f>DBImplements[[#This Row],[TradeIn%]]*DBImplements[[#This Row],[PriceL]]</f>
        <v>119318.19479162982</v>
      </c>
      <c r="AX142" s="54">
        <f>(DBImplements[[#This Row],[PriceP]]-DBImplements[[#This Row],[TradeIn$]])/DBImplements[[#This Row],[Life (yr)]]/DBImplements[[#This Row],[Use (ac/yr)]]</f>
        <v>2.6331282417452773</v>
      </c>
      <c r="AY142" s="37">
        <f>((DBImplements[[#This Row],[PriceP]]+DBImplements[[#This Row],[TradeIn$]])/2*(Equipment!$CS$256+Equipment!$CS$257+Equipment!$CS$258)+DBImplements[[#This Row],[Shed (ft^2)]]*Equipment!$CS$260)/DBImplements[[#This Row],[Use (ac/yr)]]</f>
        <v>2.5029107105271393</v>
      </c>
      <c r="AZ142" s="55">
        <f>DBImplements[[#This Row],[PriceL]]*(VLOOKUP(DBImplements[[#This Row],[ASABEtype]],DB_ASABECoef[],2)*(DBImplements[[#This Row],[Life (yr)]]*DBImplements[[#This Row],[Use (hr/yr)]]/1000)^VLOOKUP(DBImplements[[#This Row],[ASABEtype]],DB_ASABECoef[],3))/DBImplements[[#This Row],[Life (yr)]]/DBImplements[[#This Row],[Use (ac/yr)]]</f>
        <v>1.7349264705882348</v>
      </c>
      <c r="BA142" s="14">
        <f>Equipment!$CS$265/(DBImplements[[#This Row],[Width]]*DBImplements[[#This Row],[Speed]]*DBImplements[[#This Row],[Efficiency]])</f>
        <v>3.7913602941176468E-2</v>
      </c>
      <c r="BB142" s="14">
        <f>DBImplements[[#This Row],[EquipHrs (hr/ac)]]*DBImplements[[#This Row],[LaborUse]]</f>
        <v>3.8671874999999994E-2</v>
      </c>
      <c r="BC142" s="39">
        <f>SUM(DBImplements[[#This Row],[Depr ($/ac)]:[OH ($/ac)]])</f>
        <v>5.1360389522724166</v>
      </c>
      <c r="BD142" s="40">
        <v>31</v>
      </c>
      <c r="BE142" s="12" t="s">
        <v>237</v>
      </c>
      <c r="BF142"/>
      <c r="BG142" s="191"/>
      <c r="BH142"/>
      <c r="BI142"/>
      <c r="BJ142"/>
      <c r="BK142"/>
      <c r="BL142"/>
      <c r="BM142"/>
      <c r="BN142"/>
      <c r="BO142"/>
      <c r="BP142"/>
      <c r="BQ142"/>
      <c r="BR142"/>
      <c r="BS142"/>
      <c r="BT142"/>
      <c r="BU142"/>
      <c r="BV142"/>
      <c r="BW142"/>
      <c r="BX142"/>
      <c r="BY142"/>
      <c r="BZ142"/>
      <c r="CA142"/>
      <c r="CB142" s="191"/>
      <c r="CC142"/>
      <c r="CD142"/>
      <c r="CE142"/>
      <c r="CF142"/>
      <c r="CG142"/>
      <c r="CH142"/>
      <c r="CI142"/>
      <c r="CJ142"/>
      <c r="CK142"/>
      <c r="CL142"/>
      <c r="CM142"/>
      <c r="CN142"/>
      <c r="CO142"/>
      <c r="CP142" s="252"/>
    </row>
    <row r="143" spans="22:94" ht="16.5">
      <c r="V143" s="191"/>
      <c r="W143"/>
      <c r="X143"/>
      <c r="Y143"/>
      <c r="Z143"/>
      <c r="AA143"/>
      <c r="AB143"/>
      <c r="AC143" s="191"/>
      <c r="AD143"/>
      <c r="AE143" s="12" t="str">
        <f>DBImplements[[#This Row],[Implement type]]&amp;", "&amp;DBImplements[[#This Row],[Width]]&amp;" "&amp;DBImplements[[#This Row],[Width Unit]]</f>
        <v>Hay rake, 20 Ft Folding</v>
      </c>
      <c r="AF143" s="58" t="s">
        <v>139</v>
      </c>
      <c r="AG143" s="29">
        <v>20</v>
      </c>
      <c r="AH143" s="28" t="str">
        <f t="shared" si="11"/>
        <v>Ft Folding</v>
      </c>
      <c r="AI143" s="29">
        <v>8</v>
      </c>
      <c r="AJ143" s="58" t="s">
        <v>229</v>
      </c>
      <c r="AK143" s="30">
        <v>9000</v>
      </c>
      <c r="AL143" s="31">
        <v>0.15</v>
      </c>
      <c r="AM143" s="32">
        <f t="shared" si="8"/>
        <v>10588.235294117647</v>
      </c>
      <c r="AN143" s="29">
        <v>12</v>
      </c>
      <c r="AO143" s="29">
        <v>80</v>
      </c>
      <c r="AP143" s="33">
        <f t="shared" si="9"/>
        <v>1241.2121212121212</v>
      </c>
      <c r="AQ143" s="29" t="s">
        <v>213</v>
      </c>
      <c r="AR143" s="29">
        <v>8</v>
      </c>
      <c r="AS143" s="31">
        <v>0.8</v>
      </c>
      <c r="AT143" s="31">
        <v>1.02</v>
      </c>
      <c r="AU143" s="29">
        <v>175</v>
      </c>
      <c r="AV143"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43" s="53">
        <f>DBImplements[[#This Row],[TradeIn%]]*DBImplements[[#This Row],[PriceL]]</f>
        <v>3113.6912050764859</v>
      </c>
      <c r="AX143" s="54">
        <f>(DBImplements[[#This Row],[PriceP]]-DBImplements[[#This Row],[TradeIn$]])/DBImplements[[#This Row],[Life (yr)]]/DBImplements[[#This Row],[Use (ac/yr)]]</f>
        <v>0.39519895473729649</v>
      </c>
      <c r="AY143" s="76">
        <f>((DBImplements[[#This Row],[PriceP]]+DBImplements[[#This Row],[TradeIn$]])/2*(Equipment!$CS$256+Equipment!$CS$257+Equipment!$CS$258)+DBImplements[[#This Row],[Shed (ft^2)]]*Equipment!$CS$260)/DBImplements[[#This Row],[Use (ac/yr)]]</f>
        <v>0.44651756524407221</v>
      </c>
      <c r="AZ143" s="55">
        <f>DBImplements[[#This Row],[PriceL]]*(VLOOKUP(DBImplements[[#This Row],[ASABEtype]],DB_ASABECoef[],2)*(DBImplements[[#This Row],[Life (yr)]]*DBImplements[[#This Row],[Use (hr/yr)]]/1000)^VLOOKUP(DBImplements[[#This Row],[ASABEtype]],DB_ASABECoef[],3))/DBImplements[[#This Row],[Life (yr)]]/DBImplements[[#This Row],[Use (ac/yr)]]</f>
        <v>0.12808625665292797</v>
      </c>
      <c r="BA143" s="14">
        <f>Equipment!$CS$265/(DBImplements[[#This Row],[Width]]*DBImplements[[#This Row],[Speed]]*DBImplements[[#This Row],[Efficiency]])</f>
        <v>6.4453125E-2</v>
      </c>
      <c r="BB143" s="14">
        <f>DBImplements[[#This Row],[EquipHrs (hr/ac)]]*DBImplements[[#This Row],[LaborUse]]</f>
        <v>6.5742187500000007E-2</v>
      </c>
      <c r="BC143" s="39">
        <f>SUM(DBImplements[[#This Row],[Depr ($/ac)]:[OH ($/ac)]])</f>
        <v>0.84171651998136876</v>
      </c>
      <c r="BD143" s="39"/>
      <c r="BE143" s="12" t="s">
        <v>237</v>
      </c>
      <c r="BF143"/>
      <c r="BG143" s="191"/>
      <c r="BH143"/>
      <c r="BI143"/>
      <c r="BJ143"/>
      <c r="BK143"/>
      <c r="BL143"/>
      <c r="BM143"/>
      <c r="BN143"/>
      <c r="BO143"/>
      <c r="BP143"/>
      <c r="BQ143"/>
      <c r="BR143"/>
      <c r="BS143"/>
      <c r="BT143"/>
      <c r="BU143"/>
      <c r="BV143"/>
      <c r="BW143"/>
      <c r="BX143"/>
      <c r="BY143"/>
      <c r="BZ143"/>
      <c r="CA143"/>
      <c r="CB143" s="191"/>
      <c r="CC143"/>
      <c r="CD143"/>
      <c r="CE143"/>
      <c r="CF143"/>
      <c r="CG143"/>
      <c r="CH143"/>
      <c r="CI143"/>
      <c r="CJ143"/>
      <c r="CK143"/>
      <c r="CL143"/>
      <c r="CM143"/>
      <c r="CN143"/>
      <c r="CO143"/>
      <c r="CP143" s="252"/>
    </row>
    <row r="144" spans="22:94" ht="16.5">
      <c r="V144" s="191"/>
      <c r="W144"/>
      <c r="X144"/>
      <c r="Y144"/>
      <c r="Z144"/>
      <c r="AA144"/>
      <c r="AB144"/>
      <c r="AC144" s="191"/>
      <c r="AD144"/>
      <c r="AE144" s="12" t="str">
        <f>DBImplements[[#This Row],[Implement type]]&amp;", "&amp;DBImplements[[#This Row],[Width]]&amp;" "&amp;DBImplements[[#This Row],[Width Unit]]</f>
        <v>Hay rake, 30 Ft Folding</v>
      </c>
      <c r="AF144" s="58" t="s">
        <v>139</v>
      </c>
      <c r="AG144" s="29">
        <v>30</v>
      </c>
      <c r="AH144" s="28" t="str">
        <f t="shared" si="11"/>
        <v>Ft Folding</v>
      </c>
      <c r="AI144" s="29">
        <v>12</v>
      </c>
      <c r="AJ144" s="29" t="s">
        <v>229</v>
      </c>
      <c r="AK144" s="30">
        <v>17500</v>
      </c>
      <c r="AL144" s="31">
        <v>0.1</v>
      </c>
      <c r="AM144" s="32">
        <f t="shared" ref="AM144:AM169" si="12">AK144/(1-AL144)</f>
        <v>19444.444444444445</v>
      </c>
      <c r="AN144" s="29">
        <v>12</v>
      </c>
      <c r="AO144" s="29">
        <v>80</v>
      </c>
      <c r="AP144" s="33">
        <f t="shared" ref="AP144:AP169" si="13">IF(AND(AR144&lt;&gt;0,AS144&lt;&gt;0),AO144*(AG144*AR144*AS144)/8.25,AO144*AG144)</f>
        <v>1861.8181818181818</v>
      </c>
      <c r="AQ144" s="29" t="s">
        <v>213</v>
      </c>
      <c r="AR144" s="29">
        <v>8</v>
      </c>
      <c r="AS144" s="31">
        <v>0.8</v>
      </c>
      <c r="AT144" s="31">
        <v>1.02</v>
      </c>
      <c r="AU144" s="29">
        <v>250</v>
      </c>
      <c r="AV144"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44" s="53">
        <f>DBImplements[[#This Row],[TradeIn%]]*DBImplements[[#This Row],[PriceL]]</f>
        <v>5718.0440340139176</v>
      </c>
      <c r="AX144" s="54">
        <f>(DBImplements[[#This Row],[PriceP]]-DBImplements[[#This Row],[TradeIn$]])/DBImplements[[#This Row],[Life (yr)]]/DBImplements[[#This Row],[Use (ac/yr)]]</f>
        <v>0.5273499170973589</v>
      </c>
      <c r="AY144" s="37">
        <f>((DBImplements[[#This Row],[PriceP]]+DBImplements[[#This Row],[TradeIn$]])/2*(Equipment!$CS$256+Equipment!$CS$257+Equipment!$CS$258)+DBImplements[[#This Row],[Shed (ft^2)]]*Equipment!$CS$260)/DBImplements[[#This Row],[Use (ac/yr)]]</f>
        <v>0.52608662244059168</v>
      </c>
      <c r="AZ144" s="55">
        <f>DBImplements[[#This Row],[PriceL]]*(VLOOKUP(DBImplements[[#This Row],[ASABEtype]],DB_ASABECoef[],2)*(DBImplements[[#This Row],[Life (yr)]]*DBImplements[[#This Row],[Use (hr/yr)]]/1000)^VLOOKUP(DBImplements[[#This Row],[ASABEtype]],DB_ASABECoef[],3))/DBImplements[[#This Row],[Life (yr)]]/DBImplements[[#This Row],[Use (ac/yr)]]</f>
        <v>0.1568134212108892</v>
      </c>
      <c r="BA144" s="14">
        <f>Equipment!$CS$265/(DBImplements[[#This Row],[Width]]*DBImplements[[#This Row],[Speed]]*DBImplements[[#This Row],[Efficiency]])</f>
        <v>4.296875E-2</v>
      </c>
      <c r="BB144" s="14">
        <f>DBImplements[[#This Row],[EquipHrs (hr/ac)]]*DBImplements[[#This Row],[LaborUse]]</f>
        <v>4.3828125000000002E-2</v>
      </c>
      <c r="BC144" s="39">
        <f>SUM(DBImplements[[#This Row],[Depr ($/ac)]:[OH ($/ac)]])</f>
        <v>1.0534365395379506</v>
      </c>
      <c r="BD144" s="40">
        <v>29</v>
      </c>
      <c r="BE144" s="12" t="s">
        <v>237</v>
      </c>
      <c r="BF144"/>
      <c r="BG144" s="191"/>
      <c r="BH144"/>
      <c r="BI144"/>
      <c r="BJ144"/>
      <c r="BK144"/>
      <c r="BL144"/>
      <c r="BM144"/>
      <c r="BN144"/>
      <c r="BO144"/>
      <c r="BP144"/>
      <c r="BQ144"/>
      <c r="BR144"/>
      <c r="BS144"/>
      <c r="BT144"/>
      <c r="BU144"/>
      <c r="BV144"/>
      <c r="BW144"/>
      <c r="BX144"/>
      <c r="BY144"/>
      <c r="BZ144"/>
      <c r="CA144"/>
      <c r="CB144" s="191"/>
      <c r="CC144"/>
      <c r="CD144"/>
      <c r="CE144"/>
      <c r="CF144"/>
      <c r="CG144"/>
      <c r="CH144"/>
      <c r="CI144"/>
      <c r="CJ144"/>
      <c r="CK144"/>
      <c r="CL144"/>
      <c r="CM144"/>
      <c r="CN144"/>
      <c r="CO144"/>
      <c r="CP144" s="252"/>
    </row>
    <row r="145" spans="22:94" ht="16.5">
      <c r="V145" s="191"/>
      <c r="W145"/>
      <c r="X145"/>
      <c r="Y145"/>
      <c r="Z145"/>
      <c r="AA145"/>
      <c r="AB145"/>
      <c r="AC145" s="191"/>
      <c r="AD145"/>
      <c r="AE145" s="12" t="str">
        <f>DBImplements[[#This Row],[Implement type]]&amp;", "&amp;DBImplements[[#This Row],[Width]]&amp;" "&amp;DBImplements[[#This Row],[Width Unit]]</f>
        <v>Hay tedder, 16 Ft Folding</v>
      </c>
      <c r="AF145" s="58" t="s">
        <v>227</v>
      </c>
      <c r="AG145" s="29">
        <v>16</v>
      </c>
      <c r="AH145" s="28" t="str">
        <f t="shared" si="11"/>
        <v>Ft Folding</v>
      </c>
      <c r="AI145" s="29">
        <v>4</v>
      </c>
      <c r="AJ145" s="58" t="s">
        <v>228</v>
      </c>
      <c r="AK145" s="30">
        <v>7000</v>
      </c>
      <c r="AL145" s="31">
        <v>0.1</v>
      </c>
      <c r="AM145" s="32">
        <f t="shared" si="12"/>
        <v>7777.7777777777774</v>
      </c>
      <c r="AN145" s="29">
        <v>12</v>
      </c>
      <c r="AO145" s="29">
        <v>25</v>
      </c>
      <c r="AP145" s="33">
        <f t="shared" si="13"/>
        <v>412.12121212121212</v>
      </c>
      <c r="AQ145" s="29" t="s">
        <v>140</v>
      </c>
      <c r="AR145" s="29">
        <v>10</v>
      </c>
      <c r="AS145" s="31">
        <v>0.85</v>
      </c>
      <c r="AT145" s="31">
        <v>1.02</v>
      </c>
      <c r="AU145" s="29">
        <v>70</v>
      </c>
      <c r="AV145"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45" s="53">
        <f>DBImplements[[#This Row],[TradeIn%]]*DBImplements[[#This Row],[PriceL]]</f>
        <v>2287.2176136055668</v>
      </c>
      <c r="AX145" s="54">
        <f>(DBImplements[[#This Row],[PriceP]]-DBImplements[[#This Row],[TradeIn$]])/DBImplements[[#This Row],[Life (yr)]]/DBImplements[[#This Row],[Use (ac/yr)]]</f>
        <v>0.95295232077828618</v>
      </c>
      <c r="AY145" s="76">
        <f>((DBImplements[[#This Row],[PriceP]]+DBImplements[[#This Row],[TradeIn$]])/2*(Equipment!$CS$256+Equipment!$CS$257+Equipment!$CS$258)+DBImplements[[#This Row],[Shed (ft^2)]]*Equipment!$CS$260)/DBImplements[[#This Row],[Use (ac/yr)]]</f>
        <v>0.88011603379165859</v>
      </c>
      <c r="AZ145" s="55">
        <f>DBImplements[[#This Row],[PriceL]]*(VLOOKUP(DBImplements[[#This Row],[ASABEtype]],DB_ASABECoef[],2)*(DBImplements[[#This Row],[Life (yr)]]*DBImplements[[#This Row],[Use (hr/yr)]]/1000)^VLOOKUP(DBImplements[[#This Row],[ASABEtype]],DB_ASABECoef[],3))/DBImplements[[#This Row],[Life (yr)]]/DBImplements[[#This Row],[Use (ac/yr)]]</f>
        <v>4.9552776555927824E-2</v>
      </c>
      <c r="BA145" s="14">
        <f>Equipment!$CS$265/(DBImplements[[#This Row],[Width]]*DBImplements[[#This Row],[Speed]]*DBImplements[[#This Row],[Efficiency]])</f>
        <v>6.0661764705882353E-2</v>
      </c>
      <c r="BB145" s="14">
        <f>DBImplements[[#This Row],[EquipHrs (hr/ac)]]*DBImplements[[#This Row],[LaborUse]]</f>
        <v>6.1874999999999999E-2</v>
      </c>
      <c r="BC145" s="39">
        <f>SUM(DBImplements[[#This Row],[Depr ($/ac)]:[OH ($/ac)]])</f>
        <v>1.8330683545699449</v>
      </c>
      <c r="BD145" s="39"/>
      <c r="BE145" s="12" t="s">
        <v>237</v>
      </c>
      <c r="BF145"/>
      <c r="BG145" s="191"/>
      <c r="BH145"/>
      <c r="BI145"/>
      <c r="BJ145"/>
      <c r="BK145"/>
      <c r="BL145"/>
      <c r="BM145"/>
      <c r="BN145"/>
      <c r="BO145"/>
      <c r="BP145"/>
      <c r="BQ145"/>
      <c r="BR145"/>
      <c r="BS145"/>
      <c r="BT145"/>
      <c r="BU145"/>
      <c r="BV145"/>
      <c r="BW145"/>
      <c r="BX145"/>
      <c r="BY145"/>
      <c r="BZ145"/>
      <c r="CA145"/>
      <c r="CB145" s="191"/>
      <c r="CC145"/>
      <c r="CD145"/>
      <c r="CE145"/>
      <c r="CF145"/>
      <c r="CG145"/>
      <c r="CH145"/>
      <c r="CI145"/>
      <c r="CJ145"/>
      <c r="CK145"/>
      <c r="CL145"/>
      <c r="CM145"/>
      <c r="CN145"/>
      <c r="CO145"/>
      <c r="CP145" s="252"/>
    </row>
    <row r="146" spans="22:94" ht="16.5">
      <c r="V146" s="191"/>
      <c r="W146"/>
      <c r="X146"/>
      <c r="Y146"/>
      <c r="Z146"/>
      <c r="AA146"/>
      <c r="AB146"/>
      <c r="AC146" s="191"/>
      <c r="AD146"/>
      <c r="AE146" s="12" t="str">
        <f>DBImplements[[#This Row],[Implement type]]&amp;", "&amp;DBImplements[[#This Row],[Width]]&amp;" "&amp;DBImplements[[#This Row],[Width Unit]]</f>
        <v>Inline bale wrapper, 60 Ft</v>
      </c>
      <c r="AF146" s="58" t="s">
        <v>223</v>
      </c>
      <c r="AG146" s="29">
        <v>60</v>
      </c>
      <c r="AH146" s="28" t="s">
        <v>76</v>
      </c>
      <c r="AI146" s="29"/>
      <c r="AJ146" s="58"/>
      <c r="AK146" s="30">
        <v>32500</v>
      </c>
      <c r="AL146" s="31">
        <v>0.1</v>
      </c>
      <c r="AM146" s="32">
        <f t="shared" si="12"/>
        <v>36111.111111111109</v>
      </c>
      <c r="AN146" s="29">
        <v>12</v>
      </c>
      <c r="AO146" s="29">
        <v>100</v>
      </c>
      <c r="AP146" s="33">
        <f t="shared" si="13"/>
        <v>5236.363636363636</v>
      </c>
      <c r="AQ146" s="29" t="s">
        <v>157</v>
      </c>
      <c r="AR146" s="29">
        <v>8</v>
      </c>
      <c r="AS146" s="31">
        <v>0.9</v>
      </c>
      <c r="AT146" s="31">
        <v>1.1000000000000001</v>
      </c>
      <c r="AU146" s="29">
        <v>200</v>
      </c>
      <c r="AV146"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46" s="53">
        <f>DBImplements[[#This Row],[TradeIn%]]*DBImplements[[#This Row],[PriceL]]</f>
        <v>10619.224634597274</v>
      </c>
      <c r="AX146" s="54">
        <f>(DBImplements[[#This Row],[PriceP]]-DBImplements[[#This Row],[TradeIn$]])/DBImplements[[#This Row],[Life (yr)]]/DBImplements[[#This Row],[Use (ac/yr)]]</f>
        <v>0.34821835795635131</v>
      </c>
      <c r="AY146" s="76">
        <f>((DBImplements[[#This Row],[PriceP]]+DBImplements[[#This Row],[TradeIn$]])/2*(Equipment!$CS$256+Equipment!$CS$257+Equipment!$CS$258)+DBImplements[[#This Row],[Shed (ft^2)]]*Equipment!$CS$260)/DBImplements[[#This Row],[Use (ac/yr)]]</f>
        <v>0.29846650907285183</v>
      </c>
      <c r="AZ146" s="55">
        <f>DBImplements[[#This Row],[PriceL]]*(VLOOKUP(DBImplements[[#This Row],[ASABEtype]],DB_ASABECoef[],2)*(DBImplements[[#This Row],[Life (yr)]]*DBImplements[[#This Row],[Use (hr/yr)]]/1000)^VLOOKUP(DBImplements[[#This Row],[ASABEtype]],DB_ASABECoef[],3))/DBImplements[[#This Row],[Life (yr)]]/DBImplements[[#This Row],[Use (ac/yr)]]</f>
        <v>1.1540139533229552E-2</v>
      </c>
      <c r="BA146" s="14">
        <f>Equipment!$CS$265/(DBImplements[[#This Row],[Width]]*DBImplements[[#This Row],[Speed]]*DBImplements[[#This Row],[Efficiency]])</f>
        <v>1.9097222222222224E-2</v>
      </c>
      <c r="BB146" s="14">
        <f>DBImplements[[#This Row],[EquipHrs (hr/ac)]]*DBImplements[[#This Row],[LaborUse]]</f>
        <v>2.1006944444444446E-2</v>
      </c>
      <c r="BC146" s="39">
        <f>SUM(DBImplements[[#This Row],[Depr ($/ac)]:[OH ($/ac)]])</f>
        <v>0.64668486702920314</v>
      </c>
      <c r="BD146" s="39"/>
      <c r="BE146" s="12" t="s">
        <v>237</v>
      </c>
      <c r="BF146"/>
      <c r="BG146" s="191"/>
      <c r="BH146"/>
      <c r="BI146"/>
      <c r="BJ146"/>
      <c r="BK146"/>
      <c r="BL146"/>
      <c r="BM146"/>
      <c r="BN146"/>
      <c r="BO146"/>
      <c r="BP146"/>
      <c r="BQ146"/>
      <c r="BR146"/>
      <c r="BS146"/>
      <c r="BT146"/>
      <c r="BU146"/>
      <c r="BV146"/>
      <c r="BW146"/>
      <c r="BX146"/>
      <c r="BY146"/>
      <c r="BZ146"/>
      <c r="CA146"/>
      <c r="CB146" s="191"/>
      <c r="CC146"/>
      <c r="CD146"/>
      <c r="CE146"/>
      <c r="CF146"/>
      <c r="CG146"/>
      <c r="CH146"/>
      <c r="CI146"/>
      <c r="CJ146"/>
      <c r="CK146"/>
      <c r="CL146"/>
      <c r="CM146"/>
      <c r="CN146"/>
      <c r="CO146"/>
      <c r="CP146" s="252"/>
    </row>
    <row r="147" spans="22:94" ht="16.5">
      <c r="V147" s="191"/>
      <c r="W147"/>
      <c r="X147"/>
      <c r="Y147"/>
      <c r="Z147"/>
      <c r="AA147"/>
      <c r="AB147"/>
      <c r="AC147" s="191"/>
      <c r="AD147"/>
      <c r="AE147" s="12" t="str">
        <f>DBImplements[[#This Row],[Implement type]]&amp;", "&amp;DBImplements[[#This Row],[Width]]&amp;" "&amp;DBImplements[[#This Row],[Width Unit]]</f>
        <v>Large rectangular baler, 30 Ft</v>
      </c>
      <c r="AF147" s="58" t="s">
        <v>118</v>
      </c>
      <c r="AG147" s="29">
        <v>30</v>
      </c>
      <c r="AH147" s="28" t="s">
        <v>76</v>
      </c>
      <c r="AI147" s="29" t="s">
        <v>149</v>
      </c>
      <c r="AJ147" s="29"/>
      <c r="AK147" s="30">
        <v>155500</v>
      </c>
      <c r="AL147" s="31">
        <v>0.1</v>
      </c>
      <c r="AM147" s="32">
        <f t="shared" si="12"/>
        <v>172777.77777777778</v>
      </c>
      <c r="AN147" s="29">
        <v>12</v>
      </c>
      <c r="AO147" s="29">
        <v>250</v>
      </c>
      <c r="AP147" s="33">
        <f t="shared" si="13"/>
        <v>4363.636363636364</v>
      </c>
      <c r="AQ147" s="29" t="s">
        <v>118</v>
      </c>
      <c r="AR147" s="29">
        <v>6</v>
      </c>
      <c r="AS147" s="31">
        <v>0.8</v>
      </c>
      <c r="AT147" s="31">
        <v>1.1100000000000001</v>
      </c>
      <c r="AU147" s="29">
        <v>250</v>
      </c>
      <c r="AV147"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47" s="53">
        <f>DBImplements[[#This Row],[TradeIn%]]*DBImplements[[#This Row],[PriceL]]</f>
        <v>50808.905559380808</v>
      </c>
      <c r="AX147" s="54">
        <f>(DBImplements[[#This Row],[PriceP]]-DBImplements[[#This Row],[TradeIn$]])/DBImplements[[#This Row],[Life (yr)]]/DBImplements[[#This Row],[Use (ac/yr)]]</f>
        <v>1.9993090952201582</v>
      </c>
      <c r="AY147" s="37">
        <f>((DBImplements[[#This Row],[PriceP]]+DBImplements[[#This Row],[TradeIn$]])/2*(Equipment!$CS$256+Equipment!$CS$257+Equipment!$CS$258)+DBImplements[[#This Row],[Shed (ft^2)]]*Equipment!$CS$260)/DBImplements[[#This Row],[Use (ac/yr)]]</f>
        <v>1.5566403628191188</v>
      </c>
      <c r="AZ147" s="55">
        <f>DBImplements[[#This Row],[PriceL]]*(VLOOKUP(DBImplements[[#This Row],[ASABEtype]],DB_ASABECoef[],2)*(DBImplements[[#This Row],[Life (yr)]]*DBImplements[[#This Row],[Use (hr/yr)]]/1000)^VLOOKUP(DBImplements[[#This Row],[ASABEtype]],DB_ASABECoef[],3))/DBImplements[[#This Row],[Life (yr)]]/DBImplements[[#This Row],[Use (ac/yr)]]</f>
        <v>2.3838358357480471</v>
      </c>
      <c r="BA147" s="14">
        <f>Equipment!$CS$265/(DBImplements[[#This Row],[Width]]*DBImplements[[#This Row],[Speed]]*DBImplements[[#This Row],[Efficiency]])</f>
        <v>5.7291666666666664E-2</v>
      </c>
      <c r="BB147" s="14">
        <f>DBImplements[[#This Row],[EquipHrs (hr/ac)]]*DBImplements[[#This Row],[LaborUse]]</f>
        <v>6.3593750000000004E-2</v>
      </c>
      <c r="BC147" s="39">
        <f>SUM(DBImplements[[#This Row],[Depr ($/ac)]:[OH ($/ac)]])</f>
        <v>3.5559494580392768</v>
      </c>
      <c r="BD147" s="40">
        <v>35</v>
      </c>
      <c r="BE147" s="12" t="s">
        <v>237</v>
      </c>
      <c r="BF147"/>
      <c r="BG147" s="191"/>
      <c r="BH147"/>
      <c r="BI147"/>
      <c r="BJ147"/>
      <c r="BK147"/>
      <c r="BL147"/>
      <c r="BM147"/>
      <c r="BN147"/>
      <c r="BO147"/>
      <c r="BP147"/>
      <c r="BQ147"/>
      <c r="BR147"/>
      <c r="BS147"/>
      <c r="BT147"/>
      <c r="BU147"/>
      <c r="BV147"/>
      <c r="BW147"/>
      <c r="BX147"/>
      <c r="BY147"/>
      <c r="BZ147"/>
      <c r="CA147"/>
      <c r="CB147" s="191"/>
      <c r="CC147"/>
      <c r="CD147"/>
      <c r="CE147"/>
      <c r="CF147"/>
      <c r="CG147"/>
      <c r="CH147"/>
      <c r="CI147"/>
      <c r="CJ147"/>
      <c r="CK147"/>
      <c r="CL147"/>
      <c r="CM147"/>
      <c r="CN147"/>
      <c r="CO147"/>
      <c r="CP147" s="252"/>
    </row>
    <row r="148" spans="22:94" ht="16.5">
      <c r="V148" s="191"/>
      <c r="W148"/>
      <c r="X148"/>
      <c r="Y148"/>
      <c r="Z148"/>
      <c r="AA148"/>
      <c r="AB148"/>
      <c r="AC148" s="191"/>
      <c r="AD148"/>
      <c r="AE148" s="12" t="str">
        <f>DBImplements[[#This Row],[Implement type]]&amp;", "&amp;DBImplements[[#This Row],[Width]]&amp;" "&amp;DBImplements[[#This Row],[Width Unit]]</f>
        <v>Large rectangular baler, 30 Ft</v>
      </c>
      <c r="AF148" s="58" t="s">
        <v>118</v>
      </c>
      <c r="AG148" s="29">
        <v>30</v>
      </c>
      <c r="AH148" s="28" t="s">
        <v>76</v>
      </c>
      <c r="AI148" s="29" t="s">
        <v>150</v>
      </c>
      <c r="AJ148" s="29"/>
      <c r="AK148" s="30">
        <v>188000</v>
      </c>
      <c r="AL148" s="31">
        <v>0.1</v>
      </c>
      <c r="AM148" s="32">
        <f t="shared" si="12"/>
        <v>208888.88888888888</v>
      </c>
      <c r="AN148" s="29">
        <v>12</v>
      </c>
      <c r="AO148" s="29">
        <v>250</v>
      </c>
      <c r="AP148" s="33">
        <f t="shared" si="13"/>
        <v>4363.636363636364</v>
      </c>
      <c r="AQ148" s="29" t="s">
        <v>118</v>
      </c>
      <c r="AR148" s="29">
        <v>6</v>
      </c>
      <c r="AS148" s="31">
        <v>0.8</v>
      </c>
      <c r="AT148" s="31">
        <v>1.1100000000000001</v>
      </c>
      <c r="AU148" s="29">
        <v>250</v>
      </c>
      <c r="AV148"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48" s="53">
        <f>DBImplements[[#This Row],[TradeIn%]]*DBImplements[[#This Row],[PriceL]]</f>
        <v>61428.130193978075</v>
      </c>
      <c r="AX148" s="54">
        <f>(DBImplements[[#This Row],[PriceP]]-DBImplements[[#This Row],[TradeIn$]])/DBImplements[[#This Row],[Life (yr)]]/DBImplements[[#This Row],[Use (ac/yr)]]</f>
        <v>2.4171711247677798</v>
      </c>
      <c r="AY148" s="37">
        <f>((DBImplements[[#This Row],[PriceP]]+DBImplements[[#This Row],[TradeIn$]])/2*(Equipment!$CS$256+Equipment!$CS$257+Equipment!$CS$258)+DBImplements[[#This Row],[Shed (ft^2)]]*Equipment!$CS$260)/DBImplements[[#This Row],[Use (ac/yr)]]</f>
        <v>1.8703776378948085</v>
      </c>
      <c r="AZ148" s="55">
        <f>DBImplements[[#This Row],[PriceL]]*(VLOOKUP(DBImplements[[#This Row],[ASABEtype]],DB_ASABECoef[],2)*(DBImplements[[#This Row],[Life (yr)]]*DBImplements[[#This Row],[Use (hr/yr)]]/1000)^VLOOKUP(DBImplements[[#This Row],[ASABEtype]],DB_ASABECoef[],3))/DBImplements[[#This Row],[Life (yr)]]/DBImplements[[#This Row],[Use (ac/yr)]]</f>
        <v>2.8820651904863843</v>
      </c>
      <c r="BA148" s="14">
        <f>Equipment!$CS$265/(DBImplements[[#This Row],[Width]]*DBImplements[[#This Row],[Speed]]*DBImplements[[#This Row],[Efficiency]])</f>
        <v>5.7291666666666664E-2</v>
      </c>
      <c r="BB148" s="14">
        <f>DBImplements[[#This Row],[EquipHrs (hr/ac)]]*DBImplements[[#This Row],[LaborUse]]</f>
        <v>6.3593750000000004E-2</v>
      </c>
      <c r="BC148" s="39">
        <f>SUM(DBImplements[[#This Row],[Depr ($/ac)]:[OH ($/ac)]])</f>
        <v>4.2875487626625883</v>
      </c>
      <c r="BD148" s="40">
        <v>36</v>
      </c>
      <c r="BE148" s="12" t="s">
        <v>237</v>
      </c>
      <c r="BF148"/>
      <c r="BG148" s="191"/>
      <c r="BH148"/>
      <c r="BI148"/>
      <c r="BJ148"/>
      <c r="BK148"/>
      <c r="BL148"/>
      <c r="BM148"/>
      <c r="BN148"/>
      <c r="BO148"/>
      <c r="BP148"/>
      <c r="BQ148"/>
      <c r="BR148"/>
      <c r="BS148"/>
      <c r="BT148"/>
      <c r="BU148"/>
      <c r="BV148"/>
      <c r="BW148"/>
      <c r="BX148"/>
      <c r="BY148"/>
      <c r="BZ148"/>
      <c r="CA148"/>
      <c r="CB148" s="191"/>
      <c r="CC148"/>
      <c r="CD148"/>
      <c r="CE148"/>
      <c r="CF148"/>
      <c r="CG148"/>
      <c r="CH148"/>
      <c r="CI148"/>
      <c r="CJ148"/>
      <c r="CK148"/>
      <c r="CL148"/>
      <c r="CM148"/>
      <c r="CN148"/>
      <c r="CO148"/>
      <c r="CP148" s="252"/>
    </row>
    <row r="149" spans="22:94" ht="16.5">
      <c r="V149" s="191"/>
      <c r="W149"/>
      <c r="X149"/>
      <c r="Y149"/>
      <c r="Z149"/>
      <c r="AA149"/>
      <c r="AB149"/>
      <c r="AC149" s="191"/>
      <c r="AD149"/>
      <c r="AE149" s="12" t="str">
        <f>DBImplements[[#This Row],[Implement type]]&amp;", "&amp;DBImplements[[#This Row],[Width]]&amp;" "&amp;DBImplements[[#This Row],[Width Unit]]</f>
        <v>Round baler w/net wrap, 30 Ft</v>
      </c>
      <c r="AF149" s="28" t="s">
        <v>225</v>
      </c>
      <c r="AG149" s="29">
        <v>30</v>
      </c>
      <c r="AH149" s="28" t="s">
        <v>76</v>
      </c>
      <c r="AI149" s="29" t="s">
        <v>148</v>
      </c>
      <c r="AJ149" s="29"/>
      <c r="AK149" s="30">
        <v>110000</v>
      </c>
      <c r="AL149" s="31">
        <v>0.1</v>
      </c>
      <c r="AM149" s="32">
        <f t="shared" si="12"/>
        <v>122222.22222222222</v>
      </c>
      <c r="AN149" s="29">
        <v>12</v>
      </c>
      <c r="AO149" s="29">
        <v>200</v>
      </c>
      <c r="AP149" s="33">
        <f t="shared" si="13"/>
        <v>2363.6363636363635</v>
      </c>
      <c r="AQ149" s="29" t="s">
        <v>119</v>
      </c>
      <c r="AR149" s="29">
        <v>5</v>
      </c>
      <c r="AS149" s="31">
        <v>0.65</v>
      </c>
      <c r="AT149" s="31">
        <v>1.1100000000000001</v>
      </c>
      <c r="AU149" s="29">
        <v>120</v>
      </c>
      <c r="AV149"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49" s="53">
        <f>DBImplements[[#This Row],[TradeIn%]]*DBImplements[[#This Row],[PriceL]]</f>
        <v>35941.991070944619</v>
      </c>
      <c r="AX149" s="54">
        <f>(DBImplements[[#This Row],[PriceP]]-DBImplements[[#This Row],[TradeIn$]])/DBImplements[[#This Row],[Life (yr)]]/DBImplements[[#This Row],[Use (ac/yr)]]</f>
        <v>2.6110195455756711</v>
      </c>
      <c r="AY149" s="37">
        <f>((DBImplements[[#This Row],[PriceP]]+DBImplements[[#This Row],[TradeIn$]])/2*(Equipment!$CS$256+Equipment!$CS$257+Equipment!$CS$258)+DBImplements[[#This Row],[Shed (ft^2)]]*Equipment!$CS$260)/DBImplements[[#This Row],[Use (ac/yr)]]</f>
        <v>2.0096003620348193</v>
      </c>
      <c r="AZ149" s="55">
        <f>DBImplements[[#This Row],[PriceL]]*(VLOOKUP(DBImplements[[#This Row],[ASABEtype]],DB_ASABECoef[],2)*(DBImplements[[#This Row],[Life (yr)]]*DBImplements[[#This Row],[Use (hr/yr)]]/1000)^VLOOKUP(DBImplements[[#This Row],[ASABEtype]],DB_ASABECoef[],3))/DBImplements[[#This Row],[Life (yr)]]/DBImplements[[#This Row],[Use (ac/yr)]]</f>
        <v>8.9585342316030179</v>
      </c>
      <c r="BA149" s="14">
        <f>Equipment!$CS$265/(DBImplements[[#This Row],[Width]]*DBImplements[[#This Row],[Speed]]*DBImplements[[#This Row],[Efficiency]])</f>
        <v>8.461538461538462E-2</v>
      </c>
      <c r="BB149" s="14">
        <f>DBImplements[[#This Row],[EquipHrs (hr/ac)]]*DBImplements[[#This Row],[LaborUse]]</f>
        <v>9.3923076923076942E-2</v>
      </c>
      <c r="BC149" s="39">
        <f>SUM(DBImplements[[#This Row],[Depr ($/ac)]:[OH ($/ac)]])</f>
        <v>4.6206199076104904</v>
      </c>
      <c r="BD149" s="40">
        <v>34</v>
      </c>
      <c r="BE149" s="12" t="s">
        <v>237</v>
      </c>
      <c r="BF149"/>
      <c r="BG149" s="191"/>
      <c r="BH149"/>
      <c r="BI149"/>
      <c r="BJ149"/>
      <c r="BK149"/>
      <c r="BL149"/>
      <c r="BM149"/>
      <c r="BN149"/>
      <c r="BO149"/>
      <c r="BP149"/>
      <c r="BQ149"/>
      <c r="BR149"/>
      <c r="BS149"/>
      <c r="BT149"/>
      <c r="BU149"/>
      <c r="BV149"/>
      <c r="BW149"/>
      <c r="BX149"/>
      <c r="BY149"/>
      <c r="BZ149"/>
      <c r="CA149"/>
      <c r="CB149" s="191"/>
      <c r="CC149"/>
      <c r="CD149"/>
      <c r="CE149"/>
      <c r="CF149"/>
      <c r="CG149"/>
      <c r="CH149"/>
      <c r="CI149"/>
      <c r="CJ149"/>
      <c r="CK149"/>
      <c r="CL149"/>
      <c r="CM149"/>
      <c r="CN149"/>
      <c r="CO149"/>
      <c r="CP149" s="252"/>
    </row>
    <row r="150" spans="22:94" ht="16.5">
      <c r="V150" s="191"/>
      <c r="W150"/>
      <c r="X150"/>
      <c r="Y150"/>
      <c r="Z150"/>
      <c r="AA150"/>
      <c r="AB150"/>
      <c r="AC150" s="191"/>
      <c r="AD150"/>
      <c r="AE150" s="12" t="str">
        <f>DBImplements[[#This Row],[Implement type]]&amp;", "&amp;DBImplements[[#This Row],[Width]]&amp;" "&amp;DBImplements[[#This Row],[Width Unit]]</f>
        <v>Round baler, 30 Ft</v>
      </c>
      <c r="AF150" s="28" t="s">
        <v>147</v>
      </c>
      <c r="AG150" s="29">
        <v>30</v>
      </c>
      <c r="AH150" s="28" t="s">
        <v>76</v>
      </c>
      <c r="AI150" s="29" t="s">
        <v>148</v>
      </c>
      <c r="AJ150" s="29"/>
      <c r="AK150" s="30">
        <v>100500</v>
      </c>
      <c r="AL150" s="31">
        <v>0.1</v>
      </c>
      <c r="AM150" s="32">
        <f t="shared" si="12"/>
        <v>111666.66666666666</v>
      </c>
      <c r="AN150" s="29">
        <v>12</v>
      </c>
      <c r="AO150" s="29">
        <v>200</v>
      </c>
      <c r="AP150" s="33">
        <f t="shared" si="13"/>
        <v>2363.6363636363635</v>
      </c>
      <c r="AQ150" s="29" t="s">
        <v>119</v>
      </c>
      <c r="AR150" s="29">
        <v>5</v>
      </c>
      <c r="AS150" s="31">
        <v>0.65</v>
      </c>
      <c r="AT150" s="31">
        <v>1.1100000000000001</v>
      </c>
      <c r="AU150" s="29">
        <v>120</v>
      </c>
      <c r="AV150"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50" s="53">
        <f>DBImplements[[#This Row],[TradeIn%]]*DBImplements[[#This Row],[PriceL]]</f>
        <v>32837.910023908495</v>
      </c>
      <c r="AX150" s="54">
        <f>(DBImplements[[#This Row],[PriceP]]-DBImplements[[#This Row],[TradeIn$]])/DBImplements[[#This Row],[Life (yr)]]/DBImplements[[#This Row],[Use (ac/yr)]]</f>
        <v>2.3855224030032263</v>
      </c>
      <c r="AY150" s="37">
        <f>((DBImplements[[#This Row],[PriceP]]+DBImplements[[#This Row],[TradeIn$]])/2*(Equipment!$CS$256+Equipment!$CS$257+Equipment!$CS$258)+DBImplements[[#This Row],[Shed (ft^2)]]*Equipment!$CS$260)/DBImplements[[#This Row],[Use (ac/yr)]]</f>
        <v>1.8402936195087671</v>
      </c>
      <c r="AZ150" s="55">
        <f>DBImplements[[#This Row],[PriceL]]*(VLOOKUP(DBImplements[[#This Row],[ASABEtype]],DB_ASABECoef[],2)*(DBImplements[[#This Row],[Life (yr)]]*DBImplements[[#This Row],[Use (hr/yr)]]/1000)^VLOOKUP(DBImplements[[#This Row],[ASABEtype]],DB_ASABECoef[],3))/DBImplements[[#This Row],[Life (yr)]]/DBImplements[[#This Row],[Use (ac/yr)]]</f>
        <v>8.1848426388736648</v>
      </c>
      <c r="BA150" s="14">
        <f>Equipment!$CS$265/(DBImplements[[#This Row],[Width]]*DBImplements[[#This Row],[Speed]]*DBImplements[[#This Row],[Efficiency]])</f>
        <v>8.461538461538462E-2</v>
      </c>
      <c r="BB150" s="14">
        <f>DBImplements[[#This Row],[EquipHrs (hr/ac)]]*DBImplements[[#This Row],[LaborUse]]</f>
        <v>9.3923076923076942E-2</v>
      </c>
      <c r="BC150" s="39">
        <f>SUM(DBImplements[[#This Row],[Depr ($/ac)]:[OH ($/ac)]])</f>
        <v>4.2258160225119932</v>
      </c>
      <c r="BD150" s="40">
        <v>33</v>
      </c>
      <c r="BE150" s="12" t="s">
        <v>237</v>
      </c>
      <c r="BF150"/>
      <c r="BG150" s="191"/>
      <c r="BH150"/>
      <c r="BI150"/>
      <c r="BJ150"/>
      <c r="BK150"/>
      <c r="BL150"/>
      <c r="BM150"/>
      <c r="BN150"/>
      <c r="BO150"/>
      <c r="BP150"/>
      <c r="BQ150"/>
      <c r="BR150"/>
      <c r="BS150"/>
      <c r="BT150"/>
      <c r="BU150"/>
      <c r="BV150"/>
      <c r="BW150"/>
      <c r="BX150"/>
      <c r="BY150"/>
      <c r="BZ150"/>
      <c r="CA150"/>
      <c r="CB150" s="191"/>
      <c r="CC150"/>
      <c r="CD150"/>
      <c r="CE150"/>
      <c r="CF150"/>
      <c r="CG150"/>
      <c r="CH150"/>
      <c r="CI150"/>
      <c r="CJ150"/>
      <c r="CK150"/>
      <c r="CL150"/>
      <c r="CM150"/>
      <c r="CN150"/>
      <c r="CO150"/>
      <c r="CP150" s="252"/>
    </row>
    <row r="151" spans="22:94" ht="16.5">
      <c r="V151" s="191"/>
      <c r="W151"/>
      <c r="X151"/>
      <c r="Y151"/>
      <c r="Z151"/>
      <c r="AA151"/>
      <c r="AB151"/>
      <c r="AC151" s="191"/>
      <c r="AD151"/>
      <c r="AE151" s="12" t="str">
        <f>DBImplements[[#This Row],[Implement type]]&amp;", "&amp;DBImplements[[#This Row],[Width]]&amp;" "&amp;DBImplements[[#This Row],[Width Unit]]</f>
        <v>Small square baler, twine tie, 20 Ft</v>
      </c>
      <c r="AF151" s="58" t="s">
        <v>221</v>
      </c>
      <c r="AG151" s="29">
        <v>20</v>
      </c>
      <c r="AH151" s="28" t="s">
        <v>76</v>
      </c>
      <c r="AI151" s="29" t="s">
        <v>6</v>
      </c>
      <c r="AJ151" s="29" t="s">
        <v>6</v>
      </c>
      <c r="AK151" s="30">
        <v>36000</v>
      </c>
      <c r="AL151" s="31">
        <v>0.1</v>
      </c>
      <c r="AM151" s="32">
        <f t="shared" si="12"/>
        <v>40000</v>
      </c>
      <c r="AN151" s="29">
        <v>12</v>
      </c>
      <c r="AO151" s="29">
        <v>200</v>
      </c>
      <c r="AP151" s="33">
        <f t="shared" si="13"/>
        <v>1454.5454545454545</v>
      </c>
      <c r="AQ151" s="29" t="s">
        <v>141</v>
      </c>
      <c r="AR151" s="29">
        <v>4</v>
      </c>
      <c r="AS151" s="31">
        <v>0.75</v>
      </c>
      <c r="AT151" s="31">
        <v>1.1100000000000001</v>
      </c>
      <c r="AU151" s="29">
        <v>184</v>
      </c>
      <c r="AV151"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51" s="53">
        <f>DBImplements[[#This Row],[TradeIn%]]*DBImplements[[#This Row],[PriceL]]</f>
        <v>11762.833441400058</v>
      </c>
      <c r="AX151" s="54">
        <f>(DBImplements[[#This Row],[PriceP]]-DBImplements[[#This Row],[TradeIn$]])/DBImplements[[#This Row],[Life (yr)]]/DBImplements[[#This Row],[Use (ac/yr)]]</f>
        <v>1.3885876674197886</v>
      </c>
      <c r="AY151" s="37">
        <f>((DBImplements[[#This Row],[PriceP]]+DBImplements[[#This Row],[TradeIn$]])/2*(Equipment!$CS$256+Equipment!$CS$257+Equipment!$CS$258)+DBImplements[[#This Row],[Shed (ft^2)]]*Equipment!$CS$260)/DBImplements[[#This Row],[Use (ac/yr)]]</f>
        <v>1.1651792975534427</v>
      </c>
      <c r="AZ151" s="55">
        <f>DBImplements[[#This Row],[PriceL]]*(VLOOKUP(DBImplements[[#This Row],[ASABEtype]],DB_ASABECoef[],2)*(DBImplements[[#This Row],[Life (yr)]]*DBImplements[[#This Row],[Use (hr/yr)]]/1000)^VLOOKUP(DBImplements[[#This Row],[ASABEtype]],DB_ASABECoef[],3))/DBImplements[[#This Row],[Life (yr)]]/DBImplements[[#This Row],[Use (ac/yr)]]</f>
        <v>2.5483526022456364</v>
      </c>
      <c r="BA151" s="14">
        <f>Equipment!$CS$265/(DBImplements[[#This Row],[Width]]*DBImplements[[#This Row],[Speed]]*DBImplements[[#This Row],[Efficiency]])</f>
        <v>0.13750000000000001</v>
      </c>
      <c r="BB151" s="14">
        <f>DBImplements[[#This Row],[EquipHrs (hr/ac)]]*DBImplements[[#This Row],[LaborUse]]</f>
        <v>0.15262500000000004</v>
      </c>
      <c r="BC151" s="39">
        <f>SUM(DBImplements[[#This Row],[Depr ($/ac)]:[OH ($/ac)]])</f>
        <v>2.5537669649732315</v>
      </c>
      <c r="BD151" s="40">
        <v>32</v>
      </c>
      <c r="BE151" s="12" t="s">
        <v>237</v>
      </c>
      <c r="BF151"/>
      <c r="BG151" s="191"/>
      <c r="BH151"/>
      <c r="BI151"/>
      <c r="BJ151"/>
      <c r="BK151"/>
      <c r="BL151"/>
      <c r="BM151"/>
      <c r="BN151"/>
      <c r="BO151"/>
      <c r="BP151"/>
      <c r="BQ151"/>
      <c r="BR151"/>
      <c r="BS151"/>
      <c r="BT151"/>
      <c r="BU151"/>
      <c r="BV151"/>
      <c r="BW151"/>
      <c r="BX151"/>
      <c r="BY151"/>
      <c r="BZ151"/>
      <c r="CA151"/>
      <c r="CB151" s="191"/>
      <c r="CC151"/>
      <c r="CD151"/>
      <c r="CE151"/>
      <c r="CF151"/>
      <c r="CG151"/>
      <c r="CH151"/>
      <c r="CI151"/>
      <c r="CJ151"/>
      <c r="CK151"/>
      <c r="CL151"/>
      <c r="CM151"/>
      <c r="CN151"/>
      <c r="CO151"/>
      <c r="CP151" s="252"/>
    </row>
    <row r="152" spans="22:94" ht="16.5">
      <c r="V152" s="191"/>
      <c r="W152"/>
      <c r="X152"/>
      <c r="Y152"/>
      <c r="Z152"/>
      <c r="AA152"/>
      <c r="AB152"/>
      <c r="AC152" s="191"/>
      <c r="AD152"/>
      <c r="AE152" s="12" t="str">
        <f>DBImplements[[#This Row],[Implement type]]&amp;", "&amp;DBImplements[[#This Row],[Width]]&amp;" "&amp;DBImplements[[#This Row],[Width Unit]]</f>
        <v>Rotary Mower (brush hog), 15 Ft Folding</v>
      </c>
      <c r="AF152" s="58" t="s">
        <v>224</v>
      </c>
      <c r="AG152" s="29">
        <v>15</v>
      </c>
      <c r="AH152" s="28" t="s">
        <v>212</v>
      </c>
      <c r="AI152" s="29"/>
      <c r="AJ152" s="58"/>
      <c r="AK152" s="30">
        <v>28000</v>
      </c>
      <c r="AL152" s="31">
        <v>0.1</v>
      </c>
      <c r="AM152" s="32">
        <f t="shared" si="12"/>
        <v>31111.111111111109</v>
      </c>
      <c r="AN152" s="29">
        <v>12</v>
      </c>
      <c r="AO152" s="29">
        <v>100</v>
      </c>
      <c r="AP152" s="33">
        <f t="shared" si="13"/>
        <v>772.72727272727275</v>
      </c>
      <c r="AQ152" s="29" t="s">
        <v>130</v>
      </c>
      <c r="AR152" s="29">
        <v>5</v>
      </c>
      <c r="AS152" s="31">
        <v>0.85</v>
      </c>
      <c r="AT152" s="31">
        <v>1.04</v>
      </c>
      <c r="AU152" s="29">
        <v>130</v>
      </c>
      <c r="AV152"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0.29790868815561528</v>
      </c>
      <c r="AW152" s="53">
        <f>DBImplements[[#This Row],[TradeIn%]]*DBImplements[[#This Row],[PriceL]]</f>
        <v>9268.270298174697</v>
      </c>
      <c r="AX152" s="54">
        <f>(DBImplements[[#This Row],[PriceP]]-DBImplements[[#This Row],[TradeIn$]])/DBImplements[[#This Row],[Life (yr)]]/DBImplements[[#This Row],[Use (ac/yr)]]</f>
        <v>2.0200884972556694</v>
      </c>
      <c r="AY152" s="76">
        <f>((DBImplements[[#This Row],[PriceP]]+DBImplements[[#This Row],[TradeIn$]])/2*(Equipment!$CS$256+Equipment!$CS$257+Equipment!$CS$258)+DBImplements[[#This Row],[Shed (ft^2)]]*Equipment!$CS$260)/DBImplements[[#This Row],[Use (ac/yr)]]</f>
        <v>1.6943442963486552</v>
      </c>
      <c r="AZ152" s="55">
        <f>DBImplements[[#This Row],[PriceL]]*(VLOOKUP(DBImplements[[#This Row],[ASABEtype]],DB_ASABECoef[],2)*(DBImplements[[#This Row],[Life (yr)]]*DBImplements[[#This Row],[Use (hr/yr)]]/1000)^VLOOKUP(DBImplements[[#This Row],[ASABEtype]],DB_ASABECoef[],3))/DBImplements[[#This Row],[Life (yr)]]/DBImplements[[#This Row],[Use (ac/yr)]]</f>
        <v>2.1258039215686271</v>
      </c>
      <c r="BA152" s="14">
        <f>Equipment!$CS$265/(DBImplements[[#This Row],[Width]]*DBImplements[[#This Row],[Speed]]*DBImplements[[#This Row],[Efficiency]])</f>
        <v>0.12941176470588237</v>
      </c>
      <c r="BB152" s="14">
        <f>DBImplements[[#This Row],[EquipHrs (hr/ac)]]*DBImplements[[#This Row],[LaborUse]]</f>
        <v>0.13458823529411768</v>
      </c>
      <c r="BC152" s="39">
        <f>SUM(DBImplements[[#This Row],[Depr ($/ac)]:[OH ($/ac)]])</f>
        <v>3.7144327936043249</v>
      </c>
      <c r="BD152" s="39"/>
      <c r="BE152" s="12" t="s">
        <v>238</v>
      </c>
      <c r="BF152"/>
      <c r="BG152" s="191"/>
      <c r="BH152"/>
      <c r="BI152"/>
      <c r="BJ152"/>
      <c r="BK152"/>
      <c r="BL152"/>
      <c r="BM152"/>
      <c r="BN152"/>
      <c r="BO152"/>
      <c r="BP152"/>
      <c r="BQ152"/>
      <c r="BR152"/>
      <c r="BS152"/>
      <c r="BT152"/>
      <c r="BU152"/>
      <c r="BV152"/>
      <c r="BW152"/>
      <c r="BX152"/>
      <c r="BY152"/>
      <c r="BZ152"/>
      <c r="CA152"/>
      <c r="CB152" s="191"/>
      <c r="CC152"/>
      <c r="CD152"/>
      <c r="CE152"/>
      <c r="CF152"/>
      <c r="CG152"/>
      <c r="CH152"/>
      <c r="CI152"/>
      <c r="CJ152"/>
      <c r="CK152"/>
      <c r="CL152"/>
      <c r="CM152"/>
      <c r="CN152"/>
      <c r="CO152"/>
      <c r="CP152" s="252"/>
    </row>
    <row r="153" spans="22:94" ht="16.5">
      <c r="V153" s="191"/>
      <c r="W153"/>
      <c r="X153"/>
      <c r="Y153"/>
      <c r="Z153"/>
      <c r="AA153"/>
      <c r="AB153"/>
      <c r="AC153" s="191"/>
      <c r="AD153"/>
      <c r="AE153" s="12" t="str">
        <f>DBImplements[[#This Row],[Implement type]]&amp;", "&amp;DBImplements[[#This Row],[Width]]&amp;" "&amp;DBImplements[[#This Row],[Width Unit]]</f>
        <v>Stalk shredder, 20 Ft Folding</v>
      </c>
      <c r="AF153" s="58" t="s">
        <v>136</v>
      </c>
      <c r="AG153" s="29">
        <v>20</v>
      </c>
      <c r="AH153" s="28" t="str">
        <f>IF(AG153&gt;15,"Ft Folding","Ft")</f>
        <v>Ft Folding</v>
      </c>
      <c r="AI153" s="29"/>
      <c r="AJ153" s="29"/>
      <c r="AK153" s="30">
        <v>39000</v>
      </c>
      <c r="AL153" s="31">
        <v>0.1</v>
      </c>
      <c r="AM153" s="32">
        <f t="shared" si="12"/>
        <v>43333.333333333336</v>
      </c>
      <c r="AN153" s="29">
        <v>12</v>
      </c>
      <c r="AO153" s="29">
        <v>100</v>
      </c>
      <c r="AP153" s="33">
        <f t="shared" si="13"/>
        <v>775.75757575757575</v>
      </c>
      <c r="AQ153" s="29" t="s">
        <v>81</v>
      </c>
      <c r="AR153" s="29">
        <v>4</v>
      </c>
      <c r="AS153" s="31">
        <v>0.8</v>
      </c>
      <c r="AT153" s="31">
        <v>1.1000000000000001</v>
      </c>
      <c r="AU153" s="29">
        <v>231</v>
      </c>
      <c r="AV153"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0.34143443659524941</v>
      </c>
      <c r="AW153" s="53">
        <f>DBImplements[[#This Row],[TradeIn%]]*DBImplements[[#This Row],[PriceL]]</f>
        <v>14795.492252460808</v>
      </c>
      <c r="AX153" s="54">
        <f>(DBImplements[[#This Row],[PriceP]]-DBImplements[[#This Row],[TradeIn$]])/DBImplements[[#This Row],[Life (yr)]]/DBImplements[[#This Row],[Use (ac/yr)]]</f>
        <v>2.6000936056926864</v>
      </c>
      <c r="AY153" s="37">
        <f>((DBImplements[[#This Row],[PriceP]]+DBImplements[[#This Row],[TradeIn$]])/2*(Equipment!$CS$256+Equipment!$CS$257+Equipment!$CS$258)+DBImplements[[#This Row],[Shed (ft^2)]]*Equipment!$CS$260)/DBImplements[[#This Row],[Use (ac/yr)]]</f>
        <v>2.4903352798329368</v>
      </c>
      <c r="AZ153" s="55">
        <f>DBImplements[[#This Row],[PriceL]]*(VLOOKUP(DBImplements[[#This Row],[ASABEtype]],DB_ASABECoef[],2)*(DBImplements[[#This Row],[Life (yr)]]*DBImplements[[#This Row],[Use (hr/yr)]]/1000)^VLOOKUP(DBImplements[[#This Row],[ASABEtype]],DB_ASABECoef[],3))/DBImplements[[#This Row],[Life (yr)]]/DBImplements[[#This Row],[Use (ac/yr)]]</f>
        <v>1.6823897042023481</v>
      </c>
      <c r="BA153" s="14">
        <f>Equipment!$CS$265/(DBImplements[[#This Row],[Width]]*DBImplements[[#This Row],[Speed]]*DBImplements[[#This Row],[Efficiency]])</f>
        <v>0.12890625</v>
      </c>
      <c r="BB153" s="14">
        <f>DBImplements[[#This Row],[EquipHrs (hr/ac)]]*DBImplements[[#This Row],[LaborUse]]</f>
        <v>0.14179687500000002</v>
      </c>
      <c r="BC153" s="39">
        <f>SUM(DBImplements[[#This Row],[Depr ($/ac)]:[OH ($/ac)]])</f>
        <v>5.0904288855256237</v>
      </c>
      <c r="BD153" s="40">
        <v>27</v>
      </c>
      <c r="BE153" s="12" t="s">
        <v>238</v>
      </c>
      <c r="BF153"/>
      <c r="BG153" s="191"/>
      <c r="BH153"/>
      <c r="BI153"/>
      <c r="BJ153"/>
      <c r="BK153"/>
      <c r="BL153"/>
      <c r="BM153"/>
      <c r="BN153"/>
      <c r="BO153"/>
      <c r="BP153"/>
      <c r="BQ153"/>
      <c r="BR153"/>
      <c r="BS153"/>
      <c r="BT153"/>
      <c r="BU153"/>
      <c r="BV153"/>
      <c r="BW153"/>
      <c r="BX153"/>
      <c r="BY153"/>
      <c r="BZ153"/>
      <c r="CA153"/>
      <c r="CB153" s="191"/>
      <c r="CC153"/>
      <c r="CD153"/>
      <c r="CE153"/>
      <c r="CF153"/>
      <c r="CG153"/>
      <c r="CH153"/>
      <c r="CI153"/>
      <c r="CJ153"/>
      <c r="CK153"/>
      <c r="CL153"/>
      <c r="CM153"/>
      <c r="CN153"/>
      <c r="CO153"/>
      <c r="CP153" s="252"/>
    </row>
    <row r="154" spans="22:94" ht="16.5">
      <c r="V154" s="191"/>
      <c r="W154"/>
      <c r="X154"/>
      <c r="Y154"/>
      <c r="Z154"/>
      <c r="AA154"/>
      <c r="AB154"/>
      <c r="AC154" s="191"/>
      <c r="AD154"/>
      <c r="AE154" s="12" t="str">
        <f>DBImplements[[#This Row],[Implement type]]&amp;", "&amp;DBImplements[[#This Row],[Width]]&amp;" "&amp;DBImplements[[#This Row],[Width Unit]]</f>
        <v>Air seeder drill w/cart, 52 Ft Folding</v>
      </c>
      <c r="AF154" s="58" t="s">
        <v>124</v>
      </c>
      <c r="AG154" s="29">
        <v>52</v>
      </c>
      <c r="AH154" s="28" t="str">
        <f>IF(AG154&gt;15,"Ft Folding","Ft")</f>
        <v>Ft Folding</v>
      </c>
      <c r="AI154" s="29"/>
      <c r="AJ154" s="29"/>
      <c r="AK154" s="30">
        <v>339000</v>
      </c>
      <c r="AL154" s="31">
        <v>0.1</v>
      </c>
      <c r="AM154" s="32">
        <f t="shared" si="12"/>
        <v>376666.66666666669</v>
      </c>
      <c r="AN154" s="29">
        <v>12</v>
      </c>
      <c r="AO154" s="29">
        <v>80</v>
      </c>
      <c r="AP154" s="33">
        <f t="shared" si="13"/>
        <v>1890.909090909091</v>
      </c>
      <c r="AQ154" s="29" t="s">
        <v>116</v>
      </c>
      <c r="AR154" s="29">
        <v>5</v>
      </c>
      <c r="AS154" s="31">
        <v>0.75</v>
      </c>
      <c r="AT154" s="31">
        <v>1.1100000000000001</v>
      </c>
      <c r="AU154" s="29">
        <v>270</v>
      </c>
      <c r="AV154"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0.23573589577499662</v>
      </c>
      <c r="AW154" s="53">
        <f>DBImplements[[#This Row],[TradeIn%]]*DBImplements[[#This Row],[PriceL]]</f>
        <v>88793.854075248732</v>
      </c>
      <c r="AX154" s="54">
        <f>(DBImplements[[#This Row],[PriceP]]-DBImplements[[#This Row],[TradeIn$]])/DBImplements[[#This Row],[Life (yr)]]/DBImplements[[#This Row],[Use (ac/yr)]]</f>
        <v>11.026713161747852</v>
      </c>
      <c r="AY154" s="37">
        <f>((DBImplements[[#This Row],[PriceP]]+DBImplements[[#This Row],[TradeIn$]])/2*(Equipment!$CS$256+Equipment!$CS$257+Equipment!$CS$258)+DBImplements[[#This Row],[Shed (ft^2)]]*Equipment!$CS$260)/DBImplements[[#This Row],[Use (ac/yr)]]</f>
        <v>7.3214223007875416</v>
      </c>
      <c r="AZ154" s="55">
        <f>DBImplements[[#This Row],[PriceL]]*(VLOOKUP(DBImplements[[#This Row],[ASABEtype]],DB_ASABECoef[],2)*(DBImplements[[#This Row],[Life (yr)]]*DBImplements[[#This Row],[Use (hr/yr)]]/1000)^VLOOKUP(DBImplements[[#This Row],[ASABEtype]],DB_ASABECoef[],3))/DBImplements[[#This Row],[Life (yr)]]/DBImplements[[#This Row],[Use (ac/yr)]]</f>
        <v>4.875563988273341</v>
      </c>
      <c r="BA154" s="14">
        <f>Equipment!$CS$265/(DBImplements[[#This Row],[Width]]*DBImplements[[#This Row],[Speed]]*DBImplements[[#This Row],[Efficiency]])</f>
        <v>4.230769230769231E-2</v>
      </c>
      <c r="BB154" s="14">
        <f>DBImplements[[#This Row],[EquipHrs (hr/ac)]]*DBImplements[[#This Row],[LaborUse]]</f>
        <v>4.6961538461538471E-2</v>
      </c>
      <c r="BC154" s="39">
        <f>SUM(DBImplements[[#This Row],[Depr ($/ac)]:[OH ($/ac)]])</f>
        <v>18.348135462535392</v>
      </c>
      <c r="BD154" s="40">
        <v>22</v>
      </c>
      <c r="BE154" s="12" t="s">
        <v>236</v>
      </c>
      <c r="BF154"/>
      <c r="BG154" s="191"/>
      <c r="BH154"/>
      <c r="BI154"/>
      <c r="BJ154"/>
      <c r="BK154"/>
      <c r="BL154"/>
      <c r="BM154"/>
      <c r="BN154"/>
      <c r="BO154"/>
      <c r="BP154"/>
      <c r="BQ154"/>
      <c r="BR154"/>
      <c r="BS154"/>
      <c r="BT154"/>
      <c r="BU154"/>
      <c r="BV154"/>
      <c r="BW154"/>
      <c r="BX154"/>
      <c r="BY154"/>
      <c r="BZ154"/>
      <c r="CA154"/>
      <c r="CB154" s="191"/>
      <c r="CC154"/>
      <c r="CD154"/>
      <c r="CE154"/>
      <c r="CF154"/>
      <c r="CG154"/>
      <c r="CH154"/>
      <c r="CI154"/>
      <c r="CJ154"/>
      <c r="CK154"/>
      <c r="CL154"/>
      <c r="CM154"/>
      <c r="CN154"/>
      <c r="CO154"/>
      <c r="CP154" s="252"/>
    </row>
    <row r="155" spans="22:94" ht="16.5">
      <c r="V155" s="191"/>
      <c r="W155"/>
      <c r="X155"/>
      <c r="Y155"/>
      <c r="Z155"/>
      <c r="AA155"/>
      <c r="AB155"/>
      <c r="AC155" s="191"/>
      <c r="AD155"/>
      <c r="AE155" s="12" t="str">
        <f>DBImplements[[#This Row],[Implement type]]&amp;", "&amp;DBImplements[[#This Row],[Width]]&amp;" "&amp;DBImplements[[#This Row],[Width Unit]]</f>
        <v>No-till drill, 15 Ft</v>
      </c>
      <c r="AF155" s="58" t="s">
        <v>126</v>
      </c>
      <c r="AG155" s="29">
        <v>15</v>
      </c>
      <c r="AH155" s="28" t="str">
        <f>IF(AG155&gt;15,"Ft Folding","Ft")</f>
        <v>Ft</v>
      </c>
      <c r="AI155" s="29"/>
      <c r="AJ155" s="29"/>
      <c r="AK155" s="30">
        <v>69425</v>
      </c>
      <c r="AL155" s="31">
        <v>0.1</v>
      </c>
      <c r="AM155" s="32">
        <f t="shared" si="12"/>
        <v>77138.888888888891</v>
      </c>
      <c r="AN155" s="29">
        <v>12</v>
      </c>
      <c r="AO155" s="29">
        <v>120</v>
      </c>
      <c r="AP155" s="33">
        <f t="shared" si="13"/>
        <v>981.81818181818187</v>
      </c>
      <c r="AQ155" s="29" t="s">
        <v>116</v>
      </c>
      <c r="AR155" s="29">
        <v>6</v>
      </c>
      <c r="AS155" s="31">
        <v>0.75</v>
      </c>
      <c r="AT155" s="31">
        <v>1.1100000000000001</v>
      </c>
      <c r="AU155" s="29">
        <v>160</v>
      </c>
      <c r="AV155"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0.23573589577499662</v>
      </c>
      <c r="AW155" s="53">
        <f>DBImplements[[#This Row],[TradeIn%]]*DBImplements[[#This Row],[PriceL]]</f>
        <v>18184.405071310157</v>
      </c>
      <c r="AX155" s="54">
        <f>(DBImplements[[#This Row],[PriceP]]-DBImplements[[#This Row],[TradeIn$]])/DBImplements[[#This Row],[Life (yr)]]/DBImplements[[#This Row],[Use (ac/yr)]]</f>
        <v>4.3491245695647232</v>
      </c>
      <c r="AY155" s="37">
        <f>((DBImplements[[#This Row],[PriceP]]+DBImplements[[#This Row],[TradeIn$]])/2*(Equipment!$CS$256+Equipment!$CS$257+Equipment!$CS$258)+DBImplements[[#This Row],[Shed (ft^2)]]*Equipment!$CS$260)/DBImplements[[#This Row],[Use (ac/yr)]]</f>
        <v>2.9910564904005188</v>
      </c>
      <c r="AZ155" s="55">
        <f>DBImplements[[#This Row],[PriceL]]*(VLOOKUP(DBImplements[[#This Row],[ASABEtype]],DB_ASABECoef[],2)*(DBImplements[[#This Row],[Life (yr)]]*DBImplements[[#This Row],[Use (hr/yr)]]/1000)^VLOOKUP(DBImplements[[#This Row],[ASABEtype]],DB_ASABECoef[],3))/DBImplements[[#This Row],[Life (yr)]]/DBImplements[[#This Row],[Use (ac/yr)]]</f>
        <v>4.5058037727810261</v>
      </c>
      <c r="BA155" s="14">
        <f>Equipment!$CS$265/(DBImplements[[#This Row],[Width]]*DBImplements[[#This Row],[Speed]]*DBImplements[[#This Row],[Efficiency]])</f>
        <v>0.12222222222222222</v>
      </c>
      <c r="BB155" s="14">
        <f>DBImplements[[#This Row],[EquipHrs (hr/ac)]]*DBImplements[[#This Row],[LaborUse]]</f>
        <v>0.13566666666666669</v>
      </c>
      <c r="BC155" s="39">
        <f>SUM(DBImplements[[#This Row],[Depr ($/ac)]:[OH ($/ac)]])</f>
        <v>7.3401810599652419</v>
      </c>
      <c r="BD155" s="40">
        <v>23</v>
      </c>
      <c r="BE155" s="12" t="s">
        <v>236</v>
      </c>
      <c r="BF155"/>
      <c r="BG155" s="191"/>
      <c r="BH155"/>
      <c r="BI155"/>
      <c r="BJ155"/>
      <c r="BK155"/>
      <c r="BL155"/>
      <c r="BM155"/>
      <c r="BN155"/>
      <c r="BO155"/>
      <c r="BP155"/>
      <c r="BQ155"/>
      <c r="BR155"/>
      <c r="BS155"/>
      <c r="BT155"/>
      <c r="BU155"/>
      <c r="BV155"/>
      <c r="BW155"/>
      <c r="BX155"/>
      <c r="BY155"/>
      <c r="BZ155"/>
      <c r="CA155"/>
      <c r="CB155" s="191"/>
      <c r="CC155"/>
      <c r="CD155"/>
      <c r="CE155"/>
      <c r="CF155"/>
      <c r="CG155"/>
      <c r="CH155"/>
      <c r="CI155"/>
      <c r="CJ155"/>
      <c r="CK155"/>
      <c r="CL155"/>
      <c r="CM155"/>
      <c r="CN155"/>
      <c r="CO155"/>
      <c r="CP155" s="252"/>
    </row>
    <row r="156" spans="22:94" ht="16.5">
      <c r="V156" s="191"/>
      <c r="W156"/>
      <c r="X156"/>
      <c r="Y156"/>
      <c r="Z156"/>
      <c r="AA156"/>
      <c r="AB156"/>
      <c r="AC156" s="191"/>
      <c r="AD156"/>
      <c r="AE156" s="12" t="str">
        <f>DBImplements[[#This Row],[Implement type]]&amp;", "&amp;DBImplements[[#This Row],[Width]]&amp;" "&amp;DBImplements[[#This Row],[Width Unit]]</f>
        <v>Presswheel drill, 16 Ft</v>
      </c>
      <c r="AF156" s="58" t="s">
        <v>257</v>
      </c>
      <c r="AG156" s="29">
        <v>16</v>
      </c>
      <c r="AH156" s="28" t="str">
        <f>IF(AG156&gt;20,"Ft Folding","Ft")</f>
        <v>Ft</v>
      </c>
      <c r="AI156" s="29"/>
      <c r="AJ156" s="29"/>
      <c r="AK156" s="30">
        <v>29500</v>
      </c>
      <c r="AL156" s="31">
        <v>0.1</v>
      </c>
      <c r="AM156" s="32">
        <f t="shared" si="12"/>
        <v>32777.777777777774</v>
      </c>
      <c r="AN156" s="29">
        <v>12</v>
      </c>
      <c r="AO156" s="29">
        <v>75</v>
      </c>
      <c r="AP156" s="33">
        <f t="shared" si="13"/>
        <v>654.5454545454545</v>
      </c>
      <c r="AQ156" s="29" t="s">
        <v>116</v>
      </c>
      <c r="AR156" s="29">
        <v>6</v>
      </c>
      <c r="AS156" s="31">
        <v>0.75</v>
      </c>
      <c r="AT156" s="31">
        <v>1.1100000000000001</v>
      </c>
      <c r="AU156" s="29">
        <v>150</v>
      </c>
      <c r="AV156"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0.23573589577499662</v>
      </c>
      <c r="AW156" s="53">
        <f>DBImplements[[#This Row],[TradeIn%]]*DBImplements[[#This Row],[PriceL]]</f>
        <v>7726.8988059582216</v>
      </c>
      <c r="AX156" s="54">
        <f>(DBImplements[[#This Row],[PriceP]]-DBImplements[[#This Row],[TradeIn$]])/DBImplements[[#This Row],[Life (yr)]]/DBImplements[[#This Row],[Use (ac/yr)]]</f>
        <v>2.7720383464636527</v>
      </c>
      <c r="AY156" s="37">
        <f>((DBImplements[[#This Row],[PriceP]]+DBImplements[[#This Row],[TradeIn$]])/2*(Equipment!$CS$256+Equipment!$CS$257+Equipment!$CS$258)+DBImplements[[#This Row],[Shed (ft^2)]]*Equipment!$CS$260)/DBImplements[[#This Row],[Use (ac/yr)]]</f>
        <v>2.0278757912782335</v>
      </c>
      <c r="AZ156" s="55">
        <f>DBImplements[[#This Row],[PriceL]]*(VLOOKUP(DBImplements[[#This Row],[ASABEtype]],DB_ASABECoef[],2)*(DBImplements[[#This Row],[Life (yr)]]*DBImplements[[#This Row],[Use (hr/yr)]]/1000)^VLOOKUP(DBImplements[[#This Row],[ASABEtype]],DB_ASABECoef[],3))/DBImplements[[#This Row],[Life (yr)]]/DBImplements[[#This Row],[Use (ac/yr)]]</f>
        <v>1.0703299976263887</v>
      </c>
      <c r="BA156" s="14">
        <f>Equipment!$CS$265/(DBImplements[[#This Row],[Width]]*DBImplements[[#This Row],[Speed]]*DBImplements[[#This Row],[Efficiency]])</f>
        <v>0.11458333333333333</v>
      </c>
      <c r="BB156" s="14">
        <f>DBImplements[[#This Row],[EquipHrs (hr/ac)]]*DBImplements[[#This Row],[LaborUse]]</f>
        <v>0.12718750000000001</v>
      </c>
      <c r="BC156" s="39">
        <f>SUM(DBImplements[[#This Row],[Depr ($/ac)]:[OH ($/ac)]])</f>
        <v>4.7999141377418866</v>
      </c>
      <c r="BD156" s="40">
        <v>18</v>
      </c>
      <c r="BE156" s="12" t="s">
        <v>236</v>
      </c>
      <c r="BF156"/>
      <c r="BG156" s="191"/>
      <c r="BH156"/>
      <c r="BI156"/>
      <c r="BJ156"/>
      <c r="BK156"/>
      <c r="BL156"/>
      <c r="BM156"/>
      <c r="BN156"/>
      <c r="BO156"/>
      <c r="BP156"/>
      <c r="BQ156"/>
      <c r="BR156"/>
      <c r="BS156"/>
      <c r="BT156"/>
      <c r="BU156"/>
      <c r="BV156"/>
      <c r="BW156"/>
      <c r="BX156"/>
      <c r="BY156"/>
      <c r="BZ156"/>
      <c r="CA156"/>
      <c r="CB156" s="191"/>
      <c r="CC156"/>
      <c r="CD156"/>
      <c r="CE156"/>
      <c r="CF156"/>
      <c r="CG156"/>
      <c r="CH156"/>
      <c r="CI156"/>
      <c r="CJ156"/>
      <c r="CK156"/>
      <c r="CL156"/>
      <c r="CM156"/>
      <c r="CN156"/>
      <c r="CO156"/>
      <c r="CP156" s="252"/>
    </row>
    <row r="157" spans="22:94" ht="16.5">
      <c r="V157" s="191"/>
      <c r="W157"/>
      <c r="X157"/>
      <c r="Y157"/>
      <c r="Z157"/>
      <c r="AA157"/>
      <c r="AB157"/>
      <c r="AC157" s="191"/>
      <c r="AD157"/>
      <c r="AE157" s="12" t="str">
        <f>DBImplements[[#This Row],[Implement type]]&amp;", "&amp;DBImplements[[#This Row],[Width]]&amp;" "&amp;DBImplements[[#This Row],[Width Unit]]</f>
        <v>Presswheel drill, 20 Ft</v>
      </c>
      <c r="AF157" s="58" t="s">
        <v>257</v>
      </c>
      <c r="AG157" s="29">
        <v>20</v>
      </c>
      <c r="AH157" s="28" t="str">
        <f>IF(AG157&gt;20,"Ft Folding","Ft")</f>
        <v>Ft</v>
      </c>
      <c r="AI157" s="29"/>
      <c r="AJ157" s="29"/>
      <c r="AK157" s="30">
        <v>35000</v>
      </c>
      <c r="AL157" s="31">
        <v>0.1</v>
      </c>
      <c r="AM157" s="32">
        <f t="shared" si="12"/>
        <v>38888.888888888891</v>
      </c>
      <c r="AN157" s="29">
        <v>12</v>
      </c>
      <c r="AO157" s="29">
        <v>75</v>
      </c>
      <c r="AP157" s="33">
        <f t="shared" si="13"/>
        <v>818.18181818181813</v>
      </c>
      <c r="AQ157" s="29" t="s">
        <v>116</v>
      </c>
      <c r="AR157" s="29">
        <v>6</v>
      </c>
      <c r="AS157" s="31">
        <v>0.75</v>
      </c>
      <c r="AT157" s="31">
        <v>1.1100000000000001</v>
      </c>
      <c r="AU157" s="29">
        <v>185</v>
      </c>
      <c r="AV157"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0.23573589577499662</v>
      </c>
      <c r="AW157" s="53">
        <f>DBImplements[[#This Row],[TradeIn%]]*DBImplements[[#This Row],[PriceL]]</f>
        <v>9167.5070579165349</v>
      </c>
      <c r="AX157" s="54">
        <f>(DBImplements[[#This Row],[PriceP]]-DBImplements[[#This Row],[TradeIn$]])/DBImplements[[#This Row],[Life (yr)]]/DBImplements[[#This Row],[Use (ac/yr)]]</f>
        <v>2.631087244101094</v>
      </c>
      <c r="AY157" s="37">
        <f>((DBImplements[[#This Row],[PriceP]]+DBImplements[[#This Row],[TradeIn$]])/2*(Equipment!$CS$256+Equipment!$CS$257+Equipment!$CS$258)+DBImplements[[#This Row],[Shed (ft^2)]]*Equipment!$CS$260)/DBImplements[[#This Row],[Use (ac/yr)]]</f>
        <v>1.9330958255575865</v>
      </c>
      <c r="AZ157" s="55">
        <f>DBImplements[[#This Row],[PriceL]]*(VLOOKUP(DBImplements[[#This Row],[ASABEtype]],DB_ASABECoef[],2)*(DBImplements[[#This Row],[Life (yr)]]*DBImplements[[#This Row],[Use (hr/yr)]]/1000)^VLOOKUP(DBImplements[[#This Row],[ASABEtype]],DB_ASABECoef[],3))/DBImplements[[#This Row],[Life (yr)]]/DBImplements[[#This Row],[Use (ac/yr)]]</f>
        <v>1.0159064384250471</v>
      </c>
      <c r="BA157" s="14">
        <f>Equipment!$CS$265/(DBImplements[[#This Row],[Width]]*DBImplements[[#This Row],[Speed]]*DBImplements[[#This Row],[Efficiency]])</f>
        <v>9.166666666666666E-2</v>
      </c>
      <c r="BB157" s="14">
        <f>DBImplements[[#This Row],[EquipHrs (hr/ac)]]*DBImplements[[#This Row],[LaborUse]]</f>
        <v>0.10175000000000001</v>
      </c>
      <c r="BC157" s="39">
        <f>SUM(DBImplements[[#This Row],[Depr ($/ac)]:[OH ($/ac)]])</f>
        <v>4.5641830696586805</v>
      </c>
      <c r="BD157" s="40">
        <v>19</v>
      </c>
      <c r="BE157" s="12" t="s">
        <v>236</v>
      </c>
      <c r="BF157"/>
      <c r="BG157" s="191"/>
      <c r="BH157"/>
      <c r="BI157"/>
      <c r="BJ157"/>
      <c r="BK157"/>
      <c r="BL157"/>
      <c r="BM157"/>
      <c r="BN157"/>
      <c r="BO157"/>
      <c r="BP157"/>
      <c r="BQ157"/>
      <c r="BR157"/>
      <c r="BS157"/>
      <c r="BT157"/>
      <c r="BU157"/>
      <c r="BV157"/>
      <c r="BW157"/>
      <c r="BX157"/>
      <c r="BY157"/>
      <c r="BZ157"/>
      <c r="CA157"/>
      <c r="CB157" s="191"/>
      <c r="CC157"/>
      <c r="CD157"/>
      <c r="CE157"/>
      <c r="CF157"/>
      <c r="CG157"/>
      <c r="CH157"/>
      <c r="CI157"/>
      <c r="CJ157"/>
      <c r="CK157"/>
      <c r="CL157"/>
      <c r="CM157"/>
      <c r="CN157"/>
      <c r="CO157"/>
      <c r="CP157" s="252"/>
    </row>
    <row r="158" spans="22:94" ht="16.5">
      <c r="V158" s="191"/>
      <c r="W158"/>
      <c r="X158"/>
      <c r="Y158"/>
      <c r="Z158"/>
      <c r="AA158"/>
      <c r="AB158"/>
      <c r="AC158" s="191"/>
      <c r="AD158"/>
      <c r="AE158" s="12" t="str">
        <f>DBImplements[[#This Row],[Implement type]]&amp;", "&amp;DBImplements[[#This Row],[Width]]&amp;" "&amp;DBImplements[[#This Row],[Width Unit]]</f>
        <v>Presswheel drill, 25 Ft Folding</v>
      </c>
      <c r="AF158" s="58" t="s">
        <v>257</v>
      </c>
      <c r="AG158" s="29">
        <v>25</v>
      </c>
      <c r="AH158" s="28" t="str">
        <f t="shared" ref="AH158:AH174" si="14">IF(AG158&gt;15,"Ft Folding","Ft")</f>
        <v>Ft Folding</v>
      </c>
      <c r="AI158" s="29"/>
      <c r="AJ158" s="29"/>
      <c r="AK158" s="30">
        <v>67500</v>
      </c>
      <c r="AL158" s="31">
        <v>0.1</v>
      </c>
      <c r="AM158" s="32">
        <f t="shared" si="12"/>
        <v>75000</v>
      </c>
      <c r="AN158" s="29">
        <v>12</v>
      </c>
      <c r="AO158" s="29">
        <v>75</v>
      </c>
      <c r="AP158" s="33">
        <f t="shared" si="13"/>
        <v>1022.7272727272727</v>
      </c>
      <c r="AQ158" s="29" t="s">
        <v>116</v>
      </c>
      <c r="AR158" s="29">
        <v>6</v>
      </c>
      <c r="AS158" s="31">
        <v>0.75</v>
      </c>
      <c r="AT158" s="31">
        <v>1.1100000000000001</v>
      </c>
      <c r="AU158" s="29">
        <v>230</v>
      </c>
      <c r="AV158"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0.23573589577499662</v>
      </c>
      <c r="AW158" s="53">
        <f>DBImplements[[#This Row],[TradeIn%]]*DBImplements[[#This Row],[PriceL]]</f>
        <v>17680.192183124745</v>
      </c>
      <c r="AX158" s="54">
        <f>(DBImplements[[#This Row],[PriceP]]-DBImplements[[#This Row],[TradeIn$]])/DBImplements[[#This Row],[Life (yr)]]/DBImplements[[#This Row],[Use (ac/yr)]]</f>
        <v>4.059391748041687</v>
      </c>
      <c r="AY158" s="37">
        <f>((DBImplements[[#This Row],[PriceP]]+DBImplements[[#This Row],[TradeIn$]])/2*(Equipment!$CS$256+Equipment!$CS$257+Equipment!$CS$258)+DBImplements[[#This Row],[Shed (ft^2)]]*Equipment!$CS$260)/DBImplements[[#This Row],[Use (ac/yr)]]</f>
        <v>2.8623383197123515</v>
      </c>
      <c r="AZ158" s="55">
        <f>DBImplements[[#This Row],[PriceL]]*(VLOOKUP(DBImplements[[#This Row],[ASABEtype]],DB_ASABECoef[],2)*(DBImplements[[#This Row],[Life (yr)]]*DBImplements[[#This Row],[Use (hr/yr)]]/1000)^VLOOKUP(DBImplements[[#This Row],[ASABEtype]],DB_ASABECoef[],3))/DBImplements[[#This Row],[Life (yr)]]/DBImplements[[#This Row],[Use (ac/yr)]]</f>
        <v>1.5673985049986439</v>
      </c>
      <c r="BA158" s="14">
        <f>Equipment!$CS$265/(DBImplements[[#This Row],[Width]]*DBImplements[[#This Row],[Speed]]*DBImplements[[#This Row],[Efficiency]])</f>
        <v>7.3333333333333334E-2</v>
      </c>
      <c r="BB158" s="14">
        <f>DBImplements[[#This Row],[EquipHrs (hr/ac)]]*DBImplements[[#This Row],[LaborUse]]</f>
        <v>8.1400000000000014E-2</v>
      </c>
      <c r="BC158" s="39">
        <f>SUM(DBImplements[[#This Row],[Depr ($/ac)]:[OH ($/ac)]])</f>
        <v>6.921730067754039</v>
      </c>
      <c r="BD158" s="40">
        <v>20</v>
      </c>
      <c r="BE158" s="12" t="s">
        <v>236</v>
      </c>
      <c r="BF158"/>
      <c r="BG158" s="191"/>
      <c r="BH158"/>
      <c r="BI158"/>
      <c r="BJ158"/>
      <c r="BK158"/>
      <c r="BL158"/>
      <c r="BM158"/>
      <c r="BN158"/>
      <c r="BO158"/>
      <c r="BP158"/>
      <c r="BQ158"/>
      <c r="BR158"/>
      <c r="BS158"/>
      <c r="BT158"/>
      <c r="BU158"/>
      <c r="BV158"/>
      <c r="BW158"/>
      <c r="BX158"/>
      <c r="BY158"/>
      <c r="BZ158"/>
      <c r="CA158"/>
      <c r="CB158" s="191"/>
      <c r="CC158"/>
      <c r="CD158"/>
      <c r="CE158"/>
      <c r="CF158"/>
      <c r="CG158"/>
      <c r="CH158"/>
      <c r="CI158"/>
      <c r="CJ158"/>
      <c r="CK158"/>
      <c r="CL158"/>
      <c r="CM158"/>
      <c r="CN158"/>
      <c r="CO158"/>
      <c r="CP158" s="252"/>
    </row>
    <row r="159" spans="22:94" ht="16.5">
      <c r="V159" s="191"/>
      <c r="W159"/>
      <c r="X159"/>
      <c r="Y159"/>
      <c r="Z159"/>
      <c r="AA159"/>
      <c r="AB159"/>
      <c r="AC159" s="191"/>
      <c r="AD159"/>
      <c r="AE159" s="12" t="str">
        <f>DBImplements[[#This Row],[Implement type]]&amp;", "&amp;DBImplements[[#This Row],[Width]]&amp;" "&amp;DBImplements[[#This Row],[Width Unit]]</f>
        <v>Presswheel drill, 30 Ft Folding</v>
      </c>
      <c r="AF159" s="58" t="s">
        <v>257</v>
      </c>
      <c r="AG159" s="29">
        <v>30</v>
      </c>
      <c r="AH159" s="28" t="str">
        <f t="shared" si="14"/>
        <v>Ft Folding</v>
      </c>
      <c r="AI159" s="29"/>
      <c r="AJ159" s="29"/>
      <c r="AK159" s="30">
        <v>85000</v>
      </c>
      <c r="AL159" s="31">
        <v>0.1</v>
      </c>
      <c r="AM159" s="32">
        <f t="shared" si="12"/>
        <v>94444.444444444438</v>
      </c>
      <c r="AN159" s="29">
        <v>12</v>
      </c>
      <c r="AO159" s="29">
        <v>80</v>
      </c>
      <c r="AP159" s="33">
        <f t="shared" si="13"/>
        <v>1309.090909090909</v>
      </c>
      <c r="AQ159" s="29" t="s">
        <v>116</v>
      </c>
      <c r="AR159" s="29">
        <v>6</v>
      </c>
      <c r="AS159" s="31">
        <v>0.75</v>
      </c>
      <c r="AT159" s="31">
        <v>1.1100000000000001</v>
      </c>
      <c r="AU159" s="29">
        <v>240</v>
      </c>
      <c r="AV159"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0.23573589577499662</v>
      </c>
      <c r="AW159" s="53">
        <f>DBImplements[[#This Row],[TradeIn%]]*DBImplements[[#This Row],[PriceL]]</f>
        <v>22263.945712083012</v>
      </c>
      <c r="AX159" s="54">
        <f>(DBImplements[[#This Row],[PriceP]]-DBImplements[[#This Row],[TradeIn$]])/DBImplements[[#This Row],[Life (yr)]]/DBImplements[[#This Row],[Use (ac/yr)]]</f>
        <v>3.9936145669391605</v>
      </c>
      <c r="AY159" s="37">
        <f>((DBImplements[[#This Row],[PriceP]]+DBImplements[[#This Row],[TradeIn$]])/2*(Equipment!$CS$256+Equipment!$CS$257+Equipment!$CS$258)+DBImplements[[#This Row],[Shed (ft^2)]]*Equipment!$CS$260)/DBImplements[[#This Row],[Use (ac/yr)]]</f>
        <v>2.7792132710208883</v>
      </c>
      <c r="AZ159" s="55">
        <f>DBImplements[[#This Row],[PriceL]]*(VLOOKUP(DBImplements[[#This Row],[ASABEtype]],DB_ASABECoef[],2)*(DBImplements[[#This Row],[Life (yr)]]*DBImplements[[#This Row],[Use (hr/yr)]]/1000)^VLOOKUP(DBImplements[[#This Row],[ASABEtype]],DB_ASABECoef[],3))/DBImplements[[#This Row],[Life (yr)]]/DBImplements[[#This Row],[Use (ac/yr)]]</f>
        <v>1.7658138993910333</v>
      </c>
      <c r="BA159" s="14">
        <f>Equipment!$CS$265/(DBImplements[[#This Row],[Width]]*DBImplements[[#This Row],[Speed]]*DBImplements[[#This Row],[Efficiency]])</f>
        <v>6.1111111111111109E-2</v>
      </c>
      <c r="BB159" s="14">
        <f>DBImplements[[#This Row],[EquipHrs (hr/ac)]]*DBImplements[[#This Row],[LaborUse]]</f>
        <v>6.7833333333333343E-2</v>
      </c>
      <c r="BC159" s="39">
        <f>SUM(DBImplements[[#This Row],[Depr ($/ac)]:[OH ($/ac)]])</f>
        <v>6.7728278379600493</v>
      </c>
      <c r="BD159" s="40">
        <v>21</v>
      </c>
      <c r="BE159" s="12" t="s">
        <v>236</v>
      </c>
      <c r="BF159"/>
      <c r="BG159" s="191"/>
      <c r="BH159"/>
      <c r="BI159"/>
      <c r="BJ159"/>
      <c r="BK159"/>
      <c r="BL159"/>
      <c r="BM159"/>
      <c r="BN159"/>
      <c r="BO159"/>
      <c r="BP159"/>
      <c r="BQ159"/>
      <c r="BR159"/>
      <c r="BS159"/>
      <c r="BT159"/>
      <c r="BU159"/>
      <c r="BV159"/>
      <c r="BW159"/>
      <c r="BX159"/>
      <c r="BY159"/>
      <c r="BZ159"/>
      <c r="CA159"/>
      <c r="CB159" s="191"/>
      <c r="CC159"/>
      <c r="CD159"/>
      <c r="CE159"/>
      <c r="CF159"/>
      <c r="CG159"/>
      <c r="CH159"/>
      <c r="CI159"/>
      <c r="CJ159"/>
      <c r="CK159"/>
      <c r="CL159"/>
      <c r="CM159"/>
      <c r="CN159"/>
      <c r="CO159"/>
      <c r="CP159" s="252"/>
    </row>
    <row r="160" spans="22:94" ht="16.5">
      <c r="V160" s="191"/>
      <c r="W160"/>
      <c r="X160"/>
      <c r="Y160"/>
      <c r="Z160"/>
      <c r="AA160"/>
      <c r="AB160"/>
      <c r="AC160" s="191"/>
      <c r="AD160"/>
      <c r="AE160" s="12" t="str">
        <f>DBImplements[[#This Row],[Implement type]]&amp;", "&amp;DBImplements[[#This Row],[Width]]&amp;" "&amp;DBImplements[[#This Row],[Width Unit]]</f>
        <v>Row crop planter, 15 Ft</v>
      </c>
      <c r="AF160" s="28" t="s">
        <v>109</v>
      </c>
      <c r="AG160" s="29">
        <v>15</v>
      </c>
      <c r="AH160" s="28" t="str">
        <f t="shared" si="14"/>
        <v>Ft</v>
      </c>
      <c r="AI160" s="29">
        <v>6</v>
      </c>
      <c r="AJ160" s="29" t="s">
        <v>110</v>
      </c>
      <c r="AK160" s="30">
        <v>48000</v>
      </c>
      <c r="AL160" s="31">
        <v>0.1</v>
      </c>
      <c r="AM160" s="32">
        <f t="shared" si="12"/>
        <v>53333.333333333328</v>
      </c>
      <c r="AN160" s="29">
        <v>12</v>
      </c>
      <c r="AO160" s="29">
        <v>70</v>
      </c>
      <c r="AP160" s="33">
        <f t="shared" si="13"/>
        <v>489.99999999999994</v>
      </c>
      <c r="AQ160" s="29" t="s">
        <v>109</v>
      </c>
      <c r="AR160" s="29">
        <v>5.5</v>
      </c>
      <c r="AS160" s="31">
        <v>0.7</v>
      </c>
      <c r="AT160" s="31">
        <v>1.1599999999999999</v>
      </c>
      <c r="AU160" s="29">
        <v>200</v>
      </c>
      <c r="AV160"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0.47064228743824527</v>
      </c>
      <c r="AW160" s="53">
        <f>DBImplements[[#This Row],[TradeIn%]]*DBImplements[[#This Row],[PriceL]]</f>
        <v>25100.921996706413</v>
      </c>
      <c r="AX160" s="54">
        <f>(DBImplements[[#This Row],[PriceP]]-DBImplements[[#This Row],[TradeIn$]])/DBImplements[[#This Row],[Life (yr)]]/DBImplements[[#This Row],[Use (ac/yr)]]</f>
        <v>3.8944010209682975</v>
      </c>
      <c r="AY160" s="37">
        <f>((DBImplements[[#This Row],[PriceP]]+DBImplements[[#This Row],[TradeIn$]])/2*(Equipment!$CS$256+Equipment!$CS$257+Equipment!$CS$258)+DBImplements[[#This Row],[Shed (ft^2)]]*Equipment!$CS$260)/DBImplements[[#This Row],[Use (ac/yr)]]</f>
        <v>5.1322409510784572</v>
      </c>
      <c r="AZ160" s="55">
        <f>DBImplements[[#This Row],[PriceL]]*(VLOOKUP(DBImplements[[#This Row],[ASABEtype]],DB_ASABECoef[],2)*(DBImplements[[#This Row],[Life (yr)]]*DBImplements[[#This Row],[Use (hr/yr)]]/1000)^VLOOKUP(DBImplements[[#This Row],[ASABEtype]],DB_ASABECoef[],3))/DBImplements[[#This Row],[Life (yr)]]/DBImplements[[#This Row],[Use (ac/yr)]]</f>
        <v>2.0126019118615992</v>
      </c>
      <c r="BA160" s="14">
        <f>Equipment!$CS$265/(DBImplements[[#This Row],[Width]]*DBImplements[[#This Row],[Speed]]*DBImplements[[#This Row],[Efficiency]])</f>
        <v>0.14285714285714288</v>
      </c>
      <c r="BB160" s="14">
        <f>DBImplements[[#This Row],[EquipHrs (hr/ac)]]*DBImplements[[#This Row],[LaborUse]]</f>
        <v>0.16571428571428573</v>
      </c>
      <c r="BC160" s="39">
        <f>SUM(DBImplements[[#This Row],[Depr ($/ac)]:[OH ($/ac)]])</f>
        <v>9.0266419720467539</v>
      </c>
      <c r="BD160" s="40">
        <v>13</v>
      </c>
      <c r="BE160" s="12" t="s">
        <v>236</v>
      </c>
      <c r="BF160"/>
      <c r="BG160" s="191"/>
      <c r="BH160"/>
      <c r="BI160"/>
      <c r="BJ160"/>
      <c r="BK160"/>
      <c r="BL160"/>
      <c r="BM160"/>
      <c r="BN160"/>
      <c r="BO160"/>
      <c r="BP160"/>
      <c r="BQ160"/>
      <c r="BR160"/>
      <c r="BS160"/>
      <c r="BT160"/>
      <c r="BU160"/>
      <c r="BV160"/>
      <c r="BW160"/>
      <c r="BX160"/>
      <c r="BY160"/>
      <c r="BZ160"/>
      <c r="CA160"/>
      <c r="CB160" s="191"/>
      <c r="CC160"/>
      <c r="CD160"/>
      <c r="CE160"/>
      <c r="CF160"/>
      <c r="CG160"/>
      <c r="CH160"/>
      <c r="CI160"/>
      <c r="CJ160"/>
      <c r="CK160"/>
      <c r="CL160"/>
      <c r="CM160"/>
      <c r="CN160"/>
      <c r="CO160"/>
      <c r="CP160" s="252"/>
    </row>
    <row r="161" spans="22:120" ht="16.5">
      <c r="V161" s="191"/>
      <c r="W161"/>
      <c r="X161"/>
      <c r="Y161"/>
      <c r="Z161"/>
      <c r="AA161"/>
      <c r="AB161"/>
      <c r="AC161" s="191"/>
      <c r="AD161"/>
      <c r="AE161" s="12" t="str">
        <f>DBImplements[[#This Row],[Implement type]]&amp;", "&amp;DBImplements[[#This Row],[Width]]&amp;" "&amp;DBImplements[[#This Row],[Width Unit]]</f>
        <v>Row crop planter, 20 Ft Folding</v>
      </c>
      <c r="AF161" s="28" t="s">
        <v>109</v>
      </c>
      <c r="AG161" s="29">
        <v>20</v>
      </c>
      <c r="AH161" s="28" t="str">
        <f t="shared" si="14"/>
        <v>Ft Folding</v>
      </c>
      <c r="AI161" s="29">
        <v>8</v>
      </c>
      <c r="AJ161" s="29" t="s">
        <v>110</v>
      </c>
      <c r="AK161" s="30">
        <v>59000</v>
      </c>
      <c r="AL161" s="31">
        <v>0.1</v>
      </c>
      <c r="AM161" s="32">
        <f t="shared" si="12"/>
        <v>65555.555555555547</v>
      </c>
      <c r="AN161" s="29">
        <v>12</v>
      </c>
      <c r="AO161" s="29">
        <v>70</v>
      </c>
      <c r="AP161" s="33">
        <f t="shared" si="13"/>
        <v>653.33333333333337</v>
      </c>
      <c r="AQ161" s="29" t="s">
        <v>109</v>
      </c>
      <c r="AR161" s="29">
        <v>5.5</v>
      </c>
      <c r="AS161" s="31">
        <v>0.7</v>
      </c>
      <c r="AT161" s="31">
        <v>1.1599999999999999</v>
      </c>
      <c r="AU161" s="29">
        <v>200</v>
      </c>
      <c r="AV161"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0.47064228743824527</v>
      </c>
      <c r="AW161" s="53">
        <f>DBImplements[[#This Row],[TradeIn%]]*DBImplements[[#This Row],[PriceL]]</f>
        <v>30853.216620951629</v>
      </c>
      <c r="AX161" s="54">
        <f>(DBImplements[[#This Row],[PriceP]]-DBImplements[[#This Row],[TradeIn$]])/DBImplements[[#This Row],[Life (yr)]]/DBImplements[[#This Row],[Use (ac/yr)]]</f>
        <v>3.5901509412051489</v>
      </c>
      <c r="AY161" s="37">
        <f>((DBImplements[[#This Row],[PriceP]]+DBImplements[[#This Row],[TradeIn$]])/2*(Equipment!$CS$256+Equipment!$CS$257+Equipment!$CS$258)+DBImplements[[#This Row],[Shed (ft^2)]]*Equipment!$CS$260)/DBImplements[[#This Row],[Use (ac/yr)]]</f>
        <v>4.6632909495125956</v>
      </c>
      <c r="AZ161" s="55">
        <f>DBImplements[[#This Row],[PriceL]]*(VLOOKUP(DBImplements[[#This Row],[ASABEtype]],DB_ASABECoef[],2)*(DBImplements[[#This Row],[Life (yr)]]*DBImplements[[#This Row],[Use (hr/yr)]]/1000)^VLOOKUP(DBImplements[[#This Row],[ASABEtype]],DB_ASABECoef[],3))/DBImplements[[#This Row],[Life (yr)]]/DBImplements[[#This Row],[Use (ac/yr)]]</f>
        <v>1.8553673874974115</v>
      </c>
      <c r="BA161" s="14">
        <f>Equipment!$CS$265/(DBImplements[[#This Row],[Width]]*DBImplements[[#This Row],[Speed]]*DBImplements[[#This Row],[Efficiency]])</f>
        <v>0.10714285714285714</v>
      </c>
      <c r="BB161" s="14">
        <f>DBImplements[[#This Row],[EquipHrs (hr/ac)]]*DBImplements[[#This Row],[LaborUse]]</f>
        <v>0.12428571428571428</v>
      </c>
      <c r="BC161" s="39">
        <f>SUM(DBImplements[[#This Row],[Depr ($/ac)]:[OH ($/ac)]])</f>
        <v>8.2534418907177454</v>
      </c>
      <c r="BD161" s="40">
        <v>14</v>
      </c>
      <c r="BE161" s="12" t="s">
        <v>236</v>
      </c>
      <c r="BF161"/>
      <c r="BG161" s="191"/>
      <c r="BH161"/>
      <c r="BI161"/>
      <c r="BJ161"/>
      <c r="BK161"/>
      <c r="BL161"/>
      <c r="BM161"/>
      <c r="BN161"/>
      <c r="BO161"/>
      <c r="BP161"/>
      <c r="BQ161"/>
      <c r="BR161"/>
      <c r="BS161"/>
      <c r="BT161"/>
      <c r="BU161"/>
      <c r="BV161"/>
      <c r="BW161"/>
      <c r="BX161"/>
      <c r="BY161"/>
      <c r="BZ161"/>
      <c r="CA161"/>
      <c r="CB161" s="191"/>
      <c r="CC161"/>
      <c r="CD161"/>
      <c r="CE161"/>
      <c r="CF161"/>
      <c r="CG161"/>
      <c r="CH161"/>
      <c r="CI161"/>
      <c r="CJ161"/>
      <c r="CK161"/>
      <c r="CL161"/>
      <c r="CM161"/>
      <c r="CN161"/>
      <c r="CO161"/>
      <c r="CP161" s="252"/>
    </row>
    <row r="162" spans="22:120" ht="16.5">
      <c r="V162" s="191"/>
      <c r="W162"/>
      <c r="X162"/>
      <c r="Y162"/>
      <c r="Z162"/>
      <c r="AA162"/>
      <c r="AB162"/>
      <c r="AC162" s="191"/>
      <c r="AD162"/>
      <c r="AE162" s="12" t="str">
        <f>DBImplements[[#This Row],[Implement type]]&amp;", "&amp;DBImplements[[#This Row],[Width]]&amp;" "&amp;DBImplements[[#This Row],[Width Unit]]</f>
        <v>Row crop planter, 30 Ft Folding</v>
      </c>
      <c r="AF162" s="28" t="s">
        <v>109</v>
      </c>
      <c r="AG162" s="29">
        <v>30</v>
      </c>
      <c r="AH162" s="28" t="str">
        <f t="shared" si="14"/>
        <v>Ft Folding</v>
      </c>
      <c r="AI162" s="29">
        <v>12</v>
      </c>
      <c r="AJ162" s="29" t="s">
        <v>110</v>
      </c>
      <c r="AK162" s="30">
        <v>135000</v>
      </c>
      <c r="AL162" s="31">
        <v>0.1</v>
      </c>
      <c r="AM162" s="32">
        <f t="shared" si="12"/>
        <v>150000</v>
      </c>
      <c r="AN162" s="29">
        <v>12</v>
      </c>
      <c r="AO162" s="29">
        <v>70.000000000000014</v>
      </c>
      <c r="AP162" s="33">
        <f t="shared" si="13"/>
        <v>980.00000000000011</v>
      </c>
      <c r="AQ162" s="29" t="s">
        <v>109</v>
      </c>
      <c r="AR162" s="29">
        <v>5.5</v>
      </c>
      <c r="AS162" s="31">
        <v>0.7</v>
      </c>
      <c r="AT162" s="31">
        <v>1.1599999999999999</v>
      </c>
      <c r="AU162" s="29">
        <v>300</v>
      </c>
      <c r="AV162"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0.47064228743824527</v>
      </c>
      <c r="AW162" s="53">
        <f>DBImplements[[#This Row],[TradeIn%]]*DBImplements[[#This Row],[PriceL]]</f>
        <v>70596.343115736789</v>
      </c>
      <c r="AX162" s="54">
        <f>(DBImplements[[#This Row],[PriceP]]-DBImplements[[#This Row],[TradeIn$]])/DBImplements[[#This Row],[Life (yr)]]/DBImplements[[#This Row],[Use (ac/yr)]]</f>
        <v>5.476501435736667</v>
      </c>
      <c r="AY162" s="37">
        <f>((DBImplements[[#This Row],[PriceP]]+DBImplements[[#This Row],[TradeIn$]])/2*(Equipment!$CS$256+Equipment!$CS$257+Equipment!$CS$258)+DBImplements[[#This Row],[Shed (ft^2)]]*Equipment!$CS$260)/DBImplements[[#This Row],[Use (ac/yr)]]</f>
        <v>6.9576016151777189</v>
      </c>
      <c r="AZ162" s="55">
        <f>DBImplements[[#This Row],[PriceL]]*(VLOOKUP(DBImplements[[#This Row],[ASABEtype]],DB_ASABECoef[],2)*(DBImplements[[#This Row],[Life (yr)]]*DBImplements[[#This Row],[Use (hr/yr)]]/1000)^VLOOKUP(DBImplements[[#This Row],[ASABEtype]],DB_ASABECoef[],3))/DBImplements[[#This Row],[Life (yr)]]/DBImplements[[#This Row],[Use (ac/yr)]]</f>
        <v>2.830221438555375</v>
      </c>
      <c r="BA162" s="14">
        <f>Equipment!$CS$265/(DBImplements[[#This Row],[Width]]*DBImplements[[#This Row],[Speed]]*DBImplements[[#This Row],[Efficiency]])</f>
        <v>7.1428571428571438E-2</v>
      </c>
      <c r="BB162" s="14">
        <f>DBImplements[[#This Row],[EquipHrs (hr/ac)]]*DBImplements[[#This Row],[LaborUse]]</f>
        <v>8.2857142857142865E-2</v>
      </c>
      <c r="BC162" s="39">
        <f>SUM(DBImplements[[#This Row],[Depr ($/ac)]:[OH ($/ac)]])</f>
        <v>12.434103050914386</v>
      </c>
      <c r="BD162" s="40">
        <v>15</v>
      </c>
      <c r="BE162" s="12" t="s">
        <v>236</v>
      </c>
      <c r="BF162"/>
      <c r="BG162" s="191"/>
      <c r="BH162"/>
      <c r="BI162"/>
      <c r="BJ162"/>
      <c r="BK162"/>
      <c r="BL162"/>
      <c r="BM162"/>
      <c r="BN162"/>
      <c r="BO162"/>
      <c r="BP162"/>
      <c r="BQ162"/>
      <c r="BR162"/>
      <c r="BS162"/>
      <c r="BT162"/>
      <c r="BU162"/>
      <c r="BV162"/>
      <c r="BW162"/>
      <c r="BX162"/>
      <c r="BY162"/>
      <c r="BZ162"/>
      <c r="CA162"/>
      <c r="CB162" s="191"/>
      <c r="CC162"/>
      <c r="CD162"/>
      <c r="CE162"/>
      <c r="CF162"/>
      <c r="CG162"/>
      <c r="CH162"/>
      <c r="CI162"/>
      <c r="CJ162"/>
      <c r="CK162"/>
      <c r="CL162"/>
      <c r="CM162"/>
      <c r="CN162"/>
      <c r="CO162"/>
      <c r="CP162" s="252"/>
    </row>
    <row r="163" spans="22:120" ht="16.5">
      <c r="V163" s="191"/>
      <c r="W163"/>
      <c r="X163"/>
      <c r="Y163"/>
      <c r="Z163"/>
      <c r="AA163"/>
      <c r="AB163"/>
      <c r="AC163" s="191"/>
      <c r="AD163"/>
      <c r="AE163" s="12" t="str">
        <f>DBImplements[[#This Row],[Implement type]]&amp;", "&amp;DBImplements[[#This Row],[Width]]&amp;" "&amp;DBImplements[[#This Row],[Width Unit]]</f>
        <v>Row crop planter, 40 Ft Folding</v>
      </c>
      <c r="AF163" s="28" t="s">
        <v>109</v>
      </c>
      <c r="AG163" s="29">
        <v>40</v>
      </c>
      <c r="AH163" s="28" t="str">
        <f t="shared" si="14"/>
        <v>Ft Folding</v>
      </c>
      <c r="AI163" s="29">
        <v>16</v>
      </c>
      <c r="AJ163" s="29" t="s">
        <v>110</v>
      </c>
      <c r="AK163" s="30">
        <v>199000</v>
      </c>
      <c r="AL163" s="31">
        <v>0.1</v>
      </c>
      <c r="AM163" s="32">
        <f t="shared" si="12"/>
        <v>221111.11111111109</v>
      </c>
      <c r="AN163" s="29">
        <v>12</v>
      </c>
      <c r="AO163" s="29">
        <v>70</v>
      </c>
      <c r="AP163" s="33">
        <f t="shared" si="13"/>
        <v>1306.6666666666667</v>
      </c>
      <c r="AQ163" s="29" t="s">
        <v>109</v>
      </c>
      <c r="AR163" s="29">
        <v>5.5</v>
      </c>
      <c r="AS163" s="31">
        <v>0.7</v>
      </c>
      <c r="AT163" s="31">
        <v>1.1599999999999999</v>
      </c>
      <c r="AU163" s="29">
        <v>300</v>
      </c>
      <c r="AV163"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0.47064228743824527</v>
      </c>
      <c r="AW163" s="53">
        <f>DBImplements[[#This Row],[TradeIn%]]*DBImplements[[#This Row],[PriceL]]</f>
        <v>104064.23911134533</v>
      </c>
      <c r="AX163" s="54">
        <f>(DBImplements[[#This Row],[PriceP]]-DBImplements[[#This Row],[TradeIn$]])/DBImplements[[#This Row],[Life (yr)]]/DBImplements[[#This Row],[Use (ac/yr)]]</f>
        <v>6.0545765872866495</v>
      </c>
      <c r="AY163" s="37">
        <f>((DBImplements[[#This Row],[PriceP]]+DBImplements[[#This Row],[TradeIn$]])/2*(Equipment!$CS$256+Equipment!$CS$257+Equipment!$CS$258)+DBImplements[[#This Row],[Shed (ft^2)]]*Equipment!$CS$260)/DBImplements[[#This Row],[Use (ac/yr)]]</f>
        <v>7.5865218985214824</v>
      </c>
      <c r="AZ163" s="55">
        <f>DBImplements[[#This Row],[PriceL]]*(VLOOKUP(DBImplements[[#This Row],[ASABEtype]],DB_ASABECoef[],2)*(DBImplements[[#This Row],[Life (yr)]]*DBImplements[[#This Row],[Use (hr/yr)]]/1000)^VLOOKUP(DBImplements[[#This Row],[ASABEtype]],DB_ASABECoef[],3))/DBImplements[[#This Row],[Life (yr)]]/DBImplements[[#This Row],[Use (ac/yr)]]</f>
        <v>3.1289670348473297</v>
      </c>
      <c r="BA163" s="14">
        <f>Equipment!$CS$265/(DBImplements[[#This Row],[Width]]*DBImplements[[#This Row],[Speed]]*DBImplements[[#This Row],[Efficiency]])</f>
        <v>5.3571428571428568E-2</v>
      </c>
      <c r="BB163" s="14">
        <f>DBImplements[[#This Row],[EquipHrs (hr/ac)]]*DBImplements[[#This Row],[LaborUse]]</f>
        <v>6.2142857142857139E-2</v>
      </c>
      <c r="BC163" s="39">
        <f>SUM(DBImplements[[#This Row],[Depr ($/ac)]:[OH ($/ac)]])</f>
        <v>13.641098485808133</v>
      </c>
      <c r="BD163" s="40">
        <v>16</v>
      </c>
      <c r="BE163" s="12" t="s">
        <v>236</v>
      </c>
      <c r="BF163"/>
      <c r="BG163" s="191"/>
      <c r="BH163"/>
      <c r="BI163"/>
      <c r="BJ163"/>
      <c r="BK163"/>
      <c r="BL163"/>
      <c r="BM163"/>
      <c r="BN163"/>
      <c r="BO163"/>
      <c r="BP163"/>
      <c r="BQ163"/>
      <c r="BR163"/>
      <c r="BS163"/>
      <c r="BT163"/>
      <c r="BU163"/>
      <c r="BV163"/>
      <c r="BW163"/>
      <c r="BX163"/>
      <c r="BY163"/>
      <c r="BZ163"/>
      <c r="CA163"/>
      <c r="CB163" s="191"/>
      <c r="CC163"/>
      <c r="CD163"/>
      <c r="CE163"/>
      <c r="CF163"/>
      <c r="CG163"/>
      <c r="CH163"/>
      <c r="CI163"/>
      <c r="CJ163"/>
      <c r="CK163"/>
      <c r="CL163"/>
      <c r="CM163"/>
      <c r="CN163"/>
      <c r="CO163"/>
      <c r="CP163" s="252"/>
    </row>
    <row r="164" spans="22:120" ht="16.5">
      <c r="V164" s="191"/>
      <c r="W164"/>
      <c r="X164"/>
      <c r="Y164"/>
      <c r="Z164"/>
      <c r="AA164"/>
      <c r="AB164"/>
      <c r="AC164" s="191"/>
      <c r="AD164"/>
      <c r="AE164" s="12" t="str">
        <f>DBImplements[[#This Row],[Implement type]]&amp;", "&amp;DBImplements[[#This Row],[Width]]&amp;" "&amp;DBImplements[[#This Row],[Width Unit]]</f>
        <v>Row crop planter, 60 Ft Folding</v>
      </c>
      <c r="AF164" s="28" t="s">
        <v>109</v>
      </c>
      <c r="AG164" s="29">
        <v>60</v>
      </c>
      <c r="AH164" s="28" t="str">
        <f t="shared" si="14"/>
        <v>Ft Folding</v>
      </c>
      <c r="AI164" s="29">
        <v>24</v>
      </c>
      <c r="AJ164" s="29" t="s">
        <v>110</v>
      </c>
      <c r="AK164" s="30">
        <v>321500</v>
      </c>
      <c r="AL164" s="31">
        <v>0.1</v>
      </c>
      <c r="AM164" s="32">
        <f t="shared" si="12"/>
        <v>357222.22222222219</v>
      </c>
      <c r="AN164" s="29">
        <v>12</v>
      </c>
      <c r="AO164" s="29">
        <v>70</v>
      </c>
      <c r="AP164" s="33">
        <f t="shared" si="13"/>
        <v>1959.9999999999998</v>
      </c>
      <c r="AQ164" s="29" t="s">
        <v>109</v>
      </c>
      <c r="AR164" s="29">
        <v>5.5</v>
      </c>
      <c r="AS164" s="31">
        <v>0.7</v>
      </c>
      <c r="AT164" s="31">
        <v>1.1599999999999999</v>
      </c>
      <c r="AU164" s="29">
        <v>300</v>
      </c>
      <c r="AV164"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0.47064228743824527</v>
      </c>
      <c r="AW164" s="53">
        <f>DBImplements[[#This Row],[TradeIn%]]*DBImplements[[#This Row],[PriceL]]</f>
        <v>168123.88379043981</v>
      </c>
      <c r="AX164" s="54">
        <f>(DBImplements[[#This Row],[PriceP]]-DBImplements[[#This Row],[TradeIn$]])/DBImplements[[#This Row],[Life (yr)]]/DBImplements[[#This Row],[Use (ac/yr)]]</f>
        <v>6.5210933762568111</v>
      </c>
      <c r="AY164" s="37">
        <f>((DBImplements[[#This Row],[PriceP]]+DBImplements[[#This Row],[TradeIn$]])/2*(Equipment!$CS$256+Equipment!$CS$257+Equipment!$CS$258)+DBImplements[[#This Row],[Shed (ft^2)]]*Equipment!$CS$260)/DBImplements[[#This Row],[Use (ac/yr)]]</f>
        <v>8.0797571424979537</v>
      </c>
      <c r="AZ164" s="55">
        <f>DBImplements[[#This Row],[PriceL]]*(VLOOKUP(DBImplements[[#This Row],[ASABEtype]],DB_ASABECoef[],2)*(DBImplements[[#This Row],[Life (yr)]]*DBImplements[[#This Row],[Use (hr/yr)]]/1000)^VLOOKUP(DBImplements[[#This Row],[ASABEtype]],DB_ASABECoef[],3))/DBImplements[[#This Row],[Life (yr)]]/DBImplements[[#This Row],[Use (ac/yr)]]</f>
        <v>3.3700599722057509</v>
      </c>
      <c r="BA164" s="14">
        <f>Equipment!$CS$265/(DBImplements[[#This Row],[Width]]*DBImplements[[#This Row],[Speed]]*DBImplements[[#This Row],[Efficiency]])</f>
        <v>3.5714285714285719E-2</v>
      </c>
      <c r="BB164" s="14">
        <f>DBImplements[[#This Row],[EquipHrs (hr/ac)]]*DBImplements[[#This Row],[LaborUse]]</f>
        <v>4.1428571428571433E-2</v>
      </c>
      <c r="BC164" s="39">
        <f>SUM(DBImplements[[#This Row],[Depr ($/ac)]:[OH ($/ac)]])</f>
        <v>14.600850518754765</v>
      </c>
      <c r="BD164" s="40">
        <v>17</v>
      </c>
      <c r="BE164" s="12" t="s">
        <v>236</v>
      </c>
      <c r="BF164"/>
      <c r="BG164" s="191"/>
      <c r="BH164"/>
      <c r="BI164"/>
      <c r="BJ164"/>
      <c r="BK164"/>
      <c r="BL164"/>
      <c r="BM164"/>
      <c r="BN164"/>
      <c r="BO164"/>
      <c r="BP164"/>
      <c r="BQ164"/>
      <c r="BR164"/>
      <c r="BS164"/>
      <c r="BT164"/>
      <c r="BU164"/>
      <c r="BV164"/>
      <c r="BW164"/>
      <c r="BX164"/>
      <c r="BY164"/>
      <c r="BZ164"/>
      <c r="CA164"/>
      <c r="CB164" s="191"/>
      <c r="CC164"/>
      <c r="CD164"/>
      <c r="CE164"/>
      <c r="CF164"/>
      <c r="CG164"/>
      <c r="CH164"/>
      <c r="CI164"/>
      <c r="CJ164"/>
      <c r="CK164"/>
      <c r="CL164"/>
      <c r="CM164"/>
      <c r="CN164"/>
      <c r="CO164"/>
      <c r="CP164" s="252"/>
    </row>
    <row r="165" spans="22:120" ht="16.5">
      <c r="V165" s="191"/>
      <c r="W165"/>
      <c r="X165"/>
      <c r="Y165"/>
      <c r="Z165"/>
      <c r="AA165"/>
      <c r="AB165"/>
      <c r="AC165" s="191"/>
      <c r="AD165"/>
      <c r="AE165" s="27" t="str">
        <f>DBImplements[[#This Row],[Implement type]]&amp;", "&amp;DBImplements[[#This Row],[Width]]&amp;" "&amp;DBImplements[[#This Row],[Width Unit]]</f>
        <v>Chisel plow, 22 Ft Folding</v>
      </c>
      <c r="AF165" s="28" t="s">
        <v>75</v>
      </c>
      <c r="AG165" s="29">
        <v>22</v>
      </c>
      <c r="AH165" s="28" t="str">
        <f t="shared" si="14"/>
        <v>Ft Folding</v>
      </c>
      <c r="AI165" s="29"/>
      <c r="AJ165" s="29"/>
      <c r="AK165" s="30">
        <v>57500</v>
      </c>
      <c r="AL165" s="31">
        <v>0.1</v>
      </c>
      <c r="AM165" s="32">
        <f t="shared" si="12"/>
        <v>63888.888888888891</v>
      </c>
      <c r="AN165" s="29">
        <v>12</v>
      </c>
      <c r="AO165" s="29">
        <v>60</v>
      </c>
      <c r="AP165" s="33">
        <f t="shared" si="13"/>
        <v>680</v>
      </c>
      <c r="AQ165" s="29" t="s">
        <v>75</v>
      </c>
      <c r="AR165" s="29">
        <v>5</v>
      </c>
      <c r="AS165" s="31">
        <v>0.85</v>
      </c>
      <c r="AT165" s="31">
        <v>1.02</v>
      </c>
      <c r="AU165" s="29">
        <v>250</v>
      </c>
      <c r="AV165" s="34">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0.30248724410907551</v>
      </c>
      <c r="AW165" s="35">
        <f>DBImplements[[#This Row],[TradeIn%]]*DBImplements[[#This Row],[PriceL]]</f>
        <v>19325.573929190938</v>
      </c>
      <c r="AX165" s="36">
        <f>(DBImplements[[#This Row],[PriceP]]-DBImplements[[#This Row],[TradeIn$]])/DBImplements[[#This Row],[Life (yr)]]/DBImplements[[#This Row],[Use (ac/yr)]]</f>
        <v>4.6782384890697379</v>
      </c>
      <c r="AY165" s="37">
        <f>((DBImplements[[#This Row],[PriceP]]+DBImplements[[#This Row],[TradeIn$]])/2*(Equipment!$CS$256+Equipment!$CS$257+Equipment!$CS$258)+DBImplements[[#This Row],[Shed (ft^2)]]*Equipment!$CS$260)/DBImplements[[#This Row],[Use (ac/yr)]]</f>
        <v>3.9434069309457072</v>
      </c>
      <c r="AZ165" s="38">
        <f>DBImplements[[#This Row],[PriceL]]*(VLOOKUP(DBImplements[[#This Row],[ASABEtype]],DB_ASABECoef[],2)*(DBImplements[[#This Row],[Life (yr)]]*DBImplements[[#This Row],[Use (hr/yr)]]/1000)^VLOOKUP(DBImplements[[#This Row],[ASABEtype]],DB_ASABECoef[],3))/DBImplements[[#This Row],[Life (yr)]]/DBImplements[[#This Row],[Use (ac/yr)]]</f>
        <v>1.3840720635948824</v>
      </c>
      <c r="BA165" s="14">
        <f>Equipment!$CS$265/(DBImplements[[#This Row],[Width]]*DBImplements[[#This Row],[Speed]]*DBImplements[[#This Row],[Efficiency]])</f>
        <v>8.8235294117647065E-2</v>
      </c>
      <c r="BB165" s="14">
        <f>DBImplements[[#This Row],[EquipHrs (hr/ac)]]*DBImplements[[#This Row],[LaborUse]]</f>
        <v>9.0000000000000011E-2</v>
      </c>
      <c r="BC165" s="39">
        <f>SUM(DBImplements[[#This Row],[Depr ($/ac)]:[OH ($/ac)]])</f>
        <v>8.6216454200154455</v>
      </c>
      <c r="BD165" s="40">
        <v>1</v>
      </c>
      <c r="BE165" s="12" t="s">
        <v>235</v>
      </c>
      <c r="BF165"/>
      <c r="BG165" s="191"/>
      <c r="BH165"/>
      <c r="BI165"/>
      <c r="BJ165"/>
      <c r="BK165"/>
      <c r="BL165"/>
      <c r="BM165"/>
      <c r="BN165"/>
      <c r="BO165"/>
      <c r="BP165"/>
      <c r="BQ165"/>
      <c r="BR165"/>
      <c r="BS165"/>
      <c r="BT165"/>
      <c r="BU165"/>
      <c r="BV165"/>
      <c r="BW165"/>
      <c r="BX165"/>
      <c r="BY165"/>
      <c r="BZ165"/>
      <c r="CA165"/>
      <c r="CB165" s="191"/>
      <c r="CC165"/>
      <c r="CD165"/>
      <c r="CE165"/>
      <c r="CF165"/>
      <c r="CG165"/>
      <c r="CH165"/>
      <c r="CI165"/>
      <c r="CJ165"/>
      <c r="CK165"/>
      <c r="CL165"/>
      <c r="CM165"/>
      <c r="CN165"/>
      <c r="CO165"/>
      <c r="CP165" s="252"/>
    </row>
    <row r="166" spans="22:120" ht="16.5">
      <c r="V166" s="191"/>
      <c r="W166"/>
      <c r="X166"/>
      <c r="Y166"/>
      <c r="Z166"/>
      <c r="AA166"/>
      <c r="AB166"/>
      <c r="AC166" s="191"/>
      <c r="AD166"/>
      <c r="AE166" s="12" t="str">
        <f>DBImplements[[#This Row],[Implement type]]&amp;", "&amp;DBImplements[[#This Row],[Width]]&amp;" "&amp;DBImplements[[#This Row],[Width Unit]]</f>
        <v>Chisel plow, 36 Ft Folding</v>
      </c>
      <c r="AF166" s="28" t="s">
        <v>75</v>
      </c>
      <c r="AG166" s="29">
        <v>36</v>
      </c>
      <c r="AH166" s="28" t="str">
        <f t="shared" si="14"/>
        <v>Ft Folding</v>
      </c>
      <c r="AI166" s="29"/>
      <c r="AJ166" s="29"/>
      <c r="AK166" s="30">
        <v>80500</v>
      </c>
      <c r="AL166" s="31">
        <v>0.1</v>
      </c>
      <c r="AM166" s="32">
        <f t="shared" si="12"/>
        <v>89444.444444444438</v>
      </c>
      <c r="AN166" s="29">
        <v>12</v>
      </c>
      <c r="AO166" s="29">
        <v>60</v>
      </c>
      <c r="AP166" s="33">
        <f t="shared" si="13"/>
        <v>1112.7272727272727</v>
      </c>
      <c r="AQ166" s="29" t="s">
        <v>75</v>
      </c>
      <c r="AR166" s="29">
        <v>5</v>
      </c>
      <c r="AS166" s="31">
        <v>0.85</v>
      </c>
      <c r="AT166" s="31">
        <v>1.02</v>
      </c>
      <c r="AU166" s="29">
        <v>370</v>
      </c>
      <c r="AV166"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0.30248724410907551</v>
      </c>
      <c r="AW166" s="53">
        <f>DBImplements[[#This Row],[TradeIn%]]*DBImplements[[#This Row],[PriceL]]</f>
        <v>27055.803500867307</v>
      </c>
      <c r="AX166" s="54">
        <f>(DBImplements[[#This Row],[PriceP]]-DBImplements[[#This Row],[TradeIn$]])/DBImplements[[#This Row],[Life (yr)]]/DBImplements[[#This Row],[Use (ac/yr)]]</f>
        <v>4.0024929295374427</v>
      </c>
      <c r="AY166" s="37">
        <f>((DBImplements[[#This Row],[PriceP]]+DBImplements[[#This Row],[TradeIn$]])/2*(Equipment!$CS$256+Equipment!$CS$257+Equipment!$CS$258)+DBImplements[[#This Row],[Shed (ft^2)]]*Equipment!$CS$260)/DBImplements[[#This Row],[Use (ac/yr)]]</f>
        <v>3.3912243098659935</v>
      </c>
      <c r="AZ166" s="55">
        <f>DBImplements[[#This Row],[PriceL]]*(VLOOKUP(DBImplements[[#This Row],[ASABEtype]],DB_ASABECoef[],2)*(DBImplements[[#This Row],[Life (yr)]]*DBImplements[[#This Row],[Use (hr/yr)]]/1000)^VLOOKUP(DBImplements[[#This Row],[ASABEtype]],DB_ASABECoef[],3))/DBImplements[[#This Row],[Life (yr)]]/DBImplements[[#This Row],[Use (ac/yr)]]</f>
        <v>1.1841505432978439</v>
      </c>
      <c r="BA166" s="14">
        <f>Equipment!$CS$265/(DBImplements[[#This Row],[Width]]*DBImplements[[#This Row],[Speed]]*DBImplements[[#This Row],[Efficiency]])</f>
        <v>5.3921568627450983E-2</v>
      </c>
      <c r="BB166" s="14">
        <f>DBImplements[[#This Row],[EquipHrs (hr/ac)]]*DBImplements[[#This Row],[LaborUse]]</f>
        <v>5.5E-2</v>
      </c>
      <c r="BC166" s="39">
        <f>SUM(DBImplements[[#This Row],[Depr ($/ac)]:[OH ($/ac)]])</f>
        <v>7.3937172394034363</v>
      </c>
      <c r="BD166" s="40">
        <v>2</v>
      </c>
      <c r="BE166" s="12" t="s">
        <v>235</v>
      </c>
      <c r="BF166"/>
      <c r="BG166" s="191"/>
      <c r="BH166"/>
      <c r="BI166"/>
      <c r="BJ166"/>
      <c r="BK166"/>
      <c r="BL166"/>
      <c r="BM166"/>
      <c r="BN166"/>
      <c r="BO166"/>
      <c r="BP166"/>
      <c r="BQ166"/>
      <c r="BR166"/>
      <c r="BS166"/>
      <c r="BT166"/>
      <c r="BU166"/>
      <c r="BV166"/>
      <c r="BW166"/>
      <c r="BX166"/>
      <c r="BY166"/>
      <c r="BZ166"/>
      <c r="CA166"/>
      <c r="CB166" s="191"/>
      <c r="CC166"/>
      <c r="CD166"/>
      <c r="CE166"/>
      <c r="CF166"/>
      <c r="CG166"/>
      <c r="CH166"/>
      <c r="CI166"/>
      <c r="CJ166"/>
      <c r="CK166"/>
      <c r="CL166"/>
      <c r="CM166"/>
      <c r="CN166"/>
      <c r="CO166"/>
      <c r="CP166" s="252"/>
    </row>
    <row r="167" spans="22:120" ht="16.5">
      <c r="V167" s="191"/>
      <c r="W167"/>
      <c r="X167"/>
      <c r="Y167"/>
      <c r="Z167"/>
      <c r="AA167"/>
      <c r="AB167"/>
      <c r="AC167" s="191"/>
      <c r="AD167"/>
      <c r="AE167" s="12" t="str">
        <f>DBImplements[[#This Row],[Implement type]]&amp;", "&amp;DBImplements[[#This Row],[Width]]&amp;" "&amp;DBImplements[[#This Row],[Width Unit]]</f>
        <v>Chisel plow, 55 Ft Folding</v>
      </c>
      <c r="AF167" s="28" t="s">
        <v>75</v>
      </c>
      <c r="AG167" s="29">
        <v>55</v>
      </c>
      <c r="AH167" s="28" t="str">
        <f t="shared" si="14"/>
        <v>Ft Folding</v>
      </c>
      <c r="AI167" s="29"/>
      <c r="AJ167" s="29"/>
      <c r="AK167" s="30">
        <v>141000</v>
      </c>
      <c r="AL167" s="31">
        <v>0.1</v>
      </c>
      <c r="AM167" s="32">
        <f t="shared" si="12"/>
        <v>156666.66666666666</v>
      </c>
      <c r="AN167" s="29">
        <v>12</v>
      </c>
      <c r="AO167" s="29">
        <v>60</v>
      </c>
      <c r="AP167" s="33">
        <f t="shared" si="13"/>
        <v>1700</v>
      </c>
      <c r="AQ167" s="29" t="s">
        <v>75</v>
      </c>
      <c r="AR167" s="29">
        <v>5</v>
      </c>
      <c r="AS167" s="31">
        <v>0.85</v>
      </c>
      <c r="AT167" s="31">
        <v>1.02</v>
      </c>
      <c r="AU167" s="29">
        <v>370</v>
      </c>
      <c r="AV167"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0.30248724410907551</v>
      </c>
      <c r="AW167" s="53">
        <f>DBImplements[[#This Row],[TradeIn%]]*DBImplements[[#This Row],[PriceL]]</f>
        <v>47389.668243755164</v>
      </c>
      <c r="AX167" s="54">
        <f>(DBImplements[[#This Row],[PriceP]]-DBImplements[[#This Row],[TradeIn$]])/DBImplements[[#This Row],[Life (yr)]]/DBImplements[[#This Row],[Use (ac/yr)]]</f>
        <v>4.5887417527570999</v>
      </c>
      <c r="AY167" s="37">
        <f>((DBImplements[[#This Row],[PriceP]]+DBImplements[[#This Row],[TradeIn$]])/2*(Equipment!$CS$256+Equipment!$CS$257+Equipment!$CS$258)+DBImplements[[#This Row],[Shed (ft^2)]]*Equipment!$CS$260)/DBImplements[[#This Row],[Use (ac/yr)]]</f>
        <v>3.7294017547707679</v>
      </c>
      <c r="AZ167" s="55">
        <f>DBImplements[[#This Row],[PriceL]]*(VLOOKUP(DBImplements[[#This Row],[ASABEtype]],DB_ASABECoef[],2)*(DBImplements[[#This Row],[Life (yr)]]*DBImplements[[#This Row],[Use (hr/yr)]]/1000)^VLOOKUP(DBImplements[[#This Row],[ASABEtype]],DB_ASABECoef[],3))/DBImplements[[#This Row],[Life (yr)]]/DBImplements[[#This Row],[Use (ac/yr)]]</f>
        <v>1.3575941632478499</v>
      </c>
      <c r="BA167" s="14">
        <f>Equipment!$CS$265/(DBImplements[[#This Row],[Width]]*DBImplements[[#This Row],[Speed]]*DBImplements[[#This Row],[Efficiency]])</f>
        <v>3.5294117647058823E-2</v>
      </c>
      <c r="BB167" s="14">
        <f>DBImplements[[#This Row],[EquipHrs (hr/ac)]]*DBImplements[[#This Row],[LaborUse]]</f>
        <v>3.5999999999999997E-2</v>
      </c>
      <c r="BC167" s="39">
        <f>SUM(DBImplements[[#This Row],[Depr ($/ac)]:[OH ($/ac)]])</f>
        <v>8.3181435075278678</v>
      </c>
      <c r="BD167" s="40">
        <v>3</v>
      </c>
      <c r="BE167" s="12" t="s">
        <v>235</v>
      </c>
      <c r="BF167"/>
      <c r="BG167" s="191"/>
      <c r="BH167"/>
      <c r="BI167"/>
      <c r="BJ167"/>
      <c r="BK167"/>
      <c r="BL167"/>
      <c r="BM167"/>
      <c r="BN167"/>
      <c r="BO167"/>
      <c r="BP167"/>
      <c r="BQ167"/>
      <c r="BR167"/>
      <c r="BS167"/>
      <c r="BT167"/>
      <c r="BU167"/>
      <c r="BV167"/>
      <c r="BW167"/>
      <c r="BX167"/>
      <c r="BY167"/>
      <c r="BZ167"/>
      <c r="CA167"/>
      <c r="CB167" s="191"/>
      <c r="CC167"/>
      <c r="CD167"/>
      <c r="CE167"/>
      <c r="CF167"/>
      <c r="CG167"/>
      <c r="CH167"/>
      <c r="CI167"/>
      <c r="CJ167"/>
      <c r="CK167"/>
      <c r="CL167"/>
      <c r="CM167"/>
      <c r="CN167"/>
      <c r="CO167"/>
      <c r="CP167" s="252"/>
    </row>
    <row r="168" spans="22:120" ht="16.5">
      <c r="V168" s="191"/>
      <c r="W168"/>
      <c r="X168"/>
      <c r="Y168"/>
      <c r="Z168"/>
      <c r="AA168"/>
      <c r="AB168"/>
      <c r="AC168" s="191"/>
      <c r="AD168"/>
      <c r="AE168" s="12" t="str">
        <f>DBImplements[[#This Row],[Implement type]]&amp;", "&amp;DBImplements[[#This Row],[Width]]&amp;" "&amp;DBImplements[[#This Row],[Width Unit]]</f>
        <v>Chisel plow, front dsk , 16 Ft Folding</v>
      </c>
      <c r="AF168" s="58" t="s">
        <v>83</v>
      </c>
      <c r="AG168" s="29">
        <v>16</v>
      </c>
      <c r="AH168" s="28" t="str">
        <f t="shared" si="14"/>
        <v>Ft Folding</v>
      </c>
      <c r="AI168" s="29"/>
      <c r="AJ168" s="29"/>
      <c r="AK168" s="30">
        <v>37500</v>
      </c>
      <c r="AL168" s="31">
        <v>0.1</v>
      </c>
      <c r="AM168" s="32">
        <f t="shared" si="12"/>
        <v>41666.666666666664</v>
      </c>
      <c r="AN168" s="29">
        <v>12</v>
      </c>
      <c r="AO168" s="29">
        <v>80</v>
      </c>
      <c r="AP168" s="33">
        <f t="shared" si="13"/>
        <v>659.39393939393938</v>
      </c>
      <c r="AQ168" s="29" t="s">
        <v>84</v>
      </c>
      <c r="AR168" s="29">
        <v>5</v>
      </c>
      <c r="AS168" s="31">
        <v>0.85</v>
      </c>
      <c r="AT168" s="31">
        <v>1.02</v>
      </c>
      <c r="AU168" s="29">
        <v>225</v>
      </c>
      <c r="AV168"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0.34143443659524941</v>
      </c>
      <c r="AW168" s="53">
        <f>DBImplements[[#This Row],[TradeIn%]]*DBImplements[[#This Row],[PriceL]]</f>
        <v>14226.434858135392</v>
      </c>
      <c r="AX168" s="54">
        <f>(DBImplements[[#This Row],[PriceP]]-DBImplements[[#This Row],[TradeIn$]])/DBImplements[[#This Row],[Life (yr)]]/DBImplements[[#This Row],[Use (ac/yr)]]</f>
        <v>2.9412823593808675</v>
      </c>
      <c r="AY168" s="37">
        <f>((DBImplements[[#This Row],[PriceP]]+DBImplements[[#This Row],[TradeIn$]])/2*(Equipment!$CS$256+Equipment!$CS$257+Equipment!$CS$258)+DBImplements[[#This Row],[Shed (ft^2)]]*Equipment!$CS$260)/DBImplements[[#This Row],[Use (ac/yr)]]</f>
        <v>2.8213613476154431</v>
      </c>
      <c r="AZ168" s="55">
        <f>DBImplements[[#This Row],[PriceL]]*(VLOOKUP(DBImplements[[#This Row],[ASABEtype]],DB_ASABECoef[],2)*(DBImplements[[#This Row],[Life (yr)]]*DBImplements[[#This Row],[Use (hr/yr)]]/1000)^VLOOKUP(DBImplements[[#This Row],[ASABEtype]],DB_ASABECoef[],3))/DBImplements[[#This Row],[Life (yr)]]/DBImplements[[#This Row],[Use (ac/yr)]]</f>
        <v>0.88429294945912251</v>
      </c>
      <c r="BA168" s="14">
        <f>Equipment!$CS$265/(DBImplements[[#This Row],[Width]]*DBImplements[[#This Row],[Speed]]*DBImplements[[#This Row],[Efficiency]])</f>
        <v>0.12132352941176471</v>
      </c>
      <c r="BB168" s="14">
        <f>DBImplements[[#This Row],[EquipHrs (hr/ac)]]*DBImplements[[#This Row],[LaborUse]]</f>
        <v>0.12375</v>
      </c>
      <c r="BC168" s="39">
        <f>SUM(DBImplements[[#This Row],[Depr ($/ac)]:[OH ($/ac)]])</f>
        <v>5.762643706996311</v>
      </c>
      <c r="BD168" s="40">
        <v>4</v>
      </c>
      <c r="BE168" s="12" t="s">
        <v>235</v>
      </c>
      <c r="BF168"/>
      <c r="BG168" s="191"/>
      <c r="BH168"/>
      <c r="BI168"/>
      <c r="BJ168"/>
      <c r="BK168"/>
      <c r="BL168"/>
      <c r="BM168"/>
      <c r="BN168"/>
      <c r="BO168"/>
      <c r="BP168"/>
      <c r="BQ168"/>
      <c r="BR168"/>
      <c r="BS168"/>
      <c r="BT168"/>
      <c r="BU168"/>
      <c r="BV168"/>
      <c r="BW168"/>
      <c r="BX168"/>
      <c r="BY168"/>
      <c r="BZ168"/>
      <c r="CA168"/>
      <c r="CB168" s="191"/>
      <c r="CC168"/>
      <c r="CD168"/>
      <c r="CE168"/>
      <c r="CF168"/>
      <c r="CG168"/>
      <c r="CH168"/>
      <c r="CI168"/>
      <c r="CJ168"/>
      <c r="CK168"/>
      <c r="CL168"/>
      <c r="CM168"/>
      <c r="CN168"/>
      <c r="CO168"/>
      <c r="CP168" s="252"/>
    </row>
    <row r="169" spans="22:120" ht="16.5">
      <c r="V169" s="191"/>
      <c r="W169"/>
      <c r="X169"/>
      <c r="Y169"/>
      <c r="Z169"/>
      <c r="AA169"/>
      <c r="AB169"/>
      <c r="AC169" s="191"/>
      <c r="AD169"/>
      <c r="AE169" s="12" t="str">
        <f>DBImplements[[#This Row],[Implement type]]&amp;", "&amp;DBImplements[[#This Row],[Width]]&amp;" "&amp;DBImplements[[#This Row],[Width Unit]]</f>
        <v>Chisel plow, front dsk , 21 Ft Folding</v>
      </c>
      <c r="AF169" s="58" t="s">
        <v>83</v>
      </c>
      <c r="AG169" s="29">
        <v>21</v>
      </c>
      <c r="AH169" s="28" t="str">
        <f t="shared" si="14"/>
        <v>Ft Folding</v>
      </c>
      <c r="AI169" s="29"/>
      <c r="AJ169" s="29"/>
      <c r="AK169" s="30">
        <v>59000</v>
      </c>
      <c r="AL169" s="31">
        <v>0.1</v>
      </c>
      <c r="AM169" s="32">
        <f t="shared" si="12"/>
        <v>65555.555555555547</v>
      </c>
      <c r="AN169" s="29">
        <v>12</v>
      </c>
      <c r="AO169" s="29">
        <v>80</v>
      </c>
      <c r="AP169" s="33">
        <f t="shared" si="13"/>
        <v>865.4545454545455</v>
      </c>
      <c r="AQ169" s="29" t="s">
        <v>84</v>
      </c>
      <c r="AR169" s="29">
        <v>5</v>
      </c>
      <c r="AS169" s="31">
        <v>0.85</v>
      </c>
      <c r="AT169" s="31">
        <v>1.02</v>
      </c>
      <c r="AU169" s="29">
        <v>225</v>
      </c>
      <c r="AV169"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0.34143443659524941</v>
      </c>
      <c r="AW169" s="53">
        <f>DBImplements[[#This Row],[TradeIn%]]*DBImplements[[#This Row],[PriceL]]</f>
        <v>22382.924176799683</v>
      </c>
      <c r="AX169" s="54">
        <f>(DBImplements[[#This Row],[PriceP]]-DBImplements[[#This Row],[TradeIn$]])/DBImplements[[#This Row],[Life (yr)]]/DBImplements[[#This Row],[Use (ac/yr)]]</f>
        <v>3.5258038695308422</v>
      </c>
      <c r="AY169" s="37">
        <f>((DBImplements[[#This Row],[PriceP]]+DBImplements[[#This Row],[TradeIn$]])/2*(Equipment!$CS$256+Equipment!$CS$257+Equipment!$CS$258)+DBImplements[[#This Row],[Shed (ft^2)]]*Equipment!$CS$260)/DBImplements[[#This Row],[Use (ac/yr)]]</f>
        <v>3.2375843700189968</v>
      </c>
      <c r="AZ169" s="55">
        <f>DBImplements[[#This Row],[PriceL]]*(VLOOKUP(DBImplements[[#This Row],[ASABEtype]],DB_ASABECoef[],2)*(DBImplements[[#This Row],[Life (yr)]]*DBImplements[[#This Row],[Use (hr/yr)]]/1000)^VLOOKUP(DBImplements[[#This Row],[ASABEtype]],DB_ASABECoef[],3))/DBImplements[[#This Row],[Life (yr)]]/DBImplements[[#This Row],[Use (ac/yr)]]</f>
        <v>1.060028627669094</v>
      </c>
      <c r="BA169" s="14">
        <f>Equipment!$CS$265/(DBImplements[[#This Row],[Width]]*DBImplements[[#This Row],[Speed]]*DBImplements[[#This Row],[Efficiency]])</f>
        <v>9.2436974789915971E-2</v>
      </c>
      <c r="BB169" s="14">
        <f>DBImplements[[#This Row],[EquipHrs (hr/ac)]]*DBImplements[[#This Row],[LaborUse]]</f>
        <v>9.4285714285714292E-2</v>
      </c>
      <c r="BC169" s="39">
        <f>SUM(DBImplements[[#This Row],[Depr ($/ac)]:[OH ($/ac)]])</f>
        <v>6.7633882395498386</v>
      </c>
      <c r="BD169" s="40">
        <v>5</v>
      </c>
      <c r="BE169" s="12" t="s">
        <v>235</v>
      </c>
      <c r="BF169"/>
      <c r="BG169" s="191"/>
      <c r="BH169"/>
      <c r="BI169"/>
      <c r="BJ169"/>
      <c r="BK169"/>
      <c r="BL169"/>
      <c r="BM169"/>
      <c r="BN169"/>
      <c r="BO169"/>
      <c r="BP169"/>
      <c r="BQ169"/>
      <c r="BR169"/>
      <c r="BS169"/>
      <c r="BT169"/>
      <c r="BU169"/>
      <c r="BV169"/>
      <c r="BW169"/>
      <c r="BX169"/>
      <c r="BY169"/>
      <c r="BZ169"/>
      <c r="CA169"/>
      <c r="CB169" s="191"/>
      <c r="CC169"/>
      <c r="CD169"/>
      <c r="CE169"/>
      <c r="CF169"/>
      <c r="CG169"/>
      <c r="CH169"/>
      <c r="CI169"/>
      <c r="CJ169"/>
      <c r="CK169"/>
      <c r="CL169"/>
      <c r="CM169"/>
      <c r="CN169"/>
      <c r="CO169"/>
      <c r="CP169" s="252"/>
    </row>
    <row r="170" spans="22:120" ht="16.5">
      <c r="V170" s="191"/>
      <c r="W170"/>
      <c r="X170"/>
      <c r="Y170"/>
      <c r="Z170"/>
      <c r="AA170"/>
      <c r="AB170"/>
      <c r="AC170" s="191"/>
      <c r="AD170"/>
      <c r="AE170" s="12" t="str">
        <f>DBImplements[[#This Row],[Implement type]]&amp;", "&amp;DBImplements[[#This Row],[Width]]&amp;" "&amp;DBImplements[[#This Row],[Width Unit]]</f>
        <v>Moldboard plow, 12 Ft</v>
      </c>
      <c r="AF170" s="28" t="s">
        <v>89</v>
      </c>
      <c r="AG170" s="29">
        <v>12</v>
      </c>
      <c r="AH170" s="28" t="str">
        <f t="shared" si="14"/>
        <v>Ft</v>
      </c>
      <c r="AI170" s="29">
        <v>8</v>
      </c>
      <c r="AJ170" s="58" t="s">
        <v>90</v>
      </c>
      <c r="AK170" s="30">
        <v>59500</v>
      </c>
      <c r="AL170" s="31">
        <v>0.1</v>
      </c>
      <c r="AM170" s="32">
        <v>27777.777777777777</v>
      </c>
      <c r="AN170" s="29">
        <v>12</v>
      </c>
      <c r="AO170" s="29">
        <v>120</v>
      </c>
      <c r="AP170" s="33">
        <v>667.63636363636363</v>
      </c>
      <c r="AQ170" s="29" t="s">
        <v>89</v>
      </c>
      <c r="AR170" s="29">
        <v>4.5</v>
      </c>
      <c r="AS170" s="31">
        <v>0.85</v>
      </c>
      <c r="AT170" s="31">
        <v>1.02</v>
      </c>
      <c r="AU170" s="29">
        <v>150</v>
      </c>
      <c r="AV170"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0.43541084589966828</v>
      </c>
      <c r="AW170" s="53">
        <f>DBImplements[[#This Row],[TradeIn%]]*DBImplements[[#This Row],[PriceL]]</f>
        <v>12094.74571943523</v>
      </c>
      <c r="AX170" s="54">
        <f>(DBImplements[[#This Row],[PriceP]]-DBImplements[[#This Row],[TradeIn$]])/DBImplements[[#This Row],[Life (yr)]]/DBImplements[[#This Row],[Use (ac/yr)]]</f>
        <v>5.9170501666463826</v>
      </c>
      <c r="AY170" s="37">
        <f>((DBImplements[[#This Row],[PriceP]]+DBImplements[[#This Row],[TradeIn$]])/2*(Equipment!$CS$256+Equipment!$CS$257+Equipment!$CS$258)+DBImplements[[#This Row],[Shed (ft^2)]]*Equipment!$CS$260)/DBImplements[[#This Row],[Use (ac/yr)]]</f>
        <v>3.622504933515132</v>
      </c>
      <c r="AZ170" s="55">
        <f>DBImplements[[#This Row],[PriceL]]*(VLOOKUP(DBImplements[[#This Row],[ASABEtype]],DB_ASABECoef[],2)*(DBImplements[[#This Row],[Life (yr)]]*DBImplements[[#This Row],[Use (hr/yr)]]/1000)^VLOOKUP(DBImplements[[#This Row],[ASABEtype]],DB_ASABECoef[],3))/DBImplements[[#This Row],[Life (yr)]]/DBImplements[[#This Row],[Use (ac/yr)]]</f>
        <v>3.5947712418300651E-2</v>
      </c>
      <c r="BA170" s="14">
        <f>Equipment!$CS$265/(DBImplements[[#This Row],[Width]]*DBImplements[[#This Row],[Speed]]*DBImplements[[#This Row],[Efficiency]])</f>
        <v>0.17973856209150327</v>
      </c>
      <c r="BB170" s="14">
        <f>DBImplements[[#This Row],[EquipHrs (hr/ac)]]*DBImplements[[#This Row],[LaborUse]]</f>
        <v>0.18333333333333335</v>
      </c>
      <c r="BC170" s="39">
        <f>SUM(DBImplements[[#This Row],[Depr ($/ac)]:[OH ($/ac)]])</f>
        <v>9.5395551001615146</v>
      </c>
      <c r="BD170" s="40">
        <v>7</v>
      </c>
      <c r="BE170" s="12" t="s">
        <v>235</v>
      </c>
      <c r="BF170"/>
      <c r="BG170" s="191"/>
      <c r="BH170"/>
      <c r="BI170"/>
      <c r="BJ170"/>
      <c r="BK170"/>
      <c r="BL170"/>
      <c r="BM170"/>
      <c r="BN170"/>
      <c r="BO170"/>
      <c r="BP170"/>
      <c r="BQ170"/>
      <c r="BR170"/>
      <c r="BS170"/>
      <c r="BT170"/>
      <c r="BU170"/>
      <c r="BV170"/>
      <c r="BW170"/>
      <c r="BX170"/>
      <c r="BY170"/>
      <c r="BZ170"/>
      <c r="CA170"/>
      <c r="CB170" s="191"/>
      <c r="CC170"/>
      <c r="CD170"/>
      <c r="CE170"/>
      <c r="CF170"/>
      <c r="CG170"/>
      <c r="CH170"/>
      <c r="CI170"/>
      <c r="CJ170"/>
      <c r="CK170"/>
      <c r="CL170"/>
      <c r="CM170"/>
      <c r="CN170"/>
      <c r="CO170"/>
      <c r="CP170" s="252"/>
      <c r="DL170" s="67"/>
    </row>
    <row r="171" spans="22:120" ht="16.5">
      <c r="V171" s="191"/>
      <c r="W171"/>
      <c r="X171"/>
      <c r="Y171"/>
      <c r="Z171"/>
      <c r="AA171"/>
      <c r="AB171"/>
      <c r="AC171" s="191"/>
      <c r="AD171"/>
      <c r="AE171" s="12" t="str">
        <f>DBImplements[[#This Row],[Implement type]]&amp;", "&amp;DBImplements[[#This Row],[Width]]&amp;" "&amp;DBImplements[[#This Row],[Width Unit]]</f>
        <v>Moldboard plow, 9 Ft</v>
      </c>
      <c r="AF171" s="28" t="s">
        <v>89</v>
      </c>
      <c r="AG171" s="29">
        <v>9</v>
      </c>
      <c r="AH171" s="28" t="str">
        <f t="shared" si="14"/>
        <v>Ft</v>
      </c>
      <c r="AI171" s="29">
        <v>6</v>
      </c>
      <c r="AJ171" s="58" t="s">
        <v>90</v>
      </c>
      <c r="AK171" s="30">
        <v>33000</v>
      </c>
      <c r="AL171" s="31">
        <v>0.1</v>
      </c>
      <c r="AM171" s="32">
        <f>AK171/(1-AL171)</f>
        <v>36666.666666666664</v>
      </c>
      <c r="AN171" s="29">
        <v>12</v>
      </c>
      <c r="AO171" s="29">
        <v>120</v>
      </c>
      <c r="AP171" s="33">
        <f>IF(AND(AR171&lt;&gt;0,AS171&lt;&gt;0),AO171*(AG171*AR171*AS171)/8.25,AO171*AG171)</f>
        <v>500.72727272727275</v>
      </c>
      <c r="AQ171" s="29" t="s">
        <v>89</v>
      </c>
      <c r="AR171" s="29">
        <v>4.5</v>
      </c>
      <c r="AS171" s="31">
        <v>0.85</v>
      </c>
      <c r="AT171" s="31">
        <v>1.02</v>
      </c>
      <c r="AU171" s="29">
        <v>132</v>
      </c>
      <c r="AV171"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0.43541084589966828</v>
      </c>
      <c r="AW171" s="53">
        <f>DBImplements[[#This Row],[TradeIn%]]*DBImplements[[#This Row],[PriceL]]</f>
        <v>15965.064349654502</v>
      </c>
      <c r="AX171" s="54">
        <f>(DBImplements[[#This Row],[PriceP]]-DBImplements[[#This Row],[TradeIn$]])/DBImplements[[#This Row],[Life (yr)]]/DBImplements[[#This Row],[Use (ac/yr)]]</f>
        <v>2.8350322584392469</v>
      </c>
      <c r="AY171" s="37">
        <f>((DBImplements[[#This Row],[PriceP]]+DBImplements[[#This Row],[TradeIn$]])/2*(Equipment!$CS$256+Equipment!$CS$257+Equipment!$CS$258)+DBImplements[[#This Row],[Shed (ft^2)]]*Equipment!$CS$260)/DBImplements[[#This Row],[Use (ac/yr)]]</f>
        <v>3.36026773032544</v>
      </c>
      <c r="AZ171" s="55">
        <f>DBImplements[[#This Row],[PriceL]]*(VLOOKUP(DBImplements[[#This Row],[ASABEtype]],DB_ASABECoef[],2)*(DBImplements[[#This Row],[Life (yr)]]*DBImplements[[#This Row],[Use (hr/yr)]]/1000)^VLOOKUP(DBImplements[[#This Row],[ASABEtype]],DB_ASABECoef[],3))/DBImplements[[#This Row],[Life (yr)]]/DBImplements[[#This Row],[Use (ac/yr)]]</f>
        <v>6.3267973856209136E-2</v>
      </c>
      <c r="BA171" s="14">
        <f>Equipment!$CS$265/(DBImplements[[#This Row],[Width]]*DBImplements[[#This Row],[Speed]]*DBImplements[[#This Row],[Efficiency]])</f>
        <v>0.23965141612200438</v>
      </c>
      <c r="BB171" s="14">
        <f>DBImplements[[#This Row],[EquipHrs (hr/ac)]]*DBImplements[[#This Row],[LaborUse]]</f>
        <v>0.24444444444444446</v>
      </c>
      <c r="BC171" s="39">
        <f>SUM(DBImplements[[#This Row],[Depr ($/ac)]:[OH ($/ac)]])</f>
        <v>6.1952999887646865</v>
      </c>
      <c r="BD171" s="40">
        <v>6</v>
      </c>
      <c r="BE171" s="12" t="s">
        <v>235</v>
      </c>
      <c r="BF171"/>
      <c r="BG171" s="191"/>
      <c r="BH171"/>
      <c r="BI171"/>
      <c r="BJ171"/>
      <c r="BK171"/>
      <c r="BL171"/>
      <c r="BM171"/>
      <c r="BN171"/>
      <c r="BO171"/>
      <c r="BP171"/>
      <c r="BQ171"/>
      <c r="BR171"/>
      <c r="BS171"/>
      <c r="BT171"/>
      <c r="BU171"/>
      <c r="BV171"/>
      <c r="BW171"/>
      <c r="BX171"/>
      <c r="BY171"/>
      <c r="BZ171"/>
      <c r="CA171"/>
      <c r="CB171" s="191"/>
      <c r="CC171"/>
      <c r="CD171"/>
      <c r="CE171"/>
      <c r="CF171"/>
      <c r="CG171"/>
      <c r="CH171"/>
      <c r="CI171"/>
      <c r="CJ171"/>
      <c r="CK171"/>
      <c r="CL171"/>
      <c r="CM171"/>
      <c r="CN171"/>
      <c r="CO171"/>
      <c r="CP171" s="252"/>
    </row>
    <row r="172" spans="22:120" ht="16.5">
      <c r="V172" s="191"/>
      <c r="W172"/>
      <c r="X172"/>
      <c r="Y172"/>
      <c r="Z172"/>
      <c r="AA172"/>
      <c r="AB172"/>
      <c r="AC172" s="191"/>
      <c r="AD172"/>
      <c r="AE172" s="12" t="str">
        <f>DBImplements[[#This Row],[Implement type]]&amp;", "&amp;DBImplements[[#This Row],[Width]]&amp;" "&amp;DBImplements[[#This Row],[Width Unit]]</f>
        <v>Boom sprayer - pull-type, 90 Ft Folding</v>
      </c>
      <c r="AF172" s="58" t="s">
        <v>134</v>
      </c>
      <c r="AG172" s="29">
        <v>90</v>
      </c>
      <c r="AH172" s="28" t="str">
        <f t="shared" si="14"/>
        <v>Ft Folding</v>
      </c>
      <c r="AI172" s="29"/>
      <c r="AJ172" s="29"/>
      <c r="AK172" s="30">
        <v>54500</v>
      </c>
      <c r="AL172" s="31">
        <v>0.1</v>
      </c>
      <c r="AM172" s="32">
        <f>AK172/(1-AL172)</f>
        <v>60555.555555555555</v>
      </c>
      <c r="AN172" s="29">
        <v>12</v>
      </c>
      <c r="AO172" s="29">
        <v>25</v>
      </c>
      <c r="AP172" s="33">
        <f>IF(AND(AR172&lt;&gt;0,AS172&lt;&gt;0),AO172*(AG172*AR172*AS172)/8.25,AO172*AG172)</f>
        <v>1152.2727272727273</v>
      </c>
      <c r="AQ172" s="29" t="s">
        <v>87</v>
      </c>
      <c r="AR172" s="29">
        <v>6.5</v>
      </c>
      <c r="AS172" s="31">
        <v>0.65</v>
      </c>
      <c r="AT172" s="31">
        <v>1.25</v>
      </c>
      <c r="AU172" s="29">
        <v>400</v>
      </c>
      <c r="AV172"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0.47064228743824527</v>
      </c>
      <c r="AW172" s="53">
        <f>DBImplements[[#This Row],[TradeIn%]]*DBImplements[[#This Row],[PriceL]]</f>
        <v>28500.005183760408</v>
      </c>
      <c r="AX172" s="54">
        <f>(DBImplements[[#This Row],[PriceP]]-DBImplements[[#This Row],[TradeIn$]])/DBImplements[[#This Row],[Life (yr)]]/DBImplements[[#This Row],[Use (ac/yr)]]</f>
        <v>1.8803415054479655</v>
      </c>
      <c r="AY172" s="37">
        <f>((DBImplements[[#This Row],[PriceP]]+DBImplements[[#This Row],[TradeIn$]])/2*(Equipment!$CS$256+Equipment!$CS$257+Equipment!$CS$258)+DBImplements[[#This Row],[Shed (ft^2)]]*Equipment!$CS$260)/DBImplements[[#This Row],[Use (ac/yr)]]</f>
        <v>2.6234568243277834</v>
      </c>
      <c r="AZ172" s="55">
        <f>DBImplements[[#This Row],[PriceL]]*(VLOOKUP(DBImplements[[#This Row],[ASABEtype]],DB_ASABECoef[],2)*(DBImplements[[#This Row],[Life (yr)]]*DBImplements[[#This Row],[Use (hr/yr)]]/1000)^VLOOKUP(DBImplements[[#This Row],[ASABEtype]],DB_ASABECoef[],3))/DBImplements[[#This Row],[Life (yr)]]/DBImplements[[#This Row],[Use (ac/yr)]]</f>
        <v>0.3753694740068958</v>
      </c>
      <c r="BA172" s="14">
        <f>Equipment!$CS$265/(DBImplements[[#This Row],[Width]]*DBImplements[[#This Row],[Speed]]*DBImplements[[#This Row],[Efficiency]])</f>
        <v>2.1696252465483234E-2</v>
      </c>
      <c r="BB172" s="14">
        <f>DBImplements[[#This Row],[EquipHrs (hr/ac)]]*DBImplements[[#This Row],[LaborUse]]</f>
        <v>2.7120315581854043E-2</v>
      </c>
      <c r="BC172" s="39">
        <f>SUM(DBImplements[[#This Row],[Depr ($/ac)]:[OH ($/ac)]])</f>
        <v>4.5037983297757487</v>
      </c>
      <c r="BD172" s="40">
        <v>26</v>
      </c>
      <c r="BE172" s="12" t="s">
        <v>242</v>
      </c>
      <c r="BF172"/>
      <c r="BG172" s="191"/>
      <c r="BH172"/>
      <c r="BI172"/>
      <c r="BJ172"/>
      <c r="BK172"/>
      <c r="BL172"/>
      <c r="BM172"/>
      <c r="BN172"/>
      <c r="BO172"/>
      <c r="BP172"/>
      <c r="BQ172"/>
      <c r="BR172"/>
      <c r="BS172"/>
      <c r="BT172"/>
      <c r="BU172"/>
      <c r="BV172"/>
      <c r="BW172"/>
      <c r="BX172"/>
      <c r="BY172"/>
      <c r="BZ172"/>
      <c r="CA172"/>
      <c r="CB172" s="191"/>
      <c r="CC172"/>
      <c r="CD172"/>
      <c r="CE172"/>
      <c r="CF172"/>
      <c r="CG172"/>
      <c r="CH172"/>
      <c r="CI172"/>
      <c r="CJ172"/>
      <c r="CK172"/>
      <c r="CL172"/>
      <c r="CM172"/>
      <c r="CN172"/>
      <c r="CO172"/>
      <c r="CP172" s="252"/>
    </row>
    <row r="173" spans="22:120" ht="16.5">
      <c r="V173" s="191"/>
      <c r="W173"/>
      <c r="X173"/>
      <c r="Y173"/>
      <c r="Z173"/>
      <c r="AA173"/>
      <c r="AB173"/>
      <c r="AC173" s="191"/>
      <c r="AD173"/>
      <c r="AE173" s="12" t="str">
        <f>DBImplements[[#This Row],[Implement type]]&amp;", "&amp;DBImplements[[#This Row],[Width]]&amp;" "&amp;DBImplements[[#This Row],[Width Unit]]</f>
        <v>Boom sprayer - self-propelled, 120 Ft Folding</v>
      </c>
      <c r="AF173" s="28" t="s">
        <v>131</v>
      </c>
      <c r="AG173" s="29">
        <v>120</v>
      </c>
      <c r="AH173" s="28" t="str">
        <f t="shared" si="14"/>
        <v>Ft Folding</v>
      </c>
      <c r="AI173" s="29"/>
      <c r="AJ173" s="29"/>
      <c r="AK173" s="30">
        <v>607500</v>
      </c>
      <c r="AL173" s="31">
        <v>0.1</v>
      </c>
      <c r="AM173" s="32">
        <f>AK173/(1-AL173)</f>
        <v>675000</v>
      </c>
      <c r="AN173" s="29">
        <v>12</v>
      </c>
      <c r="AO173" s="29">
        <v>100</v>
      </c>
      <c r="AP173" s="33">
        <f>IF(AND(AR173&lt;&gt;0,AS173&lt;&gt;0),AO173*(AG173*AR173*AS173)/8.25,AO173*AG173)</f>
        <v>6618.181818181818</v>
      </c>
      <c r="AQ173" s="29" t="s">
        <v>132</v>
      </c>
      <c r="AR173" s="29">
        <v>7</v>
      </c>
      <c r="AS173" s="31">
        <v>0.65</v>
      </c>
      <c r="AT173" s="31">
        <v>1.25</v>
      </c>
      <c r="AU173" s="29">
        <v>200</v>
      </c>
      <c r="AV173"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0.29407083603500145</v>
      </c>
      <c r="AW173" s="53">
        <f>DBImplements[[#This Row],[TradeIn%]]*DBImplements[[#This Row],[PriceL]]</f>
        <v>198497.81432362596</v>
      </c>
      <c r="AX173" s="54">
        <f>(DBImplements[[#This Row],[PriceP]]-DBImplements[[#This Row],[TradeIn$]])/DBImplements[[#This Row],[Life (yr)]]/DBImplements[[#This Row],[Use (ac/yr)]]</f>
        <v>5.1499817335624023</v>
      </c>
      <c r="AY173" s="37">
        <f>((DBImplements[[#This Row],[PriceP]]+DBImplements[[#This Row],[TradeIn$]])/2*(Equipment!$CS$256+Equipment!$CS$257+Equipment!$CS$258)+DBImplements[[#This Row],[Shed (ft^2)]]*Equipment!$CS$260)/DBImplements[[#This Row],[Use (ac/yr)]]</f>
        <v>3.8959755270809007</v>
      </c>
      <c r="AZ173" s="55">
        <f>DBImplements[[#This Row],[PriceL]]*(VLOOKUP(DBImplements[[#This Row],[ASABEtype]],DB_ASABECoef[],2)*(DBImplements[[#This Row],[Life (yr)]]*DBImplements[[#This Row],[Use (hr/yr)]]/1000)^VLOOKUP(DBImplements[[#This Row],[ASABEtype]],DB_ASABECoef[],3))/DBImplements[[#This Row],[Life (yr)]]/DBImplements[[#This Row],[Use (ac/yr)]]</f>
        <v>1.8650329047913965</v>
      </c>
      <c r="BA173" s="14">
        <f>Equipment!$CS$265/(DBImplements[[#This Row],[Width]]*DBImplements[[#This Row],[Speed]]*DBImplements[[#This Row],[Efficiency]])</f>
        <v>1.510989010989011E-2</v>
      </c>
      <c r="BB173" s="14">
        <f>DBImplements[[#This Row],[EquipHrs (hr/ac)]]*DBImplements[[#This Row],[LaborUse]]</f>
        <v>1.8887362637362636E-2</v>
      </c>
      <c r="BC173" s="39">
        <f>SUM(DBImplements[[#This Row],[Depr ($/ac)]:[OH ($/ac)]])</f>
        <v>9.0459572606433021</v>
      </c>
      <c r="BD173" s="40">
        <v>25</v>
      </c>
      <c r="BE173" s="12" t="s">
        <v>242</v>
      </c>
      <c r="BF173"/>
      <c r="BG173" s="191"/>
      <c r="BH173"/>
      <c r="BI173"/>
      <c r="BJ173"/>
      <c r="BK173"/>
      <c r="BL173"/>
      <c r="BM173"/>
      <c r="BN173"/>
      <c r="BO173"/>
      <c r="BP173"/>
      <c r="BQ173"/>
      <c r="BR173"/>
      <c r="BS173"/>
      <c r="BT173"/>
      <c r="BU173"/>
      <c r="BV173"/>
      <c r="BW173"/>
      <c r="BX173"/>
      <c r="BY173"/>
      <c r="BZ173"/>
      <c r="CA173"/>
      <c r="CB173" s="191"/>
      <c r="CC173"/>
      <c r="CD173"/>
      <c r="CE173"/>
      <c r="CF173"/>
      <c r="CG173"/>
      <c r="CH173"/>
      <c r="CI173"/>
      <c r="CJ173"/>
      <c r="CK173"/>
      <c r="CL173"/>
      <c r="CM173"/>
      <c r="CN173"/>
      <c r="CO173"/>
      <c r="CP173" s="252"/>
      <c r="CT173" s="17"/>
      <c r="CU173" s="17"/>
      <c r="CV173" s="17"/>
      <c r="CW173" s="17"/>
      <c r="CX173" s="17"/>
      <c r="CY173" s="17"/>
      <c r="CZ173" s="17"/>
      <c r="DA173" s="17"/>
      <c r="DB173" s="17"/>
      <c r="DC173" s="17"/>
      <c r="DD173" s="17"/>
      <c r="DE173" s="17"/>
      <c r="DF173" s="17"/>
      <c r="DG173" s="17"/>
      <c r="DH173" s="17"/>
      <c r="DI173" s="17"/>
      <c r="DJ173" s="17"/>
      <c r="DK173" s="17"/>
      <c r="DL173" s="17"/>
      <c r="DM173" s="17"/>
      <c r="DN173" s="17"/>
      <c r="DO173" s="17"/>
      <c r="DP173" s="17"/>
    </row>
    <row r="174" spans="22:120" ht="16.5">
      <c r="V174" s="191"/>
      <c r="W174"/>
      <c r="X174"/>
      <c r="Y174"/>
      <c r="Z174"/>
      <c r="AA174"/>
      <c r="AB174"/>
      <c r="AC174" s="191"/>
      <c r="AD174"/>
      <c r="AE174" s="12" t="str">
        <f>DBImplements[[#This Row],[Implement type]]&amp;", "&amp;DBImplements[[#This Row],[Width]]&amp;" "&amp;DBImplements[[#This Row],[Width Unit]]</f>
        <v>Row cultivator, 30 Ft Folding</v>
      </c>
      <c r="AF174" s="28" t="s">
        <v>128</v>
      </c>
      <c r="AG174" s="29">
        <v>30</v>
      </c>
      <c r="AH174" s="28" t="str">
        <f t="shared" si="14"/>
        <v>Ft Folding</v>
      </c>
      <c r="AI174" s="29">
        <v>12</v>
      </c>
      <c r="AJ174" s="29" t="s">
        <v>110</v>
      </c>
      <c r="AK174" s="30">
        <v>48000</v>
      </c>
      <c r="AL174" s="31">
        <v>0.1</v>
      </c>
      <c r="AM174" s="32">
        <f>AK174/(1-AL174)</f>
        <v>53333.333333333328</v>
      </c>
      <c r="AN174" s="29">
        <v>12</v>
      </c>
      <c r="AO174" s="29">
        <v>100</v>
      </c>
      <c r="AP174" s="33">
        <f>IF(AND(AR174&lt;&gt;0,AS174&lt;&gt;0),AO174*(AG174*AR174*AS174)/8.25,AO174*AG174)</f>
        <v>1545.4545454545455</v>
      </c>
      <c r="AQ174" s="29" t="s">
        <v>129</v>
      </c>
      <c r="AR174" s="29">
        <v>5</v>
      </c>
      <c r="AS174" s="31">
        <v>0.85</v>
      </c>
      <c r="AT174" s="31">
        <v>1.04</v>
      </c>
      <c r="AU174" s="29">
        <v>140</v>
      </c>
      <c r="AV174" s="52">
        <f>(VLOOKUP(DBImplements[[#This Row],[ASABEtype]],DB_ASABECoef[],5)-VLOOKUP(DBImplements[[#This Row],[ASABEtype]],DB_ASABECoef[],6)*DBImplements[[#This Row],[Life (yr)]]^0.5-VLOOKUP(DBImplements[[#This Row],[ASABEtype]],DB_ASABECoef[],7)*DBImplements[[#This Row],[Use (hr/yr)]]^0.5+VLOOKUP(DBImplements[[#This Row],[ASABEtype]],DB_ASABECoef[],8)*Equipment!$CS$264)^2+0.25*VLOOKUP(DBImplements[[#This Row],[ASABEtype]],DB_ASABECoef[],9)</f>
        <v>0.30248724410907551</v>
      </c>
      <c r="AW174" s="53">
        <f>DBImplements[[#This Row],[TradeIn%]]*DBImplements[[#This Row],[PriceL]]</f>
        <v>16132.653019150692</v>
      </c>
      <c r="AX174" s="54">
        <f>(DBImplements[[#This Row],[PriceP]]-DBImplements[[#This Row],[TradeIn$]])/DBImplements[[#This Row],[Life (yr)]]/DBImplements[[#This Row],[Use (ac/yr)]]</f>
        <v>1.7183373372026589</v>
      </c>
      <c r="AY174" s="37">
        <f>((DBImplements[[#This Row],[PriceP]]+DBImplements[[#This Row],[TradeIn$]])/2*(Equipment!$CS$256+Equipment!$CS$257+Equipment!$CS$258)+DBImplements[[#This Row],[Shed (ft^2)]]*Equipment!$CS$260)/DBImplements[[#This Row],[Use (ac/yr)]]</f>
        <v>1.4053486041301528</v>
      </c>
      <c r="AZ174" s="55">
        <f>DBImplements[[#This Row],[PriceL]]*(VLOOKUP(DBImplements[[#This Row],[ASABEtype]],DB_ASABECoef[],2)*(DBImplements[[#This Row],[Life (yr)]]*DBImplements[[#This Row],[Use (hr/yr)]]/1000)^VLOOKUP(DBImplements[[#This Row],[ASABEtype]],DB_ASABECoef[],3))/DBImplements[[#This Row],[Life (yr)]]/DBImplements[[#This Row],[Use (ac/yr)]]</f>
        <v>0.73014465169300014</v>
      </c>
      <c r="BA174" s="14">
        <f>Equipment!$CS$265/(DBImplements[[#This Row],[Width]]*DBImplements[[#This Row],[Speed]]*DBImplements[[#This Row],[Efficiency]])</f>
        <v>6.4705882352941183E-2</v>
      </c>
      <c r="BB174" s="14">
        <f>DBImplements[[#This Row],[EquipHrs (hr/ac)]]*DBImplements[[#This Row],[LaborUse]]</f>
        <v>6.7294117647058838E-2</v>
      </c>
      <c r="BC174" s="39">
        <f>SUM(DBImplements[[#This Row],[Depr ($/ac)]:[OH ($/ac)]])</f>
        <v>3.1236859413328117</v>
      </c>
      <c r="BD174" s="40">
        <v>24</v>
      </c>
      <c r="BE174" s="12" t="s">
        <v>242</v>
      </c>
      <c r="BF174"/>
      <c r="BG174" s="191"/>
      <c r="BH174"/>
      <c r="BI174"/>
      <c r="BJ174"/>
      <c r="BK174"/>
      <c r="BL174"/>
      <c r="BM174"/>
      <c r="BN174"/>
      <c r="BO174"/>
      <c r="BP174"/>
      <c r="BQ174"/>
      <c r="BR174"/>
      <c r="BS174"/>
      <c r="BT174"/>
      <c r="BU174"/>
      <c r="BV174"/>
      <c r="BW174"/>
      <c r="BX174"/>
      <c r="BY174"/>
      <c r="BZ174"/>
      <c r="CA174"/>
      <c r="CB174" s="191"/>
      <c r="CC174"/>
      <c r="CD174"/>
      <c r="CE174"/>
      <c r="CF174"/>
      <c r="CG174"/>
      <c r="CH174"/>
      <c r="CI174"/>
      <c r="CJ174"/>
      <c r="CK174"/>
      <c r="CL174"/>
      <c r="CM174"/>
      <c r="CN174"/>
      <c r="CO174"/>
      <c r="CP174" s="252"/>
    </row>
    <row r="175" spans="22:120" ht="16.5">
      <c r="V175" s="191"/>
      <c r="W175"/>
      <c r="X175"/>
      <c r="Y175"/>
      <c r="Z175"/>
      <c r="AA175"/>
      <c r="AB175"/>
      <c r="AC175" s="191"/>
      <c r="AD175"/>
      <c r="AE175"/>
      <c r="AF175"/>
      <c r="AG175"/>
      <c r="AH175"/>
      <c r="AI175"/>
      <c r="AJ175"/>
      <c r="AK175"/>
      <c r="AL175"/>
      <c r="AM175"/>
      <c r="AN175"/>
      <c r="AO175"/>
      <c r="AP175"/>
      <c r="AQ175"/>
      <c r="AR175"/>
      <c r="AS175"/>
      <c r="AT175"/>
      <c r="AU175"/>
      <c r="AV175"/>
      <c r="AW175"/>
      <c r="AX175"/>
      <c r="AY175"/>
      <c r="AZ175"/>
      <c r="BA175"/>
      <c r="BB175"/>
      <c r="BC175"/>
      <c r="BD175"/>
      <c r="BE175"/>
      <c r="BF175"/>
      <c r="BG175" s="191"/>
      <c r="BH175"/>
      <c r="BI175"/>
      <c r="BJ175"/>
      <c r="BK175"/>
      <c r="BL175"/>
      <c r="BM175"/>
      <c r="BN175"/>
      <c r="BO175"/>
      <c r="BP175"/>
      <c r="BQ175"/>
      <c r="BR175"/>
      <c r="BS175"/>
      <c r="BT175"/>
      <c r="BU175"/>
      <c r="BV175"/>
      <c r="BW175"/>
      <c r="BX175"/>
      <c r="BY175"/>
      <c r="BZ175"/>
      <c r="CA175"/>
      <c r="CB175" s="191"/>
      <c r="CC175"/>
      <c r="CD175"/>
      <c r="CE175"/>
      <c r="CF175"/>
      <c r="CG175"/>
      <c r="CH175"/>
      <c r="CI175"/>
      <c r="CJ175"/>
      <c r="CK175"/>
      <c r="CL175"/>
      <c r="CM175"/>
      <c r="CN175"/>
      <c r="CO175"/>
      <c r="CP175" s="252"/>
    </row>
    <row r="176" spans="22:120" ht="16.5">
      <c r="V176" s="191"/>
      <c r="W176" s="191"/>
      <c r="X176" s="191"/>
      <c r="Y176" s="191"/>
      <c r="Z176" s="191"/>
      <c r="AA176" s="191"/>
      <c r="AB176" s="191"/>
      <c r="AC176" s="191"/>
      <c r="AD176" s="191"/>
      <c r="AE176" s="191"/>
      <c r="AF176" s="191"/>
      <c r="AG176" s="191"/>
      <c r="AH176" s="191"/>
      <c r="AI176" s="191"/>
      <c r="AJ176" s="191"/>
      <c r="AK176" s="191"/>
      <c r="AL176" s="191"/>
      <c r="AM176" s="191"/>
      <c r="AN176" s="191"/>
      <c r="AO176" s="191"/>
      <c r="AP176" s="191"/>
      <c r="AQ176" s="191"/>
      <c r="AR176" s="191"/>
      <c r="AS176" s="191"/>
      <c r="AT176" s="191"/>
      <c r="AU176" s="191"/>
      <c r="AV176" s="191"/>
      <c r="AW176" s="191"/>
      <c r="AX176" s="191"/>
      <c r="AY176" s="191"/>
      <c r="AZ176" s="191"/>
      <c r="BA176" s="191"/>
      <c r="BB176" s="191"/>
      <c r="BC176" s="191"/>
      <c r="BD176" s="191"/>
      <c r="BE176" s="191"/>
      <c r="BF176" s="191"/>
      <c r="BG176" s="191"/>
      <c r="BH176" s="191"/>
      <c r="BI176" s="191"/>
      <c r="BJ176" s="191"/>
      <c r="BK176" s="191"/>
      <c r="BL176" s="191"/>
      <c r="BM176" s="191"/>
      <c r="BN176" s="191"/>
      <c r="BO176" s="191"/>
      <c r="BP176" s="191"/>
      <c r="BQ176" s="191"/>
      <c r="BR176" s="191"/>
      <c r="BS176" s="191"/>
      <c r="BT176" s="191"/>
      <c r="BU176" s="191"/>
      <c r="BV176" s="191"/>
      <c r="BW176" s="191"/>
      <c r="BX176" s="191"/>
      <c r="BY176" s="191"/>
      <c r="BZ176" s="191"/>
      <c r="CA176" s="191"/>
      <c r="CB176" s="191"/>
      <c r="CC176" s="191"/>
      <c r="CD176" s="191"/>
      <c r="CE176" s="191"/>
      <c r="CF176" s="191"/>
      <c r="CG176" s="191"/>
      <c r="CH176" s="191"/>
      <c r="CI176" s="191"/>
      <c r="CJ176" s="191"/>
      <c r="CK176" s="191"/>
      <c r="CL176" s="191"/>
      <c r="CM176" s="191"/>
      <c r="CN176" s="191"/>
      <c r="CO176" s="191"/>
      <c r="CP176" s="252"/>
    </row>
    <row r="177" spans="22:94" ht="16.5">
      <c r="V177" s="191"/>
      <c r="W177"/>
      <c r="X177"/>
      <c r="Y177"/>
      <c r="Z177"/>
      <c r="AA177"/>
      <c r="AB177"/>
      <c r="AC177" s="191"/>
      <c r="AD177"/>
      <c r="AE177"/>
      <c r="AF177"/>
      <c r="AG177"/>
      <c r="AH177"/>
      <c r="AI177"/>
      <c r="AJ177"/>
      <c r="AK177"/>
      <c r="AL177"/>
      <c r="AM177"/>
      <c r="AN177"/>
      <c r="AO177"/>
      <c r="AP177"/>
      <c r="AQ177"/>
      <c r="AR177"/>
      <c r="AS177"/>
      <c r="AT177"/>
      <c r="AU177"/>
      <c r="AV177"/>
      <c r="AW177"/>
      <c r="AX177"/>
      <c r="AY177"/>
      <c r="AZ177"/>
      <c r="BA177"/>
      <c r="BB177"/>
      <c r="BC177"/>
      <c r="BD177"/>
      <c r="BE177"/>
      <c r="BF177"/>
      <c r="BG177" s="191"/>
      <c r="BH177"/>
      <c r="CB177" s="191"/>
      <c r="CC177"/>
      <c r="CD177"/>
      <c r="CE177"/>
      <c r="CF177"/>
      <c r="CG177"/>
      <c r="CH177"/>
      <c r="CI177"/>
      <c r="CJ177"/>
      <c r="CK177"/>
      <c r="CL177"/>
      <c r="CM177"/>
      <c r="CN177"/>
      <c r="CO177"/>
      <c r="CP177" s="252"/>
    </row>
    <row r="178" spans="22:94" ht="16.5">
      <c r="V178" s="191"/>
      <c r="W178"/>
      <c r="X178"/>
      <c r="Y178"/>
      <c r="Z178"/>
      <c r="AA178"/>
      <c r="AB178"/>
      <c r="AC178" s="191"/>
      <c r="AD178"/>
      <c r="AE178"/>
      <c r="AF178"/>
      <c r="AG178"/>
      <c r="AH178"/>
      <c r="AI178"/>
      <c r="AJ178"/>
      <c r="AK178"/>
      <c r="AL178"/>
      <c r="AM178"/>
      <c r="AN178"/>
      <c r="AO178"/>
      <c r="AP178"/>
      <c r="AQ178"/>
      <c r="AR178"/>
      <c r="AS178"/>
      <c r="AT178"/>
      <c r="AU178"/>
      <c r="AV178"/>
      <c r="AW178"/>
      <c r="AX178"/>
      <c r="AY178"/>
      <c r="AZ178"/>
      <c r="BA178"/>
      <c r="BB178"/>
      <c r="BC178"/>
      <c r="BD178"/>
      <c r="BE178"/>
      <c r="BF178"/>
      <c r="BG178" s="191"/>
      <c r="BH178"/>
      <c r="BI178" s="12">
        <v>1</v>
      </c>
      <c r="BJ178" s="12">
        <v>2</v>
      </c>
      <c r="BK178" s="12">
        <v>3</v>
      </c>
      <c r="BL178" s="12">
        <v>4</v>
      </c>
      <c r="BM178" s="12">
        <v>5</v>
      </c>
      <c r="BN178" s="12">
        <v>6</v>
      </c>
      <c r="BO178" s="12">
        <v>7</v>
      </c>
      <c r="BP178" s="12">
        <v>8</v>
      </c>
      <c r="BQ178" s="12">
        <v>9</v>
      </c>
      <c r="BR178" s="12">
        <v>10</v>
      </c>
      <c r="BS178" s="12">
        <v>11</v>
      </c>
      <c r="BT178" s="12">
        <v>12</v>
      </c>
      <c r="BU178" s="12">
        <v>13</v>
      </c>
      <c r="BV178" s="12">
        <v>14</v>
      </c>
      <c r="BW178" s="12">
        <v>15</v>
      </c>
      <c r="BX178" s="12">
        <v>16</v>
      </c>
      <c r="BY178" s="12">
        <v>17</v>
      </c>
      <c r="BZ178" s="12">
        <v>18</v>
      </c>
      <c r="CB178" s="191"/>
      <c r="CC178"/>
      <c r="CD178"/>
      <c r="CE178"/>
      <c r="CF178"/>
      <c r="CG178"/>
      <c r="CH178"/>
      <c r="CI178"/>
      <c r="CJ178"/>
      <c r="CK178"/>
      <c r="CL178"/>
      <c r="CM178"/>
      <c r="CN178"/>
      <c r="CO178"/>
      <c r="CP178" s="252"/>
    </row>
    <row r="179" spans="22:94" ht="16.5">
      <c r="V179" s="191"/>
      <c r="W179"/>
      <c r="X179"/>
      <c r="Y179"/>
      <c r="Z179"/>
      <c r="AA179"/>
      <c r="AB179"/>
      <c r="AC179" s="191"/>
      <c r="AD179"/>
      <c r="AE179"/>
      <c r="AF179"/>
      <c r="AG179"/>
      <c r="AH179"/>
      <c r="AI179"/>
      <c r="AJ179"/>
      <c r="AK179"/>
      <c r="AL179"/>
      <c r="AM179"/>
      <c r="AN179"/>
      <c r="AO179"/>
      <c r="AP179"/>
      <c r="AQ179"/>
      <c r="AR179"/>
      <c r="AS179"/>
      <c r="AT179"/>
      <c r="AU179"/>
      <c r="AV179"/>
      <c r="AW179"/>
      <c r="AX179"/>
      <c r="AY179"/>
      <c r="AZ179"/>
      <c r="BA179"/>
      <c r="BB179"/>
      <c r="BC179"/>
      <c r="BD179"/>
      <c r="BE179"/>
      <c r="BF179"/>
      <c r="BG179" s="191"/>
      <c r="BH179"/>
      <c r="BI179" s="16" t="s">
        <v>222</v>
      </c>
      <c r="BK179" s="17"/>
      <c r="BL179" s="18"/>
      <c r="BM179" s="17"/>
      <c r="BN179" s="19"/>
      <c r="BO179" s="17"/>
      <c r="BP179" s="20"/>
      <c r="BQ179" s="21"/>
      <c r="BR179" s="20"/>
      <c r="BS179" s="20"/>
      <c r="CB179" s="191"/>
      <c r="CC179"/>
      <c r="CD179"/>
      <c r="CE179"/>
      <c r="CF179"/>
      <c r="CG179"/>
      <c r="CH179"/>
      <c r="CI179"/>
      <c r="CJ179"/>
      <c r="CK179"/>
      <c r="CL179"/>
      <c r="CM179"/>
      <c r="CN179"/>
      <c r="CO179"/>
      <c r="CP179" s="252"/>
    </row>
    <row r="180" spans="22:94" ht="32">
      <c r="V180" s="191"/>
      <c r="W180"/>
      <c r="X180"/>
      <c r="Y180"/>
      <c r="Z180"/>
      <c r="AA180"/>
      <c r="AB180"/>
      <c r="AC180" s="191"/>
      <c r="AD180"/>
      <c r="AE180"/>
      <c r="AF180"/>
      <c r="AG180"/>
      <c r="AH180"/>
      <c r="AI180"/>
      <c r="AJ180"/>
      <c r="AK180"/>
      <c r="AL180"/>
      <c r="AM180"/>
      <c r="AN180"/>
      <c r="AO180"/>
      <c r="AP180"/>
      <c r="AQ180"/>
      <c r="AR180"/>
      <c r="AS180"/>
      <c r="AT180"/>
      <c r="AU180"/>
      <c r="AV180"/>
      <c r="AW180"/>
      <c r="AX180"/>
      <c r="AY180"/>
      <c r="AZ180"/>
      <c r="BA180"/>
      <c r="BB180"/>
      <c r="BC180"/>
      <c r="BD180"/>
      <c r="BE180"/>
      <c r="BF180"/>
      <c r="BG180" s="191"/>
      <c r="BH180"/>
      <c r="BI180" s="23" t="s">
        <v>53</v>
      </c>
      <c r="BJ180" s="24" t="s">
        <v>54</v>
      </c>
      <c r="BK180" s="24" t="s">
        <v>55</v>
      </c>
      <c r="BL180" s="25" t="s">
        <v>446</v>
      </c>
      <c r="BM180" s="25" t="s">
        <v>36</v>
      </c>
      <c r="BN180" s="25" t="s">
        <v>447</v>
      </c>
      <c r="BO180" s="25" t="s">
        <v>38</v>
      </c>
      <c r="BP180" s="25" t="s">
        <v>39</v>
      </c>
      <c r="BQ180" s="26" t="s">
        <v>56</v>
      </c>
      <c r="BR180" s="23" t="s">
        <v>41</v>
      </c>
      <c r="BS180" s="25" t="s">
        <v>45</v>
      </c>
      <c r="BT180" s="25" t="s">
        <v>46</v>
      </c>
      <c r="BU180" s="25" t="s">
        <v>47</v>
      </c>
      <c r="BV180" s="25" t="s">
        <v>57</v>
      </c>
      <c r="BW180" s="25" t="s">
        <v>58</v>
      </c>
      <c r="BX180" s="25" t="s">
        <v>59</v>
      </c>
      <c r="BY180" s="25" t="s">
        <v>60</v>
      </c>
      <c r="BZ180" s="25" t="s">
        <v>61</v>
      </c>
      <c r="CB180" s="191"/>
      <c r="CC180"/>
      <c r="CD180"/>
      <c r="CE180"/>
      <c r="CF180"/>
      <c r="CG180"/>
      <c r="CH180"/>
      <c r="CI180"/>
      <c r="CJ180"/>
      <c r="CK180"/>
      <c r="CL180"/>
      <c r="CM180"/>
      <c r="CN180"/>
      <c r="CO180"/>
      <c r="CP180" s="252"/>
    </row>
    <row r="181" spans="22:94" ht="16.5">
      <c r="V181" s="191"/>
      <c r="W181"/>
      <c r="X181"/>
      <c r="Y181"/>
      <c r="Z181"/>
      <c r="AA181"/>
      <c r="AB181"/>
      <c r="AC181" s="191"/>
      <c r="AD181"/>
      <c r="AE181"/>
      <c r="AF181"/>
      <c r="AG181"/>
      <c r="AH181"/>
      <c r="AI181"/>
      <c r="AJ181"/>
      <c r="AK181"/>
      <c r="AL181"/>
      <c r="AM181"/>
      <c r="AN181"/>
      <c r="AO181"/>
      <c r="AP181"/>
      <c r="AQ181"/>
      <c r="AR181"/>
      <c r="AS181"/>
      <c r="AT181"/>
      <c r="AU181"/>
      <c r="AV181"/>
      <c r="AW181"/>
      <c r="AX181"/>
      <c r="AY181"/>
      <c r="AZ181"/>
      <c r="BA181"/>
      <c r="BB181"/>
      <c r="BC181"/>
      <c r="BD181"/>
      <c r="BE181"/>
      <c r="BF181"/>
      <c r="BG181" s="191"/>
      <c r="BH181"/>
      <c r="BI181" s="41" t="str">
        <f t="shared" ref="BI181:BI198" si="15">CONCATENATE(BJ181&amp;" "&amp;BK181)</f>
        <v>40 HP TWD</v>
      </c>
      <c r="BJ181" s="42">
        <v>40</v>
      </c>
      <c r="BK181" s="29" t="s">
        <v>232</v>
      </c>
      <c r="BL181" s="30">
        <v>33000</v>
      </c>
      <c r="BM181" s="31">
        <v>0</v>
      </c>
      <c r="BN181" s="80">
        <f t="shared" ref="BN181:BN198" si="16">BL181/(1-BM181)</f>
        <v>33000</v>
      </c>
      <c r="BO181" s="29">
        <v>12</v>
      </c>
      <c r="BP181" s="29">
        <v>400</v>
      </c>
      <c r="BQ181" s="29">
        <v>4.3999999999999997E-2</v>
      </c>
      <c r="BR181" s="29" t="s">
        <v>77</v>
      </c>
      <c r="BS181" s="29">
        <v>92</v>
      </c>
      <c r="BT181"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0.50000827367939404</v>
      </c>
      <c r="BU181" s="44">
        <f>DBPower[[#This Row],[TradeIn%]]*DBPower[[#This Row],[List price]]</f>
        <v>16500.273031420002</v>
      </c>
      <c r="BV181" s="45">
        <f>(DBPower[[#This Row],[Purchase price]]-DBPower[[#This Row],[TradeIn$]])/DBPower[[#This Row],[Life (yr)]]/DBPower[[#This Row],[Use (hr/yr)]]</f>
        <v>3.4374431184541665</v>
      </c>
      <c r="BW181" s="46">
        <f>((DBPower[[#This Row],[Purchase price]]+DBPower[[#This Row],[TradeIn$]])/2*(Equipment!$CS$256+Equipment!$CS$257+Equipment!$CS$258)+DBPower[[#This Row],[Shed (ft^2)]]*Equipment!$CS$260)/DBPower[[#This Row],[Use (hr/yr)]]</f>
        <v>4.15200453339693</v>
      </c>
      <c r="BX181" s="47">
        <f>DBPower[[#This Row],[List price]]*(VLOOKUP(DBPower[[#This Row],[ASABEtype]],DB_ASABECoef[],2)*(DBPower[[#This Row],[Life (yr)]]*DBPower[[#This Row],[Use (hr/yr)]]/1000)^VLOOKUP(DBPower[[#This Row],[ASABEtype]],DB_ASABECoef[],3))/DBPower[[#This Row],[Life (yr)]]/DBPower[[#This Row],[Use (hr/yr)]]</f>
        <v>1.1088</v>
      </c>
      <c r="BY181" s="48">
        <f>DBPower[[#This Row],[Fuel (gal/hph)]]*DBPower[[#This Row],[HP]]*(1+Equipment!$CS$259)</f>
        <v>1.9359999999999999</v>
      </c>
      <c r="BZ181" s="46">
        <f t="shared" ref="BZ181:BZ198" si="17">SUM(BV181:BW181)</f>
        <v>7.5894476518510965</v>
      </c>
      <c r="CB181" s="191"/>
      <c r="CC181"/>
      <c r="CD181"/>
      <c r="CE181"/>
      <c r="CF181"/>
      <c r="CG181"/>
      <c r="CH181"/>
      <c r="CI181"/>
      <c r="CJ181"/>
      <c r="CK181"/>
      <c r="CL181"/>
      <c r="CM181"/>
      <c r="CN181"/>
      <c r="CO181"/>
      <c r="CP181" s="252"/>
    </row>
    <row r="182" spans="22:94" ht="16.5">
      <c r="V182" s="191"/>
      <c r="W182"/>
      <c r="X182"/>
      <c r="Y182"/>
      <c r="Z182"/>
      <c r="AA182"/>
      <c r="AB182"/>
      <c r="AC182" s="191"/>
      <c r="AD182"/>
      <c r="AE182"/>
      <c r="AF182"/>
      <c r="AG182"/>
      <c r="AH182"/>
      <c r="AI182"/>
      <c r="AJ182"/>
      <c r="AK182"/>
      <c r="AL182"/>
      <c r="AM182"/>
      <c r="AN182"/>
      <c r="AO182"/>
      <c r="AP182"/>
      <c r="AQ182"/>
      <c r="AR182"/>
      <c r="AS182"/>
      <c r="AT182"/>
      <c r="AU182"/>
      <c r="AV182"/>
      <c r="AW182"/>
      <c r="AX182"/>
      <c r="AY182"/>
      <c r="AZ182"/>
      <c r="BA182"/>
      <c r="BB182"/>
      <c r="BC182"/>
      <c r="BD182"/>
      <c r="BE182"/>
      <c r="BF182"/>
      <c r="BG182" s="191"/>
      <c r="BH182"/>
      <c r="BI182" s="41" t="str">
        <f t="shared" si="15"/>
        <v>60 HP TWD</v>
      </c>
      <c r="BJ182" s="42">
        <v>60</v>
      </c>
      <c r="BK182" s="29" t="s">
        <v>232</v>
      </c>
      <c r="BL182" s="30">
        <v>37000</v>
      </c>
      <c r="BM182" s="31">
        <v>0</v>
      </c>
      <c r="BN182" s="80">
        <f t="shared" si="16"/>
        <v>37000</v>
      </c>
      <c r="BO182" s="29">
        <v>12</v>
      </c>
      <c r="BP182" s="29">
        <v>400</v>
      </c>
      <c r="BQ182" s="29">
        <v>4.3999999999999997E-2</v>
      </c>
      <c r="BR182" s="29" t="s">
        <v>77</v>
      </c>
      <c r="BS182" s="29">
        <v>104</v>
      </c>
      <c r="BT182"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0.50000827367939404</v>
      </c>
      <c r="BU182" s="44">
        <f>DBPower[[#This Row],[TradeIn%]]*DBPower[[#This Row],[List price]]</f>
        <v>18500.306126137581</v>
      </c>
      <c r="BV182" s="46">
        <f>(DBPower[[#This Row],[Purchase price]]-DBPower[[#This Row],[TradeIn$]])/DBPower[[#This Row],[Life (yr)]]/DBPower[[#This Row],[Use (hr/yr)]]</f>
        <v>3.8541028903880039</v>
      </c>
      <c r="BW182" s="46">
        <f>((DBPower[[#This Row],[Purchase price]]+DBPower[[#This Row],[TradeIn$]])/2*(Equipment!$CS$256+Equipment!$CS$257+Equipment!$CS$258)+DBPower[[#This Row],[Shed (ft^2)]]*Equipment!$CS$260)/DBPower[[#This Row],[Use (hr/yr)]]</f>
        <v>4.6573337291850905</v>
      </c>
      <c r="BX182" s="49">
        <f>DBPower[[#This Row],[List price]]*(VLOOKUP(DBPower[[#This Row],[ASABEtype]],DB_ASABECoef[],2)*(DBPower[[#This Row],[Life (yr)]]*DBPower[[#This Row],[Use (hr/yr)]]/1000)^VLOOKUP(DBPower[[#This Row],[ASABEtype]],DB_ASABECoef[],3))/DBPower[[#This Row],[Life (yr)]]/DBPower[[#This Row],[Use (hr/yr)]]</f>
        <v>1.2432000000000001</v>
      </c>
      <c r="BY182" s="48">
        <f>DBPower[[#This Row],[Fuel (gal/hph)]]*DBPower[[#This Row],[HP]]*(1+Equipment!$CS$259)</f>
        <v>2.9039999999999999</v>
      </c>
      <c r="BZ182" s="46">
        <f t="shared" si="17"/>
        <v>8.5114366195730948</v>
      </c>
      <c r="CB182" s="191"/>
      <c r="CC182"/>
      <c r="CD182"/>
      <c r="CE182"/>
      <c r="CF182"/>
      <c r="CG182"/>
      <c r="CH182"/>
      <c r="CI182"/>
      <c r="CJ182"/>
      <c r="CK182"/>
      <c r="CL182"/>
      <c r="CM182"/>
      <c r="CN182"/>
      <c r="CO182"/>
      <c r="CP182" s="252"/>
    </row>
    <row r="183" spans="22:94" ht="16.5">
      <c r="V183" s="191"/>
      <c r="W183"/>
      <c r="X183"/>
      <c r="Y183"/>
      <c r="Z183"/>
      <c r="AA183"/>
      <c r="AB183"/>
      <c r="AC183" s="191"/>
      <c r="AD183"/>
      <c r="AE183"/>
      <c r="AF183"/>
      <c r="AG183"/>
      <c r="AH183"/>
      <c r="AI183"/>
      <c r="AJ183"/>
      <c r="AK183"/>
      <c r="AL183"/>
      <c r="AM183"/>
      <c r="AN183"/>
      <c r="AO183"/>
      <c r="AP183"/>
      <c r="AQ183"/>
      <c r="AR183"/>
      <c r="AS183"/>
      <c r="AT183"/>
      <c r="AU183"/>
      <c r="AV183"/>
      <c r="AW183"/>
      <c r="AX183"/>
      <c r="AY183"/>
      <c r="AZ183"/>
      <c r="BA183"/>
      <c r="BB183"/>
      <c r="BC183"/>
      <c r="BD183"/>
      <c r="BE183"/>
      <c r="BF183"/>
      <c r="BG183" s="191"/>
      <c r="BH183"/>
      <c r="BI183" s="41" t="str">
        <f t="shared" si="15"/>
        <v>75 HP TWD</v>
      </c>
      <c r="BJ183" s="42">
        <v>75</v>
      </c>
      <c r="BK183" s="29" t="s">
        <v>232</v>
      </c>
      <c r="BL183" s="30">
        <v>65000</v>
      </c>
      <c r="BM183" s="31">
        <v>0.05</v>
      </c>
      <c r="BN183" s="80">
        <f t="shared" si="16"/>
        <v>68421.052631578947</v>
      </c>
      <c r="BO183" s="29">
        <v>12</v>
      </c>
      <c r="BP183" s="29">
        <v>400</v>
      </c>
      <c r="BQ183" s="29">
        <v>4.3999999999999997E-2</v>
      </c>
      <c r="BR183" s="29" t="s">
        <v>77</v>
      </c>
      <c r="BS183" s="29">
        <v>115</v>
      </c>
      <c r="BT183"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0.50000827367939404</v>
      </c>
      <c r="BU183" s="44">
        <f>DBPower[[#This Row],[TradeIn%]]*DBPower[[#This Row],[List price]]</f>
        <v>34211.092409642748</v>
      </c>
      <c r="BV183" s="46">
        <f>(DBPower[[#This Row],[Purchase price]]-DBPower[[#This Row],[TradeIn$]])/DBPower[[#This Row],[Life (yr)]]/DBPower[[#This Row],[Use (hr/yr)]]</f>
        <v>6.4143557479910944</v>
      </c>
      <c r="BW183" s="46">
        <f>((DBPower[[#This Row],[Purchase price]]+DBPower[[#This Row],[TradeIn$]])/2*(Equipment!$CS$256+Equipment!$CS$257+Equipment!$CS$258)+DBPower[[#This Row],[Shed (ft^2)]]*Equipment!$CS$260)/DBPower[[#This Row],[Use (hr/yr)]]</f>
        <v>8.153530911925353</v>
      </c>
      <c r="BX183" s="49">
        <f>DBPower[[#This Row],[List price]]*(VLOOKUP(DBPower[[#This Row],[ASABEtype]],DB_ASABECoef[],2)*(DBPower[[#This Row],[Life (yr)]]*DBPower[[#This Row],[Use (hr/yr)]]/1000)^VLOOKUP(DBPower[[#This Row],[ASABEtype]],DB_ASABECoef[],3))/DBPower[[#This Row],[Life (yr)]]/DBPower[[#This Row],[Use (hr/yr)]]</f>
        <v>2.2989473684210529</v>
      </c>
      <c r="BY183" s="48">
        <f>DBPower[[#This Row],[Fuel (gal/hph)]]*DBPower[[#This Row],[HP]]*(1+Equipment!$CS$259)</f>
        <v>3.63</v>
      </c>
      <c r="BZ183" s="46">
        <f t="shared" si="17"/>
        <v>14.567886659916446</v>
      </c>
      <c r="CB183" s="191"/>
      <c r="CC183"/>
      <c r="CD183"/>
      <c r="CE183"/>
      <c r="CF183"/>
      <c r="CG183"/>
      <c r="CH183"/>
      <c r="CI183"/>
      <c r="CJ183"/>
      <c r="CK183"/>
      <c r="CL183"/>
      <c r="CM183"/>
      <c r="CN183"/>
      <c r="CO183"/>
      <c r="CP183" s="252"/>
    </row>
    <row r="184" spans="22:94" ht="16.5">
      <c r="V184" s="191"/>
      <c r="W184"/>
      <c r="X184"/>
      <c r="Y184"/>
      <c r="Z184"/>
      <c r="AA184"/>
      <c r="AB184"/>
      <c r="AC184" s="191"/>
      <c r="AD184"/>
      <c r="AE184"/>
      <c r="AF184"/>
      <c r="AG184"/>
      <c r="AH184"/>
      <c r="AI184"/>
      <c r="AJ184"/>
      <c r="AK184"/>
      <c r="AL184"/>
      <c r="AM184"/>
      <c r="AN184"/>
      <c r="AO184"/>
      <c r="AP184"/>
      <c r="AQ184"/>
      <c r="AR184"/>
      <c r="AS184"/>
      <c r="AT184"/>
      <c r="AU184"/>
      <c r="AV184"/>
      <c r="AW184"/>
      <c r="AX184"/>
      <c r="AY184"/>
      <c r="AZ184"/>
      <c r="BA184"/>
      <c r="BB184"/>
      <c r="BC184"/>
      <c r="BD184"/>
      <c r="BE184"/>
      <c r="BF184"/>
      <c r="BG184" s="191"/>
      <c r="BH184"/>
      <c r="BI184" s="41" t="str">
        <f t="shared" si="15"/>
        <v>105 HP MFWD</v>
      </c>
      <c r="BJ184" s="42">
        <v>105</v>
      </c>
      <c r="BK184" s="29" t="s">
        <v>85</v>
      </c>
      <c r="BL184" s="30">
        <v>92600</v>
      </c>
      <c r="BM184" s="31">
        <v>0.1</v>
      </c>
      <c r="BN184" s="80">
        <f t="shared" si="16"/>
        <v>102888.88888888889</v>
      </c>
      <c r="BO184" s="29">
        <v>12</v>
      </c>
      <c r="BP184" s="29">
        <v>450</v>
      </c>
      <c r="BQ184" s="29">
        <v>4.3999999999999997E-2</v>
      </c>
      <c r="BR184" s="29" t="s">
        <v>86</v>
      </c>
      <c r="BS184" s="29">
        <v>127</v>
      </c>
      <c r="BT184"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0.39069400204389637</v>
      </c>
      <c r="BU184" s="44">
        <f>DBPower[[#This Row],[TradeIn%]]*DBPower[[#This Row],[List price]]</f>
        <v>40198.071765849782</v>
      </c>
      <c r="BV184" s="46">
        <f>(DBPower[[#This Row],[Purchase price]]-DBPower[[#This Row],[TradeIn$]])/DBPower[[#This Row],[Life (yr)]]/DBPower[[#This Row],[Use (hr/yr)]]</f>
        <v>9.7040607841018911</v>
      </c>
      <c r="BW184" s="46">
        <f>((DBPower[[#This Row],[Purchase price]]+DBPower[[#This Row],[TradeIn$]])/2*(Equipment!$CS$256+Equipment!$CS$257+Equipment!$CS$258)+DBPower[[#This Row],[Shed (ft^2)]]*Equipment!$CS$260)/DBPower[[#This Row],[Use (hr/yr)]]</f>
        <v>9.643176859750433</v>
      </c>
      <c r="BX184" s="49">
        <f>DBPower[[#This Row],[List price]]*(VLOOKUP(DBPower[[#This Row],[ASABEtype]],DB_ASABECoef[],2)*(DBPower[[#This Row],[Life (yr)]]*DBPower[[#This Row],[Use (hr/yr)]]/1000)^VLOOKUP(DBPower[[#This Row],[ASABEtype]],DB_ASABECoef[],3))/DBPower[[#This Row],[Life (yr)]]/DBPower[[#This Row],[Use (hr/yr)]]</f>
        <v>2.7780000000000005</v>
      </c>
      <c r="BY184" s="48">
        <f>DBPower[[#This Row],[Fuel (gal/hph)]]*DBPower[[#This Row],[HP]]*(1+Equipment!$CS$259)</f>
        <v>5.0820000000000007</v>
      </c>
      <c r="BZ184" s="46">
        <f t="shared" si="17"/>
        <v>19.347237643852324</v>
      </c>
      <c r="CB184" s="191"/>
      <c r="CC184"/>
      <c r="CD184"/>
      <c r="CE184"/>
      <c r="CF184"/>
      <c r="CG184"/>
      <c r="CH184"/>
      <c r="CI184"/>
      <c r="CJ184"/>
      <c r="CK184"/>
      <c r="CL184"/>
      <c r="CM184"/>
      <c r="CN184"/>
      <c r="CO184"/>
      <c r="CP184" s="252"/>
    </row>
    <row r="185" spans="22:94" ht="16.5">
      <c r="V185" s="191"/>
      <c r="W185"/>
      <c r="X185"/>
      <c r="Y185"/>
      <c r="Z185"/>
      <c r="AA185"/>
      <c r="AB185"/>
      <c r="AC185" s="191"/>
      <c r="AD185"/>
      <c r="AE185"/>
      <c r="AF185"/>
      <c r="AG185"/>
      <c r="AH185"/>
      <c r="AI185"/>
      <c r="AJ185"/>
      <c r="AK185"/>
      <c r="AL185"/>
      <c r="AM185"/>
      <c r="AN185"/>
      <c r="AO185"/>
      <c r="AP185"/>
      <c r="AQ185"/>
      <c r="AR185"/>
      <c r="AS185"/>
      <c r="AT185"/>
      <c r="AU185"/>
      <c r="AV185"/>
      <c r="AW185"/>
      <c r="AX185"/>
      <c r="AY185"/>
      <c r="AZ185"/>
      <c r="BA185"/>
      <c r="BB185"/>
      <c r="BC185"/>
      <c r="BD185"/>
      <c r="BE185"/>
      <c r="BF185"/>
      <c r="BG185" s="191"/>
      <c r="BH185"/>
      <c r="BI185" s="41" t="str">
        <f t="shared" si="15"/>
        <v>130 HP MFWD</v>
      </c>
      <c r="BJ185" s="42">
        <v>130</v>
      </c>
      <c r="BK185" s="29" t="s">
        <v>85</v>
      </c>
      <c r="BL185" s="30">
        <v>153000</v>
      </c>
      <c r="BM185" s="31">
        <v>0.1</v>
      </c>
      <c r="BN185" s="80">
        <f t="shared" si="16"/>
        <v>170000</v>
      </c>
      <c r="BO185" s="29">
        <v>12</v>
      </c>
      <c r="BP185" s="29">
        <v>450</v>
      </c>
      <c r="BQ185" s="29">
        <v>4.3999999999999997E-2</v>
      </c>
      <c r="BR185" s="29" t="s">
        <v>86</v>
      </c>
      <c r="BS185" s="29">
        <v>130</v>
      </c>
      <c r="BT185"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0.39069400204389637</v>
      </c>
      <c r="BU185" s="44">
        <f>DBPower[[#This Row],[TradeIn%]]*DBPower[[#This Row],[List price]]</f>
        <v>66417.980347462377</v>
      </c>
      <c r="BV185" s="46">
        <f>(DBPower[[#This Row],[Purchase price]]-DBPower[[#This Row],[TradeIn$]])/DBPower[[#This Row],[Life (yr)]]/DBPower[[#This Row],[Use (hr/yr)]]</f>
        <v>16.033707343062524</v>
      </c>
      <c r="BW185" s="46">
        <f>((DBPower[[#This Row],[Purchase price]]+DBPower[[#This Row],[TradeIn$]])/2*(Equipment!$CS$256+Equipment!$CS$257+Equipment!$CS$258)+DBPower[[#This Row],[Shed (ft^2)]]*Equipment!$CS$260)/DBPower[[#This Row],[Use (hr/yr)]]</f>
        <v>15.761154091651978</v>
      </c>
      <c r="BX185" s="49">
        <f>DBPower[[#This Row],[List price]]*(VLOOKUP(DBPower[[#This Row],[ASABEtype]],DB_ASABECoef[],2)*(DBPower[[#This Row],[Life (yr)]]*DBPower[[#This Row],[Use (hr/yr)]]/1000)^VLOOKUP(DBPower[[#This Row],[ASABEtype]],DB_ASABECoef[],3))/DBPower[[#This Row],[Life (yr)]]/DBPower[[#This Row],[Use (hr/yr)]]</f>
        <v>4.5900000000000007</v>
      </c>
      <c r="BY185" s="48">
        <f>DBPower[[#This Row],[Fuel (gal/hph)]]*DBPower[[#This Row],[HP]]*(1+Equipment!$CS$259)</f>
        <v>6.2919999999999998</v>
      </c>
      <c r="BZ185" s="46">
        <f t="shared" si="17"/>
        <v>31.794861434714502</v>
      </c>
      <c r="CB185" s="191"/>
      <c r="CC185"/>
      <c r="CD185"/>
      <c r="CE185"/>
      <c r="CF185"/>
      <c r="CG185"/>
      <c r="CH185"/>
      <c r="CI185"/>
      <c r="CJ185"/>
      <c r="CK185"/>
      <c r="CL185"/>
      <c r="CM185"/>
      <c r="CN185"/>
      <c r="CO185"/>
      <c r="CP185" s="252"/>
    </row>
    <row r="186" spans="22:94" ht="16.5">
      <c r="V186" s="191"/>
      <c r="W186"/>
      <c r="X186"/>
      <c r="Y186"/>
      <c r="Z186"/>
      <c r="AA186"/>
      <c r="AB186"/>
      <c r="AC186" s="191"/>
      <c r="AD186"/>
      <c r="AE186"/>
      <c r="AF186"/>
      <c r="AG186"/>
      <c r="AH186"/>
      <c r="AI186"/>
      <c r="AJ186"/>
      <c r="AK186"/>
      <c r="AL186"/>
      <c r="AM186"/>
      <c r="AN186"/>
      <c r="AO186"/>
      <c r="AP186"/>
      <c r="AQ186"/>
      <c r="AR186"/>
      <c r="AS186"/>
      <c r="AT186"/>
      <c r="AU186"/>
      <c r="AV186"/>
      <c r="AW186"/>
      <c r="AX186"/>
      <c r="AY186"/>
      <c r="AZ186"/>
      <c r="BA186"/>
      <c r="BB186"/>
      <c r="BC186"/>
      <c r="BD186"/>
      <c r="BE186"/>
      <c r="BF186"/>
      <c r="BG186" s="191"/>
      <c r="BH186"/>
      <c r="BI186" s="41" t="str">
        <f t="shared" si="15"/>
        <v>160 HP MFWD</v>
      </c>
      <c r="BJ186" s="42">
        <v>160</v>
      </c>
      <c r="BK186" s="29" t="s">
        <v>85</v>
      </c>
      <c r="BL186" s="30">
        <v>178000</v>
      </c>
      <c r="BM186" s="31">
        <v>0.1</v>
      </c>
      <c r="BN186" s="80">
        <f t="shared" si="16"/>
        <v>197777.77777777778</v>
      </c>
      <c r="BO186" s="29">
        <v>12</v>
      </c>
      <c r="BP186" s="29">
        <v>500</v>
      </c>
      <c r="BQ186" s="29">
        <v>4.3999999999999997E-2</v>
      </c>
      <c r="BR186" s="29" t="s">
        <v>86</v>
      </c>
      <c r="BS186" s="29">
        <v>200</v>
      </c>
      <c r="BT186"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0.38584357259292823</v>
      </c>
      <c r="BU186" s="44">
        <f>DBPower[[#This Row],[TradeIn%]]*DBPower[[#This Row],[List price]]</f>
        <v>76311.284357268029</v>
      </c>
      <c r="BV186" s="46">
        <f>(DBPower[[#This Row],[Purchase price]]-DBPower[[#This Row],[TradeIn$]])/DBPower[[#This Row],[Life (yr)]]/DBPower[[#This Row],[Use (hr/yr)]]</f>
        <v>16.948119273788663</v>
      </c>
      <c r="BW186" s="46">
        <f>((DBPower[[#This Row],[Purchase price]]+DBPower[[#This Row],[TradeIn$]])/2*(Equipment!$CS$256+Equipment!$CS$257+Equipment!$CS$258)+DBPower[[#This Row],[Shed (ft^2)]]*Equipment!$CS$260)/DBPower[[#This Row],[Use (hr/yr)]]</f>
        <v>16.53645414195255</v>
      </c>
      <c r="BX186" s="49">
        <f>DBPower[[#This Row],[List price]]*(VLOOKUP(DBPower[[#This Row],[ASABEtype]],DB_ASABECoef[],2)*(DBPower[[#This Row],[Life (yr)]]*DBPower[[#This Row],[Use (hr/yr)]]/1000)^VLOOKUP(DBPower[[#This Row],[ASABEtype]],DB_ASABECoef[],3))/DBPower[[#This Row],[Life (yr)]]/DBPower[[#This Row],[Use (hr/yr)]]</f>
        <v>5.9333333333333327</v>
      </c>
      <c r="BY186" s="48">
        <f>DBPower[[#This Row],[Fuel (gal/hph)]]*DBPower[[#This Row],[HP]]*(1+Equipment!$CS$259)</f>
        <v>7.7439999999999998</v>
      </c>
      <c r="BZ186" s="46">
        <f t="shared" si="17"/>
        <v>33.48457341574121</v>
      </c>
      <c r="CB186" s="191"/>
      <c r="CC186"/>
      <c r="CD186"/>
      <c r="CE186"/>
      <c r="CF186"/>
      <c r="CG186"/>
      <c r="CH186"/>
      <c r="CI186"/>
      <c r="CJ186"/>
      <c r="CK186"/>
      <c r="CL186"/>
      <c r="CM186"/>
      <c r="CN186"/>
      <c r="CO186"/>
      <c r="CP186" s="252"/>
    </row>
    <row r="187" spans="22:94" ht="16.5">
      <c r="V187" s="191"/>
      <c r="W187"/>
      <c r="X187"/>
      <c r="Y187"/>
      <c r="Z187"/>
      <c r="AA187"/>
      <c r="AB187"/>
      <c r="AC187" s="191"/>
      <c r="AD187"/>
      <c r="AE187"/>
      <c r="AF187"/>
      <c r="AG187"/>
      <c r="AH187"/>
      <c r="AI187"/>
      <c r="AJ187"/>
      <c r="AK187"/>
      <c r="AL187"/>
      <c r="AM187"/>
      <c r="AN187"/>
      <c r="AO187"/>
      <c r="AP187"/>
      <c r="AQ187"/>
      <c r="AR187"/>
      <c r="AS187"/>
      <c r="AT187"/>
      <c r="AU187"/>
      <c r="AV187"/>
      <c r="AW187"/>
      <c r="AX187"/>
      <c r="AY187"/>
      <c r="AZ187"/>
      <c r="BA187"/>
      <c r="BB187"/>
      <c r="BC187"/>
      <c r="BD187"/>
      <c r="BE187"/>
      <c r="BF187"/>
      <c r="BG187" s="191"/>
      <c r="BH187"/>
      <c r="BI187" s="41" t="str">
        <f t="shared" si="15"/>
        <v>200 HP MFWD</v>
      </c>
      <c r="BJ187" s="42">
        <v>200</v>
      </c>
      <c r="BK187" s="29" t="s">
        <v>85</v>
      </c>
      <c r="BL187" s="30">
        <v>262000</v>
      </c>
      <c r="BM187" s="31">
        <v>0.1</v>
      </c>
      <c r="BN187" s="80">
        <f t="shared" si="16"/>
        <v>291111.11111111112</v>
      </c>
      <c r="BO187" s="29">
        <v>12</v>
      </c>
      <c r="BP187" s="29">
        <v>500</v>
      </c>
      <c r="BQ187" s="29">
        <v>4.3999999999999997E-2</v>
      </c>
      <c r="BR187" s="29" t="s">
        <v>86</v>
      </c>
      <c r="BS187" s="29">
        <v>210</v>
      </c>
      <c r="BT187"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0.38584357259292823</v>
      </c>
      <c r="BU187" s="44">
        <f>DBPower[[#This Row],[TradeIn%]]*DBPower[[#This Row],[List price]]</f>
        <v>112323.351132608</v>
      </c>
      <c r="BV187" s="46">
        <f>(DBPower[[#This Row],[Purchase price]]-DBPower[[#This Row],[TradeIn$]])/DBPower[[#This Row],[Life (yr)]]/DBPower[[#This Row],[Use (hr/yr)]]</f>
        <v>24.946108144565329</v>
      </c>
      <c r="BW187" s="46">
        <f>((DBPower[[#This Row],[Purchase price]]+DBPower[[#This Row],[TradeIn$]])/2*(Equipment!$CS$256+Equipment!$CS$257+Equipment!$CS$258)+DBPower[[#This Row],[Shed (ft^2)]]*Equipment!$CS$260)/DBPower[[#This Row],[Use (hr/yr)]]</f>
        <v>24.176604761449941</v>
      </c>
      <c r="BX187" s="49">
        <f>DBPower[[#This Row],[List price]]*(VLOOKUP(DBPower[[#This Row],[ASABEtype]],DB_ASABECoef[],2)*(DBPower[[#This Row],[Life (yr)]]*DBPower[[#This Row],[Use (hr/yr)]]/1000)^VLOOKUP(DBPower[[#This Row],[ASABEtype]],DB_ASABECoef[],3))/DBPower[[#This Row],[Life (yr)]]/DBPower[[#This Row],[Use (hr/yr)]]</f>
        <v>8.7333333333333343</v>
      </c>
      <c r="BY187" s="48">
        <f>DBPower[[#This Row],[Fuel (gal/hph)]]*DBPower[[#This Row],[HP]]*(1+Equipment!$CS$259)</f>
        <v>9.68</v>
      </c>
      <c r="BZ187" s="46">
        <f t="shared" si="17"/>
        <v>49.122712906015266</v>
      </c>
      <c r="CB187" s="191"/>
      <c r="CC187"/>
      <c r="CD187"/>
      <c r="CE187"/>
      <c r="CF187"/>
      <c r="CG187"/>
      <c r="CH187"/>
      <c r="CI187"/>
      <c r="CJ187"/>
      <c r="CK187"/>
      <c r="CL187"/>
      <c r="CM187"/>
      <c r="CN187"/>
      <c r="CO187"/>
      <c r="CP187" s="252"/>
    </row>
    <row r="188" spans="22:94" ht="16.5">
      <c r="V188" s="191"/>
      <c r="W188"/>
      <c r="X188"/>
      <c r="Y188"/>
      <c r="Z188"/>
      <c r="AA188"/>
      <c r="AB188"/>
      <c r="AC188" s="191"/>
      <c r="AD188"/>
      <c r="AE188"/>
      <c r="AF188"/>
      <c r="AG188"/>
      <c r="AH188"/>
      <c r="AI188"/>
      <c r="AJ188"/>
      <c r="AK188"/>
      <c r="AL188"/>
      <c r="AM188"/>
      <c r="AN188"/>
      <c r="AO188"/>
      <c r="AP188"/>
      <c r="AQ188"/>
      <c r="AR188"/>
      <c r="AS188"/>
      <c r="AT188"/>
      <c r="AU188"/>
      <c r="AV188"/>
      <c r="AW188"/>
      <c r="AX188"/>
      <c r="AY188"/>
      <c r="AZ188"/>
      <c r="BA188"/>
      <c r="BB188"/>
      <c r="BC188"/>
      <c r="BD188"/>
      <c r="BE188"/>
      <c r="BF188"/>
      <c r="BG188" s="191"/>
      <c r="BH188"/>
      <c r="BI188" s="41" t="str">
        <f t="shared" si="15"/>
        <v>225 HP MFWD</v>
      </c>
      <c r="BJ188" s="42">
        <v>225</v>
      </c>
      <c r="BK188" s="29" t="s">
        <v>85</v>
      </c>
      <c r="BL188" s="30">
        <v>280000</v>
      </c>
      <c r="BM188" s="31">
        <v>0.1</v>
      </c>
      <c r="BN188" s="80">
        <f t="shared" si="16"/>
        <v>311111.11111111112</v>
      </c>
      <c r="BO188" s="29">
        <v>12</v>
      </c>
      <c r="BP188" s="29">
        <v>400</v>
      </c>
      <c r="BQ188" s="29">
        <v>4.3999999999999997E-2</v>
      </c>
      <c r="BR188" s="29" t="s">
        <v>86</v>
      </c>
      <c r="BS188" s="29">
        <v>250</v>
      </c>
      <c r="BT188"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0.39585537028502493</v>
      </c>
      <c r="BU188" s="44">
        <f>DBPower[[#This Row],[TradeIn%]]*DBPower[[#This Row],[List price]]</f>
        <v>123155.00408867442</v>
      </c>
      <c r="BV188" s="46">
        <f>(DBPower[[#This Row],[Purchase price]]-DBPower[[#This Row],[TradeIn$]])/DBPower[[#This Row],[Life (yr)]]/DBPower[[#This Row],[Use (hr/yr)]]</f>
        <v>32.676040814859491</v>
      </c>
      <c r="BW188" s="46">
        <f>((DBPower[[#This Row],[Purchase price]]+DBPower[[#This Row],[TradeIn$]])/2*(Equipment!$CS$256+Equipment!$CS$257+Equipment!$CS$258)+DBPower[[#This Row],[Shed (ft^2)]]*Equipment!$CS$260)/DBPower[[#This Row],[Use (hr/yr)]]</f>
        <v>32.606190301516705</v>
      </c>
      <c r="BX188" s="49">
        <f>DBPower[[#This Row],[List price]]*(VLOOKUP(DBPower[[#This Row],[ASABEtype]],DB_ASABECoef[],2)*(DBPower[[#This Row],[Life (yr)]]*DBPower[[#This Row],[Use (hr/yr)]]/1000)^VLOOKUP(DBPower[[#This Row],[ASABEtype]],DB_ASABECoef[],3))/DBPower[[#This Row],[Life (yr)]]/DBPower[[#This Row],[Use (hr/yr)]]</f>
        <v>7.4666666666666659</v>
      </c>
      <c r="BY188" s="48">
        <f>DBPower[[#This Row],[Fuel (gal/hph)]]*DBPower[[#This Row],[HP]]*(1+Equipment!$CS$259)</f>
        <v>10.889999999999999</v>
      </c>
      <c r="BZ188" s="46">
        <f t="shared" si="17"/>
        <v>65.282231116376195</v>
      </c>
      <c r="CB188" s="191"/>
      <c r="CC188"/>
      <c r="CD188"/>
      <c r="CE188"/>
      <c r="CF188"/>
      <c r="CG188"/>
      <c r="CH188"/>
      <c r="CI188"/>
      <c r="CJ188"/>
      <c r="CK188"/>
      <c r="CL188"/>
      <c r="CM188"/>
      <c r="CN188"/>
      <c r="CO188"/>
      <c r="CP188" s="252"/>
    </row>
    <row r="189" spans="22:94" ht="16.5">
      <c r="V189" s="191"/>
      <c r="W189"/>
      <c r="X189"/>
      <c r="Y189"/>
      <c r="Z189"/>
      <c r="AA189"/>
      <c r="AB189"/>
      <c r="AC189" s="191"/>
      <c r="AD189"/>
      <c r="AE189"/>
      <c r="AF189"/>
      <c r="AG189"/>
      <c r="AH189"/>
      <c r="AI189"/>
      <c r="AJ189"/>
      <c r="AK189"/>
      <c r="AL189"/>
      <c r="AM189"/>
      <c r="AN189"/>
      <c r="AO189"/>
      <c r="AP189"/>
      <c r="AQ189"/>
      <c r="AR189"/>
      <c r="AS189"/>
      <c r="AT189"/>
      <c r="AU189"/>
      <c r="AV189"/>
      <c r="AW189"/>
      <c r="AX189"/>
      <c r="AY189"/>
      <c r="AZ189"/>
      <c r="BA189"/>
      <c r="BB189"/>
      <c r="BC189"/>
      <c r="BD189"/>
      <c r="BE189"/>
      <c r="BF189"/>
      <c r="BG189" s="191"/>
      <c r="BH189"/>
      <c r="BI189" s="41" t="str">
        <f t="shared" si="15"/>
        <v>260 HP MFWD</v>
      </c>
      <c r="BJ189" s="42">
        <v>260</v>
      </c>
      <c r="BK189" s="29" t="s">
        <v>85</v>
      </c>
      <c r="BL189" s="30">
        <v>390000</v>
      </c>
      <c r="BM189" s="31">
        <v>0.1</v>
      </c>
      <c r="BN189" s="80">
        <f t="shared" si="16"/>
        <v>433333.33333333331</v>
      </c>
      <c r="BO189" s="29">
        <v>12</v>
      </c>
      <c r="BP189" s="29">
        <v>400</v>
      </c>
      <c r="BQ189" s="29">
        <v>4.3999999999999997E-2</v>
      </c>
      <c r="BR189" s="29" t="s">
        <v>86</v>
      </c>
      <c r="BS189" s="29">
        <v>250</v>
      </c>
      <c r="BT189"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0.39585537028502493</v>
      </c>
      <c r="BU189" s="44">
        <f>DBPower[[#This Row],[TradeIn%]]*DBPower[[#This Row],[List price]]</f>
        <v>171537.3271235108</v>
      </c>
      <c r="BV189" s="46">
        <f>(DBPower[[#This Row],[Purchase price]]-DBPower[[#This Row],[TradeIn$]])/DBPower[[#This Row],[Life (yr)]]/DBPower[[#This Row],[Use (hr/yr)]]</f>
        <v>45.513056849268587</v>
      </c>
      <c r="BW189" s="46">
        <f>((DBPower[[#This Row],[Purchase price]]+DBPower[[#This Row],[TradeIn$]])/2*(Equipment!$CS$256+Equipment!$CS$257+Equipment!$CS$258)+DBPower[[#This Row],[Shed (ft^2)]]*Equipment!$CS$260)/DBPower[[#This Row],[Use (hr/yr)]]</f>
        <v>45.177787192406839</v>
      </c>
      <c r="BX189" s="49">
        <f>DBPower[[#This Row],[List price]]*(VLOOKUP(DBPower[[#This Row],[ASABEtype]],DB_ASABECoef[],2)*(DBPower[[#This Row],[Life (yr)]]*DBPower[[#This Row],[Use (hr/yr)]]/1000)^VLOOKUP(DBPower[[#This Row],[ASABEtype]],DB_ASABECoef[],3))/DBPower[[#This Row],[Life (yr)]]/DBPower[[#This Row],[Use (hr/yr)]]</f>
        <v>10.4</v>
      </c>
      <c r="BY189" s="48">
        <f>DBPower[[#This Row],[Fuel (gal/hph)]]*DBPower[[#This Row],[HP]]*(1+Equipment!$CS$259)</f>
        <v>12.584</v>
      </c>
      <c r="BZ189" s="46">
        <f t="shared" si="17"/>
        <v>90.690844041675433</v>
      </c>
      <c r="CB189" s="191"/>
      <c r="CC189"/>
      <c r="CD189"/>
      <c r="CE189"/>
      <c r="CF189"/>
      <c r="CG189"/>
      <c r="CH189"/>
      <c r="CI189"/>
      <c r="CJ189"/>
      <c r="CK189"/>
      <c r="CL189"/>
      <c r="CM189"/>
      <c r="CN189"/>
      <c r="CO189"/>
      <c r="CP189" s="252"/>
    </row>
    <row r="190" spans="22:94" ht="16.5">
      <c r="V190" s="191"/>
      <c r="W190"/>
      <c r="X190"/>
      <c r="Y190"/>
      <c r="Z190"/>
      <c r="AA190"/>
      <c r="AB190"/>
      <c r="AC190" s="191"/>
      <c r="AD190"/>
      <c r="AE190"/>
      <c r="AF190"/>
      <c r="AG190"/>
      <c r="AH190"/>
      <c r="AI190"/>
      <c r="AJ190"/>
      <c r="AK190"/>
      <c r="AL190"/>
      <c r="AM190"/>
      <c r="AN190"/>
      <c r="AO190"/>
      <c r="AP190"/>
      <c r="AQ190"/>
      <c r="AR190"/>
      <c r="AS190"/>
      <c r="AT190"/>
      <c r="AU190"/>
      <c r="AV190"/>
      <c r="AW190"/>
      <c r="AX190"/>
      <c r="AY190"/>
      <c r="AZ190"/>
      <c r="BA190"/>
      <c r="BB190"/>
      <c r="BC190"/>
      <c r="BD190"/>
      <c r="BE190"/>
      <c r="BF190"/>
      <c r="BG190" s="191"/>
      <c r="BH190"/>
      <c r="BI190" s="41" t="str">
        <f t="shared" si="15"/>
        <v>310 HP 4WD</v>
      </c>
      <c r="BJ190" s="42">
        <v>310</v>
      </c>
      <c r="BK190" s="29" t="s">
        <v>102</v>
      </c>
      <c r="BL190" s="30">
        <v>410000</v>
      </c>
      <c r="BM190" s="31">
        <v>0.1</v>
      </c>
      <c r="BN190" s="80">
        <f t="shared" si="16"/>
        <v>455555.55555555556</v>
      </c>
      <c r="BO190" s="29">
        <v>12</v>
      </c>
      <c r="BP190" s="29">
        <v>400</v>
      </c>
      <c r="BQ190" s="29">
        <v>4.3999999999999997E-2</v>
      </c>
      <c r="BR190" s="29" t="s">
        <v>99</v>
      </c>
      <c r="BS190" s="29">
        <v>250</v>
      </c>
      <c r="BT190"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0.39585537028502493</v>
      </c>
      <c r="BU190" s="44">
        <f>DBPower[[#This Row],[TradeIn%]]*DBPower[[#This Row],[List price]]</f>
        <v>180334.11312984469</v>
      </c>
      <c r="BV190" s="46">
        <f>(DBPower[[#This Row],[Purchase price]]-DBPower[[#This Row],[TradeIn$]])/DBPower[[#This Row],[Life (yr)]]/DBPower[[#This Row],[Use (hr/yr)]]</f>
        <v>47.847059764615686</v>
      </c>
      <c r="BW190" s="46">
        <f>((DBPower[[#This Row],[Purchase price]]+DBPower[[#This Row],[TradeIn$]])/2*(Equipment!$CS$256+Equipment!$CS$257+Equipment!$CS$258)+DBPower[[#This Row],[Shed (ft^2)]]*Equipment!$CS$260)/DBPower[[#This Row],[Use (hr/yr)]]</f>
        <v>47.463532081659586</v>
      </c>
      <c r="BX190" s="49">
        <f>DBPower[[#This Row],[List price]]*(VLOOKUP(DBPower[[#This Row],[ASABEtype]],DB_ASABECoef[],2)*(DBPower[[#This Row],[Life (yr)]]*DBPower[[#This Row],[Use (hr/yr)]]/1000)^VLOOKUP(DBPower[[#This Row],[ASABEtype]],DB_ASABECoef[],3))/DBPower[[#This Row],[Life (yr)]]/DBPower[[#This Row],[Use (hr/yr)]]</f>
        <v>6.56</v>
      </c>
      <c r="BY190" s="48">
        <f>DBPower[[#This Row],[Fuel (gal/hph)]]*DBPower[[#This Row],[HP]]*(1+Equipment!$CS$259)</f>
        <v>15.004</v>
      </c>
      <c r="BZ190" s="46">
        <f t="shared" si="17"/>
        <v>95.310591846275273</v>
      </c>
      <c r="CB190" s="191"/>
      <c r="CC190"/>
      <c r="CD190"/>
      <c r="CE190"/>
      <c r="CF190"/>
      <c r="CG190"/>
      <c r="CH190"/>
      <c r="CI190"/>
      <c r="CJ190"/>
      <c r="CK190"/>
      <c r="CL190"/>
      <c r="CM190"/>
      <c r="CN190"/>
      <c r="CO190"/>
      <c r="CP190" s="252"/>
    </row>
    <row r="191" spans="22:94" ht="16.5">
      <c r="V191" s="191"/>
      <c r="W191"/>
      <c r="X191"/>
      <c r="Y191"/>
      <c r="Z191"/>
      <c r="AA191"/>
      <c r="AB191"/>
      <c r="AC191" s="191"/>
      <c r="AD191"/>
      <c r="AE191"/>
      <c r="AF191"/>
      <c r="AG191"/>
      <c r="AH191"/>
      <c r="AI191"/>
      <c r="AJ191"/>
      <c r="AK191"/>
      <c r="AL191"/>
      <c r="AM191"/>
      <c r="AN191"/>
      <c r="AO191"/>
      <c r="AP191"/>
      <c r="AQ191"/>
      <c r="AR191"/>
      <c r="AS191"/>
      <c r="AT191"/>
      <c r="AU191"/>
      <c r="AV191"/>
      <c r="AW191"/>
      <c r="AX191"/>
      <c r="AY191"/>
      <c r="AZ191"/>
      <c r="BA191"/>
      <c r="BB191"/>
      <c r="BC191"/>
      <c r="BD191"/>
      <c r="BE191"/>
      <c r="BF191"/>
      <c r="BG191" s="191"/>
      <c r="BH191"/>
      <c r="BI191" s="41" t="str">
        <f t="shared" si="15"/>
        <v>360 HP 4WD</v>
      </c>
      <c r="BJ191" s="42">
        <v>360</v>
      </c>
      <c r="BK191" s="29" t="s">
        <v>102</v>
      </c>
      <c r="BL191" s="30">
        <v>437000</v>
      </c>
      <c r="BM191" s="31">
        <v>0.1</v>
      </c>
      <c r="BN191" s="80">
        <f t="shared" si="16"/>
        <v>485555.55555555556</v>
      </c>
      <c r="BO191" s="29">
        <v>12</v>
      </c>
      <c r="BP191" s="29">
        <v>400</v>
      </c>
      <c r="BQ191" s="29">
        <v>4.3999999999999997E-2</v>
      </c>
      <c r="BR191" s="29" t="s">
        <v>99</v>
      </c>
      <c r="BS191" s="29">
        <v>250</v>
      </c>
      <c r="BT191"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0.39585537028502493</v>
      </c>
      <c r="BU191" s="44">
        <f>DBPower[[#This Row],[TradeIn%]]*DBPower[[#This Row],[List price]]</f>
        <v>192209.77423839545</v>
      </c>
      <c r="BV191" s="46">
        <f>(DBPower[[#This Row],[Purchase price]]-DBPower[[#This Row],[TradeIn$]])/DBPower[[#This Row],[Life (yr)]]/DBPower[[#This Row],[Use (hr/yr)]]</f>
        <v>50.997963700334282</v>
      </c>
      <c r="BW191" s="46">
        <f>((DBPower[[#This Row],[Purchase price]]+DBPower[[#This Row],[TradeIn$]])/2*(Equipment!$CS$256+Equipment!$CS$257+Equipment!$CS$258)+DBPower[[#This Row],[Shed (ft^2)]]*Equipment!$CS$260)/DBPower[[#This Row],[Use (hr/yr)]]</f>
        <v>50.549287682150819</v>
      </c>
      <c r="BX191" s="49">
        <f>DBPower[[#This Row],[List price]]*(VLOOKUP(DBPower[[#This Row],[ASABEtype]],DB_ASABECoef[],2)*(DBPower[[#This Row],[Life (yr)]]*DBPower[[#This Row],[Use (hr/yr)]]/1000)^VLOOKUP(DBPower[[#This Row],[ASABEtype]],DB_ASABECoef[],3))/DBPower[[#This Row],[Life (yr)]]/DBPower[[#This Row],[Use (hr/yr)]]</f>
        <v>6.9919999999999991</v>
      </c>
      <c r="BY191" s="48">
        <f>DBPower[[#This Row],[Fuel (gal/hph)]]*DBPower[[#This Row],[HP]]*(1+Equipment!$CS$259)</f>
        <v>17.423999999999999</v>
      </c>
      <c r="BZ191" s="46">
        <f t="shared" si="17"/>
        <v>101.5472513824851</v>
      </c>
      <c r="CB191" s="191"/>
      <c r="CC191"/>
      <c r="CD191"/>
      <c r="CE191"/>
      <c r="CF191"/>
      <c r="CG191"/>
      <c r="CH191"/>
      <c r="CI191"/>
      <c r="CJ191"/>
      <c r="CK191"/>
      <c r="CL191"/>
      <c r="CM191"/>
      <c r="CN191"/>
      <c r="CO191"/>
      <c r="CP191" s="252"/>
    </row>
    <row r="192" spans="22:94" ht="16.5">
      <c r="V192" s="191"/>
      <c r="W192"/>
      <c r="X192"/>
      <c r="Y192"/>
      <c r="Z192"/>
      <c r="AA192"/>
      <c r="AB192"/>
      <c r="AC192" s="191"/>
      <c r="AD192"/>
      <c r="AE192"/>
      <c r="AF192"/>
      <c r="AG192"/>
      <c r="AH192"/>
      <c r="AI192"/>
      <c r="AJ192"/>
      <c r="AK192"/>
      <c r="AL192"/>
      <c r="AM192"/>
      <c r="AN192"/>
      <c r="AO192"/>
      <c r="AP192"/>
      <c r="AQ192"/>
      <c r="AR192"/>
      <c r="AS192"/>
      <c r="AT192"/>
      <c r="AU192"/>
      <c r="AV192"/>
      <c r="AW192"/>
      <c r="AX192"/>
      <c r="AY192"/>
      <c r="AZ192"/>
      <c r="BA192"/>
      <c r="BB192"/>
      <c r="BC192"/>
      <c r="BD192"/>
      <c r="BE192"/>
      <c r="BF192"/>
      <c r="BG192" s="191"/>
      <c r="BH192"/>
      <c r="BI192" s="41" t="str">
        <f t="shared" si="15"/>
        <v>425 HP 4WD</v>
      </c>
      <c r="BJ192" s="42">
        <v>425</v>
      </c>
      <c r="BK192" s="29" t="s">
        <v>102</v>
      </c>
      <c r="BL192" s="30">
        <v>482000</v>
      </c>
      <c r="BM192" s="31">
        <v>0.1</v>
      </c>
      <c r="BN192" s="80">
        <f t="shared" si="16"/>
        <v>535555.5555555555</v>
      </c>
      <c r="BO192" s="29">
        <v>12</v>
      </c>
      <c r="BP192" s="29">
        <v>400</v>
      </c>
      <c r="BQ192" s="29">
        <v>4.3999999999999997E-2</v>
      </c>
      <c r="BR192" s="29" t="s">
        <v>99</v>
      </c>
      <c r="BS192" s="29">
        <v>250</v>
      </c>
      <c r="BT192"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0.39585537028502493</v>
      </c>
      <c r="BU192" s="44">
        <f>DBPower[[#This Row],[TradeIn%]]*DBPower[[#This Row],[List price]]</f>
        <v>212002.54275264667</v>
      </c>
      <c r="BV192" s="46">
        <f>(DBPower[[#This Row],[Purchase price]]-DBPower[[#This Row],[TradeIn$]])/DBPower[[#This Row],[Life (yr)]]/DBPower[[#This Row],[Use (hr/yr)]]</f>
        <v>56.249470259865276</v>
      </c>
      <c r="BW192" s="46">
        <f>((DBPower[[#This Row],[Purchase price]]+DBPower[[#This Row],[TradeIn$]])/2*(Equipment!$CS$256+Equipment!$CS$257+Equipment!$CS$258)+DBPower[[#This Row],[Shed (ft^2)]]*Equipment!$CS$260)/DBPower[[#This Row],[Use (hr/yr)]]</f>
        <v>55.692213682969495</v>
      </c>
      <c r="BX192" s="49">
        <f>DBPower[[#This Row],[List price]]*(VLOOKUP(DBPower[[#This Row],[ASABEtype]],DB_ASABECoef[],2)*(DBPower[[#This Row],[Life (yr)]]*DBPower[[#This Row],[Use (hr/yr)]]/1000)^VLOOKUP(DBPower[[#This Row],[ASABEtype]],DB_ASABECoef[],3))/DBPower[[#This Row],[Life (yr)]]/DBPower[[#This Row],[Use (hr/yr)]]</f>
        <v>7.7119999999999997</v>
      </c>
      <c r="BY192" s="48">
        <f>DBPower[[#This Row],[Fuel (gal/hph)]]*DBPower[[#This Row],[HP]]*(1+Equipment!$CS$259)</f>
        <v>20.57</v>
      </c>
      <c r="BZ192" s="46">
        <f t="shared" si="17"/>
        <v>111.94168394283477</v>
      </c>
      <c r="CB192" s="191"/>
      <c r="CC192"/>
      <c r="CD192"/>
      <c r="CE192"/>
      <c r="CF192"/>
      <c r="CG192"/>
      <c r="CH192"/>
      <c r="CI192"/>
      <c r="CJ192"/>
      <c r="CK192"/>
      <c r="CL192"/>
      <c r="CM192"/>
      <c r="CN192"/>
      <c r="CO192"/>
      <c r="CP192" s="252"/>
    </row>
    <row r="193" spans="22:94" ht="16.5">
      <c r="V193" s="191"/>
      <c r="W193"/>
      <c r="X193"/>
      <c r="Y193"/>
      <c r="Z193"/>
      <c r="AA193"/>
      <c r="AB193"/>
      <c r="AC193" s="191"/>
      <c r="AD193"/>
      <c r="AE193"/>
      <c r="AF193"/>
      <c r="AG193"/>
      <c r="AH193"/>
      <c r="AI193"/>
      <c r="AJ193"/>
      <c r="AK193"/>
      <c r="AL193"/>
      <c r="AM193"/>
      <c r="AN193"/>
      <c r="AO193"/>
      <c r="AP193"/>
      <c r="AQ193"/>
      <c r="AR193"/>
      <c r="AS193"/>
      <c r="AT193"/>
      <c r="AU193"/>
      <c r="AV193"/>
      <c r="AW193"/>
      <c r="AX193"/>
      <c r="AY193"/>
      <c r="AZ193"/>
      <c r="BA193"/>
      <c r="BB193"/>
      <c r="BC193"/>
      <c r="BD193"/>
      <c r="BE193"/>
      <c r="BF193"/>
      <c r="BG193" s="191"/>
      <c r="BH193"/>
      <c r="BI193" s="41" t="str">
        <f t="shared" si="15"/>
        <v>575 HP Tracked 4WD</v>
      </c>
      <c r="BJ193" s="42">
        <v>575</v>
      </c>
      <c r="BK193" s="29" t="s">
        <v>216</v>
      </c>
      <c r="BL193" s="30">
        <v>632000</v>
      </c>
      <c r="BM193" s="31">
        <v>0.1</v>
      </c>
      <c r="BN193" s="80">
        <f t="shared" si="16"/>
        <v>702222.22222222225</v>
      </c>
      <c r="BO193" s="29">
        <v>12</v>
      </c>
      <c r="BP193" s="29">
        <v>400</v>
      </c>
      <c r="BQ193" s="29">
        <v>4.3999999999999997E-2</v>
      </c>
      <c r="BR193" s="29" t="s">
        <v>99</v>
      </c>
      <c r="BS193" s="29">
        <v>275</v>
      </c>
      <c r="BT193"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0.39585537028502493</v>
      </c>
      <c r="BU193" s="44">
        <f>DBPower[[#This Row],[TradeIn%]]*DBPower[[#This Row],[List price]]</f>
        <v>277978.43780015083</v>
      </c>
      <c r="BV193" s="46">
        <f>(DBPower[[#This Row],[Purchase price]]-DBPower[[#This Row],[TradeIn$]])/DBPower[[#This Row],[Life (yr)]]/DBPower[[#This Row],[Use (hr/yr)]]</f>
        <v>73.754492124968579</v>
      </c>
      <c r="BW193" s="77">
        <f>((DBPower[[#This Row],[Purchase price]]+DBPower[[#This Row],[TradeIn$]])*(Equipment!$CS$256+Equipment!$CS$257+Equipment!$CS$258)+DBPower[[#This Row],[Shed (ft^2)]]*Equipment!$CS$260)/DBPower[[#This Row],[Use (hr/yr)]]</f>
        <v>145.12541503794992</v>
      </c>
      <c r="BX193" s="49">
        <f>DBPower[[#This Row],[List price]]*(VLOOKUP(DBPower[[#This Row],[ASABEtype]],DB_ASABECoef[],2)*(DBPower[[#This Row],[Life (yr)]]*DBPower[[#This Row],[Use (hr/yr)]]/1000)^VLOOKUP(DBPower[[#This Row],[ASABEtype]],DB_ASABECoef[],3))/DBPower[[#This Row],[Life (yr)]]/DBPower[[#This Row],[Use (hr/yr)]]</f>
        <v>10.112000000000002</v>
      </c>
      <c r="BY193" s="48">
        <f>DBPower[[#This Row],[Fuel (gal/hph)]]*DBPower[[#This Row],[HP]]*(1+Equipment!$CS$259)</f>
        <v>27.83</v>
      </c>
      <c r="BZ193" s="46">
        <f t="shared" si="17"/>
        <v>218.8799071629185</v>
      </c>
      <c r="CB193" s="191"/>
      <c r="CC193"/>
      <c r="CD193"/>
      <c r="CE193"/>
      <c r="CF193"/>
      <c r="CG193"/>
      <c r="CH193"/>
      <c r="CI193"/>
      <c r="CJ193"/>
      <c r="CK193"/>
      <c r="CL193"/>
      <c r="CM193"/>
      <c r="CN193"/>
      <c r="CO193"/>
      <c r="CP193" s="252"/>
    </row>
    <row r="194" spans="22:94" ht="16.5">
      <c r="V194" s="191"/>
      <c r="W194"/>
      <c r="X194"/>
      <c r="Y194"/>
      <c r="Z194"/>
      <c r="AA194"/>
      <c r="AB194"/>
      <c r="AC194" s="191"/>
      <c r="AD194"/>
      <c r="AE194"/>
      <c r="AF194"/>
      <c r="AG194"/>
      <c r="AH194"/>
      <c r="AI194"/>
      <c r="AJ194"/>
      <c r="AK194"/>
      <c r="AL194"/>
      <c r="AM194"/>
      <c r="AN194"/>
      <c r="AO194"/>
      <c r="AP194"/>
      <c r="AQ194"/>
      <c r="AR194"/>
      <c r="AS194"/>
      <c r="AT194"/>
      <c r="AU194"/>
      <c r="AV194"/>
      <c r="AW194"/>
      <c r="AX194"/>
      <c r="AY194"/>
      <c r="AZ194"/>
      <c r="BA194"/>
      <c r="BB194"/>
      <c r="BC194"/>
      <c r="BD194"/>
      <c r="BE194"/>
      <c r="BF194"/>
      <c r="BG194" s="191"/>
      <c r="BH194"/>
      <c r="BI194" s="41" t="str">
        <f t="shared" si="15"/>
        <v>275 HP Combine</v>
      </c>
      <c r="BJ194" s="42">
        <v>275</v>
      </c>
      <c r="BK194" s="29" t="s">
        <v>111</v>
      </c>
      <c r="BL194" s="30">
        <v>441000</v>
      </c>
      <c r="BM194" s="31">
        <v>0.2</v>
      </c>
      <c r="BN194" s="80">
        <f t="shared" si="16"/>
        <v>551250</v>
      </c>
      <c r="BO194" s="29">
        <v>12</v>
      </c>
      <c r="BP194" s="29">
        <v>400</v>
      </c>
      <c r="BQ194" s="29">
        <v>4.3999999999999997E-2</v>
      </c>
      <c r="BR194" s="29" t="s">
        <v>91</v>
      </c>
      <c r="BS194" s="29">
        <v>400</v>
      </c>
      <c r="BT194"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0.10399147106668855</v>
      </c>
      <c r="BU194" s="44">
        <f>DBPower[[#This Row],[TradeIn%]]*DBPower[[#This Row],[List price]]</f>
        <v>57325.298425512061</v>
      </c>
      <c r="BV194" s="46">
        <f>(DBPower[[#This Row],[Purchase price]]-DBPower[[#This Row],[TradeIn$]])/DBPower[[#This Row],[Life (yr)]]/DBPower[[#This Row],[Use (hr/yr)]]</f>
        <v>79.932229494684989</v>
      </c>
      <c r="BW194" s="46">
        <f>((DBPower[[#This Row],[Purchase price]]+DBPower[[#This Row],[TradeIn$]])/2*(Equipment!$CS$256+Equipment!$CS$257+Equipment!$CS$258)+DBPower[[#This Row],[Shed (ft^2)]]*Equipment!$CS$260)/DBPower[[#This Row],[Use (hr/yr)]]</f>
        <v>40.523789525690091</v>
      </c>
      <c r="BX194" s="49">
        <f>DBPower[[#This Row],[List price]]*(VLOOKUP(DBPower[[#This Row],[ASABEtype]],DB_ASABECoef[],2)*(DBPower[[#This Row],[Life (yr)]]*DBPower[[#This Row],[Use (hr/yr)]]/1000)^VLOOKUP(DBPower[[#This Row],[ASABEtype]],DB_ASABECoef[],3))/DBPower[[#This Row],[Life (yr)]]/DBPower[[#This Row],[Use (hr/yr)]]</f>
        <v>123.81519754957228</v>
      </c>
      <c r="BY194" s="48">
        <f>DBPower[[#This Row],[Fuel (gal/hph)]]*DBPower[[#This Row],[HP]]*(1+Equipment!$CS$259)</f>
        <v>13.31</v>
      </c>
      <c r="BZ194" s="46">
        <f t="shared" si="17"/>
        <v>120.45601902037508</v>
      </c>
      <c r="CB194" s="191"/>
      <c r="CC194"/>
      <c r="CD194"/>
      <c r="CE194"/>
      <c r="CF194"/>
      <c r="CG194"/>
      <c r="CH194"/>
      <c r="CI194"/>
      <c r="CJ194"/>
      <c r="CK194"/>
      <c r="CL194"/>
      <c r="CM194"/>
      <c r="CN194"/>
      <c r="CO194"/>
      <c r="CP194" s="252"/>
    </row>
    <row r="195" spans="22:94" ht="16.5">
      <c r="V195" s="191"/>
      <c r="W195"/>
      <c r="X195"/>
      <c r="Y195"/>
      <c r="Z195"/>
      <c r="AA195"/>
      <c r="AB195"/>
      <c r="AC195" s="191"/>
      <c r="AD195"/>
      <c r="AE195"/>
      <c r="AF195"/>
      <c r="AG195"/>
      <c r="AH195"/>
      <c r="AI195"/>
      <c r="AJ195"/>
      <c r="AK195"/>
      <c r="AL195"/>
      <c r="AM195"/>
      <c r="AN195"/>
      <c r="AO195"/>
      <c r="AP195"/>
      <c r="AQ195"/>
      <c r="AR195"/>
      <c r="AS195"/>
      <c r="AT195"/>
      <c r="AU195"/>
      <c r="AV195"/>
      <c r="AW195"/>
      <c r="AX195"/>
      <c r="AY195"/>
      <c r="AZ195"/>
      <c r="BA195"/>
      <c r="BB195"/>
      <c r="BC195"/>
      <c r="BD195"/>
      <c r="BE195"/>
      <c r="BF195"/>
      <c r="BG195" s="191"/>
      <c r="BH195"/>
      <c r="BI195" s="41" t="str">
        <f t="shared" si="15"/>
        <v>375 HP Combine</v>
      </c>
      <c r="BJ195" s="42">
        <v>375</v>
      </c>
      <c r="BK195" s="29" t="s">
        <v>111</v>
      </c>
      <c r="BL195" s="30">
        <v>510000</v>
      </c>
      <c r="BM195" s="31">
        <v>0.2</v>
      </c>
      <c r="BN195" s="80">
        <f t="shared" si="16"/>
        <v>637500</v>
      </c>
      <c r="BO195" s="29">
        <v>12</v>
      </c>
      <c r="BP195" s="29">
        <v>400</v>
      </c>
      <c r="BQ195" s="29">
        <v>4.3999999999999997E-2</v>
      </c>
      <c r="BR195" s="29" t="s">
        <v>91</v>
      </c>
      <c r="BS195" s="29">
        <v>500</v>
      </c>
      <c r="BT195"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0.10399147106668855</v>
      </c>
      <c r="BU195" s="44">
        <f>DBPower[[#This Row],[TradeIn%]]*DBPower[[#This Row],[List price]]</f>
        <v>66294.562805013949</v>
      </c>
      <c r="BV195" s="46">
        <f>(DBPower[[#This Row],[Purchase price]]-DBPower[[#This Row],[TradeIn$]])/DBPower[[#This Row],[Life (yr)]]/DBPower[[#This Row],[Use (hr/yr)]]</f>
        <v>92.438632748955428</v>
      </c>
      <c r="BW195" s="46">
        <f>((DBPower[[#This Row],[Purchase price]]+DBPower[[#This Row],[TradeIn$]])/2*(Equipment!$CS$256+Equipment!$CS$257+Equipment!$CS$258)+DBPower[[#This Row],[Shed (ft^2)]]*Equipment!$CS$260)/DBPower[[#This Row],[Use (hr/yr)]]</f>
        <v>46.954904626604332</v>
      </c>
      <c r="BX195" s="49">
        <f>DBPower[[#This Row],[List price]]*(VLOOKUP(DBPower[[#This Row],[ASABEtype]],DB_ASABECoef[],2)*(DBPower[[#This Row],[Life (yr)]]*DBPower[[#This Row],[Use (hr/yr)]]/1000)^VLOOKUP(DBPower[[#This Row],[ASABEtype]],DB_ASABECoef[],3))/DBPower[[#This Row],[Life (yr)]]/DBPower[[#This Row],[Use (hr/yr)]]</f>
        <v>143.18764342467543</v>
      </c>
      <c r="BY195" s="48">
        <f>DBPower[[#This Row],[Fuel (gal/hph)]]*DBPower[[#This Row],[HP]]*(1+Equipment!$CS$259)</f>
        <v>18.150000000000002</v>
      </c>
      <c r="BZ195" s="46">
        <f t="shared" si="17"/>
        <v>139.39353737555976</v>
      </c>
      <c r="CB195" s="191"/>
      <c r="CC195"/>
      <c r="CD195"/>
      <c r="CE195"/>
      <c r="CF195"/>
      <c r="CG195"/>
      <c r="CH195"/>
      <c r="CI195"/>
      <c r="CJ195"/>
      <c r="CK195"/>
      <c r="CL195"/>
      <c r="CM195"/>
      <c r="CN195"/>
      <c r="CO195"/>
      <c r="CP195" s="252"/>
    </row>
    <row r="196" spans="22:94" ht="16.5">
      <c r="V196" s="191"/>
      <c r="W196"/>
      <c r="X196"/>
      <c r="Y196"/>
      <c r="Z196"/>
      <c r="AA196"/>
      <c r="AB196"/>
      <c r="AC196" s="191"/>
      <c r="AD196"/>
      <c r="AE196"/>
      <c r="AF196"/>
      <c r="AG196"/>
      <c r="AH196"/>
      <c r="AI196"/>
      <c r="AJ196"/>
      <c r="AK196"/>
      <c r="AL196"/>
      <c r="AM196"/>
      <c r="AN196"/>
      <c r="AO196"/>
      <c r="AP196"/>
      <c r="AQ196"/>
      <c r="AR196"/>
      <c r="AS196"/>
      <c r="AT196"/>
      <c r="AU196"/>
      <c r="AV196"/>
      <c r="AW196"/>
      <c r="AX196"/>
      <c r="AY196"/>
      <c r="AZ196"/>
      <c r="BA196"/>
      <c r="BB196"/>
      <c r="BC196"/>
      <c r="BD196"/>
      <c r="BE196"/>
      <c r="BF196"/>
      <c r="BG196" s="191"/>
      <c r="BH196"/>
      <c r="BI196" s="41" t="str">
        <f t="shared" si="15"/>
        <v>440 HP Combine</v>
      </c>
      <c r="BJ196" s="42">
        <v>440</v>
      </c>
      <c r="BK196" s="29" t="s">
        <v>111</v>
      </c>
      <c r="BL196" s="30">
        <v>541000</v>
      </c>
      <c r="BM196" s="31">
        <v>0.2</v>
      </c>
      <c r="BN196" s="80">
        <f t="shared" si="16"/>
        <v>676250</v>
      </c>
      <c r="BO196" s="29">
        <v>12</v>
      </c>
      <c r="BP196" s="29">
        <v>400</v>
      </c>
      <c r="BQ196" s="64">
        <f>0.044*370/425</f>
        <v>3.8305882352941169E-2</v>
      </c>
      <c r="BR196" s="29" t="s">
        <v>91</v>
      </c>
      <c r="BS196" s="29">
        <v>500</v>
      </c>
      <c r="BT196"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0.10399147106668855</v>
      </c>
      <c r="BU196" s="44">
        <f>DBPower[[#This Row],[TradeIn%]]*DBPower[[#This Row],[List price]]</f>
        <v>70324.232308848135</v>
      </c>
      <c r="BV196" s="46">
        <f>(DBPower[[#This Row],[Purchase price]]-DBPower[[#This Row],[TradeIn$]])/DBPower[[#This Row],[Life (yr)]]/DBPower[[#This Row],[Use (hr/yr)]]</f>
        <v>98.057451602323312</v>
      </c>
      <c r="BW196" s="46">
        <f>((DBPower[[#This Row],[Purchase price]]+DBPower[[#This Row],[TradeIn$]])/2*(Equipment!$CS$256+Equipment!$CS$257+Equipment!$CS$258)+DBPower[[#This Row],[Shed (ft^2)]]*Equipment!$CS$260)/DBPower[[#This Row],[Use (hr/yr)]]</f>
        <v>49.735384643471171</v>
      </c>
      <c r="BX196" s="49">
        <f>DBPower[[#This Row],[List price]]*(VLOOKUP(DBPower[[#This Row],[ASABEtype]],DB_ASABECoef[],2)*(DBPower[[#This Row],[Life (yr)]]*DBPower[[#This Row],[Use (hr/yr)]]/1000)^VLOOKUP(DBPower[[#This Row],[ASABEtype]],DB_ASABECoef[],3))/DBPower[[#This Row],[Life (yr)]]/DBPower[[#This Row],[Use (hr/yr)]]</f>
        <v>151.89120606421451</v>
      </c>
      <c r="BY196" s="48">
        <f>DBPower[[#This Row],[Fuel (gal/hph)]]*DBPower[[#This Row],[HP]]*(1+Equipment!$CS$259)</f>
        <v>18.540047058823525</v>
      </c>
      <c r="BZ196" s="46">
        <f t="shared" si="17"/>
        <v>147.79283624579449</v>
      </c>
      <c r="CB196" s="191"/>
      <c r="CC196"/>
      <c r="CD196"/>
      <c r="CE196"/>
      <c r="CF196"/>
      <c r="CG196"/>
      <c r="CH196"/>
      <c r="CI196"/>
      <c r="CJ196"/>
      <c r="CK196"/>
      <c r="CL196"/>
      <c r="CM196"/>
      <c r="CN196"/>
      <c r="CO196"/>
      <c r="CP196" s="252"/>
    </row>
    <row r="197" spans="22:94" ht="16.5">
      <c r="V197" s="191"/>
      <c r="W197"/>
      <c r="X197"/>
      <c r="Y197"/>
      <c r="Z197"/>
      <c r="AA197"/>
      <c r="AB197"/>
      <c r="AC197" s="191"/>
      <c r="AD197"/>
      <c r="AE197"/>
      <c r="AF197"/>
      <c r="AG197"/>
      <c r="AH197"/>
      <c r="AI197"/>
      <c r="AJ197"/>
      <c r="AK197"/>
      <c r="AL197"/>
      <c r="AM197"/>
      <c r="AN197"/>
      <c r="AO197"/>
      <c r="AP197"/>
      <c r="AQ197"/>
      <c r="AR197"/>
      <c r="AS197"/>
      <c r="AT197"/>
      <c r="AU197"/>
      <c r="AV197"/>
      <c r="AW197"/>
      <c r="AX197"/>
      <c r="AY197"/>
      <c r="AZ197"/>
      <c r="BA197"/>
      <c r="BB197"/>
      <c r="BC197"/>
      <c r="BD197"/>
      <c r="BE197"/>
      <c r="BF197"/>
      <c r="BG197" s="191"/>
      <c r="BH197"/>
      <c r="BI197" s="41" t="str">
        <f t="shared" si="15"/>
        <v>400 HP SP Forage Harvester Base Unit</v>
      </c>
      <c r="BJ197" s="42">
        <v>400</v>
      </c>
      <c r="BK197" s="29" t="s">
        <v>115</v>
      </c>
      <c r="BL197" s="30">
        <v>521000</v>
      </c>
      <c r="BM197" s="31">
        <v>0.1</v>
      </c>
      <c r="BN197" s="80">
        <f t="shared" si="16"/>
        <v>578888.88888888888</v>
      </c>
      <c r="BO197" s="29">
        <v>12</v>
      </c>
      <c r="BP197" s="29">
        <v>350</v>
      </c>
      <c r="BQ197" s="29">
        <v>2.4E-2</v>
      </c>
      <c r="BR197" s="29" t="s">
        <v>112</v>
      </c>
      <c r="BS197" s="29">
        <v>500</v>
      </c>
      <c r="BT197"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0.58537933558730071</v>
      </c>
      <c r="BU197" s="44">
        <f>DBPower[[#This Row],[TradeIn%]]*DBPower[[#This Row],[List price]]</f>
        <v>338869.59315664851</v>
      </c>
      <c r="BV197" s="46">
        <f>(DBPower[[#This Row],[Purchase price]]-DBPower[[#This Row],[TradeIn$]])/DBPower[[#This Row],[Life (yr)]]/DBPower[[#This Row],[Use (hr/yr)]]</f>
        <v>43.364382581750355</v>
      </c>
      <c r="BW197" s="46">
        <f>((DBPower[[#This Row],[Purchase price]]+DBPower[[#This Row],[TradeIn$]])/2*(Equipment!$CS$256+Equipment!$CS$257+Equipment!$CS$258)+DBPower[[#This Row],[Shed (ft^2)]]*Equipment!$CS$260)/DBPower[[#This Row],[Use (hr/yr)]]</f>
        <v>79.387054469446085</v>
      </c>
      <c r="BX197" s="49">
        <f>DBPower[[#This Row],[List price]]*(VLOOKUP(DBPower[[#This Row],[ASABEtype]],DB_ASABECoef[],2)*(DBPower[[#This Row],[Life (yr)]]*DBPower[[#This Row],[Use (hr/yr)]]/1000)^VLOOKUP(DBPower[[#This Row],[ASABEtype]],DB_ASABECoef[],3))/DBPower[[#This Row],[Life (yr)]]/DBPower[[#This Row],[Use (hr/yr)]]</f>
        <v>72.94</v>
      </c>
      <c r="BY197" s="48">
        <f>DBPower[[#This Row],[Fuel (gal/hph)]]*DBPower[[#This Row],[HP]]*(1+Equipment!$CS$259)</f>
        <v>10.56</v>
      </c>
      <c r="BZ197" s="46">
        <f t="shared" si="17"/>
        <v>122.75143705119643</v>
      </c>
      <c r="CB197" s="191"/>
      <c r="CC197"/>
      <c r="CD197"/>
      <c r="CE197"/>
      <c r="CF197"/>
      <c r="CG197"/>
      <c r="CH197"/>
      <c r="CI197"/>
      <c r="CJ197"/>
      <c r="CK197"/>
      <c r="CL197"/>
      <c r="CM197"/>
      <c r="CN197"/>
      <c r="CO197"/>
      <c r="CP197" s="252"/>
    </row>
    <row r="198" spans="22:94" ht="16.5">
      <c r="V198" s="191"/>
      <c r="W198"/>
      <c r="X198"/>
      <c r="Y198"/>
      <c r="Z198"/>
      <c r="AA198"/>
      <c r="AB198"/>
      <c r="AC198" s="191"/>
      <c r="AD198"/>
      <c r="AE198"/>
      <c r="AF198"/>
      <c r="AG198"/>
      <c r="AH198"/>
      <c r="AI198"/>
      <c r="AJ198"/>
      <c r="AK198"/>
      <c r="AL198"/>
      <c r="AM198"/>
      <c r="AN198"/>
      <c r="AO198"/>
      <c r="AP198"/>
      <c r="AQ198"/>
      <c r="AR198"/>
      <c r="AS198"/>
      <c r="AT198"/>
      <c r="AU198"/>
      <c r="AV198"/>
      <c r="AW198"/>
      <c r="AX198"/>
      <c r="AY198"/>
      <c r="AZ198"/>
      <c r="BA198"/>
      <c r="BB198"/>
      <c r="BC198"/>
      <c r="BD198"/>
      <c r="BE198"/>
      <c r="BF198"/>
      <c r="BG198" s="191"/>
      <c r="BH198"/>
      <c r="BI198" s="41" t="str">
        <f t="shared" si="15"/>
        <v>625 HP SP Forage Harvester Base Unit</v>
      </c>
      <c r="BJ198" s="42">
        <v>625</v>
      </c>
      <c r="BK198" s="29" t="s">
        <v>115</v>
      </c>
      <c r="BL198" s="30">
        <v>622000</v>
      </c>
      <c r="BM198" s="31">
        <v>0.1</v>
      </c>
      <c r="BN198" s="80">
        <f t="shared" si="16"/>
        <v>691111.11111111112</v>
      </c>
      <c r="BO198" s="29">
        <v>12</v>
      </c>
      <c r="BP198" s="29">
        <v>350</v>
      </c>
      <c r="BQ198" s="29">
        <v>2.4E-2</v>
      </c>
      <c r="BR198" s="29" t="s">
        <v>112</v>
      </c>
      <c r="BS198" s="29">
        <v>500</v>
      </c>
      <c r="BT198" s="43">
        <f>(VLOOKUP(DBPower[[#This Row],[ASABEtype]],DB_ASABECoef[],5)-VLOOKUP(DBPower[[#This Row],[ASABEtype]],DB_ASABECoef[],6)*DBPower[[#This Row],[Life (yr)]]^0.5-VLOOKUP(DBPower[[#This Row],[ASABEtype]],DB_ASABECoef[],7)*DBPower[[#This Row],[Use (hr/yr)]]^0.5+VLOOKUP(DBPower[[#This Row],[ASABEtype]],DB_ASABECoef[],8)*Equipment!$CS$264)^2+0.25*VLOOKUP(DBPower[[#This Row],[ASABEtype]],DB_ASABECoef[],9)</f>
        <v>0.58537933558730071</v>
      </c>
      <c r="BU198" s="44">
        <f>DBPower[[#This Row],[TradeIn%]]*DBPower[[#This Row],[List price]]</f>
        <v>404562.16303922341</v>
      </c>
      <c r="BV198" s="46">
        <f>(DBPower[[#This Row],[Purchase price]]-DBPower[[#This Row],[TradeIn$]])/DBPower[[#This Row],[Life (yr)]]/DBPower[[#This Row],[Use (hr/yr)]]</f>
        <v>51.770913562089667</v>
      </c>
      <c r="BW198" s="46">
        <f>((DBPower[[#This Row],[Purchase price]]+DBPower[[#This Row],[TradeIn$]])/2*(Equipment!$CS$256+Equipment!$CS$257+Equipment!$CS$258)+DBPower[[#This Row],[Shed (ft^2)]]*Equipment!$CS$260)/DBPower[[#This Row],[Use (hr/yr)]]</f>
        <v>94.508451880222523</v>
      </c>
      <c r="BX198" s="49">
        <f>DBPower[[#This Row],[List price]]*(VLOOKUP(DBPower[[#This Row],[ASABEtype]],DB_ASABECoef[],2)*(DBPower[[#This Row],[Life (yr)]]*DBPower[[#This Row],[Use (hr/yr)]]/1000)^VLOOKUP(DBPower[[#This Row],[ASABEtype]],DB_ASABECoef[],3))/DBPower[[#This Row],[Life (yr)]]/DBPower[[#This Row],[Use (hr/yr)]]</f>
        <v>87.08</v>
      </c>
      <c r="BY198" s="48">
        <f>DBPower[[#This Row],[Fuel (gal/hph)]]*DBPower[[#This Row],[HP]]*(1+Equipment!$CS$259)</f>
        <v>16.5</v>
      </c>
      <c r="BZ198" s="46">
        <f t="shared" si="17"/>
        <v>146.27936544231218</v>
      </c>
      <c r="CB198" s="191"/>
      <c r="CC198"/>
      <c r="CD198"/>
      <c r="CE198"/>
      <c r="CF198"/>
      <c r="CG198"/>
      <c r="CH198"/>
      <c r="CI198"/>
      <c r="CJ198"/>
      <c r="CK198"/>
      <c r="CL198"/>
      <c r="CM198"/>
      <c r="CN198"/>
      <c r="CO198"/>
      <c r="CP198" s="252"/>
    </row>
    <row r="199" spans="22:94" ht="16.5">
      <c r="V199" s="191"/>
      <c r="W199"/>
      <c r="X199"/>
      <c r="Y199"/>
      <c r="Z199"/>
      <c r="AA199"/>
      <c r="AB199"/>
      <c r="AC199" s="191"/>
      <c r="AD199"/>
      <c r="AE199"/>
      <c r="AF199"/>
      <c r="AG199"/>
      <c r="AH199"/>
      <c r="AI199"/>
      <c r="AJ199"/>
      <c r="AK199"/>
      <c r="AL199"/>
      <c r="AM199"/>
      <c r="AN199"/>
      <c r="AO199"/>
      <c r="AP199"/>
      <c r="AQ199"/>
      <c r="AR199"/>
      <c r="AS199"/>
      <c r="AT199"/>
      <c r="AU199"/>
      <c r="AV199"/>
      <c r="AW199"/>
      <c r="AX199"/>
      <c r="AY199"/>
      <c r="AZ199"/>
      <c r="BA199"/>
      <c r="BB199"/>
      <c r="BC199"/>
      <c r="BD199"/>
      <c r="BE199"/>
      <c r="BF199"/>
      <c r="BG199" s="191"/>
      <c r="BH199"/>
      <c r="BI199" s="41"/>
      <c r="BJ199" s="51"/>
      <c r="BK199" s="193"/>
      <c r="BL199" s="194"/>
      <c r="BM199" s="195"/>
      <c r="BN199" s="196"/>
      <c r="BO199" s="193"/>
      <c r="BP199" s="193"/>
      <c r="BQ199" s="193"/>
      <c r="BR199" s="193"/>
      <c r="BS199" s="193"/>
      <c r="BT199" s="43"/>
      <c r="BU199" s="44"/>
      <c r="BV199" s="46"/>
      <c r="BW199" s="46"/>
      <c r="BX199" s="49"/>
      <c r="BY199" s="48"/>
      <c r="BZ199" s="46"/>
      <c r="CB199" s="191"/>
      <c r="CC199"/>
      <c r="CD199"/>
      <c r="CE199"/>
      <c r="CF199"/>
      <c r="CG199"/>
      <c r="CH199"/>
      <c r="CI199"/>
      <c r="CJ199"/>
      <c r="CK199"/>
      <c r="CL199"/>
      <c r="CM199"/>
      <c r="CN199"/>
      <c r="CO199"/>
      <c r="CP199" s="252"/>
    </row>
    <row r="200" spans="22:94" ht="16.5">
      <c r="V200" s="191"/>
      <c r="W200"/>
      <c r="X200"/>
      <c r="Y200"/>
      <c r="Z200"/>
      <c r="AA200"/>
      <c r="AB200"/>
      <c r="AC200" s="191"/>
      <c r="AD200"/>
      <c r="AE200"/>
      <c r="AF200"/>
      <c r="AG200"/>
      <c r="AH200"/>
      <c r="AI200"/>
      <c r="AJ200"/>
      <c r="AK200"/>
      <c r="AL200"/>
      <c r="AM200"/>
      <c r="AN200"/>
      <c r="AO200"/>
      <c r="AP200"/>
      <c r="AQ200"/>
      <c r="AR200"/>
      <c r="AS200"/>
      <c r="AT200"/>
      <c r="AU200"/>
      <c r="AV200"/>
      <c r="AW200"/>
      <c r="AX200"/>
      <c r="AY200"/>
      <c r="AZ200"/>
      <c r="BA200"/>
      <c r="BB200"/>
      <c r="BC200"/>
      <c r="BD200"/>
      <c r="BE200"/>
      <c r="BF200"/>
      <c r="BG200" s="191"/>
      <c r="BH200"/>
      <c r="BI200" s="41"/>
      <c r="BJ200" s="51"/>
      <c r="BK200" s="193"/>
      <c r="BL200" s="194"/>
      <c r="BM200" s="195"/>
      <c r="BN200" s="196"/>
      <c r="BO200" s="193"/>
      <c r="BP200" s="65" t="s">
        <v>120</v>
      </c>
      <c r="BQ200" s="193"/>
      <c r="BR200" s="193"/>
      <c r="BS200"/>
      <c r="BT200" s="43"/>
      <c r="BU200" s="44"/>
      <c r="BV200" s="46"/>
      <c r="BW200" s="46"/>
      <c r="BX200" s="49"/>
      <c r="BY200" s="48"/>
      <c r="BZ200" s="46"/>
      <c r="CB200" s="191"/>
      <c r="CC200"/>
      <c r="CD200"/>
      <c r="CE200"/>
      <c r="CF200"/>
      <c r="CG200"/>
      <c r="CH200"/>
      <c r="CI200"/>
      <c r="CJ200"/>
      <c r="CK200"/>
      <c r="CL200"/>
      <c r="CM200"/>
      <c r="CN200"/>
      <c r="CO200"/>
      <c r="CP200" s="252"/>
    </row>
    <row r="201" spans="22:94" ht="16.5">
      <c r="V201" s="191"/>
      <c r="W201"/>
      <c r="X201"/>
      <c r="Y201"/>
      <c r="Z201"/>
      <c r="AA201"/>
      <c r="AB201"/>
      <c r="AC201" s="191"/>
      <c r="AD201"/>
      <c r="AE201"/>
      <c r="AF201"/>
      <c r="AG201"/>
      <c r="AH201"/>
      <c r="AI201"/>
      <c r="AJ201"/>
      <c r="AK201"/>
      <c r="AL201"/>
      <c r="AM201"/>
      <c r="AN201"/>
      <c r="AO201"/>
      <c r="AP201"/>
      <c r="AQ201"/>
      <c r="AR201"/>
      <c r="AS201"/>
      <c r="AT201"/>
      <c r="AU201"/>
      <c r="AV201"/>
      <c r="AW201"/>
      <c r="AX201"/>
      <c r="AY201"/>
      <c r="AZ201"/>
      <c r="BA201"/>
      <c r="BB201"/>
      <c r="BC201"/>
      <c r="BD201"/>
      <c r="BE201"/>
      <c r="BF201"/>
      <c r="BG201" s="191"/>
      <c r="BH201"/>
      <c r="BP201" s="65" t="s">
        <v>123</v>
      </c>
      <c r="BS201"/>
      <c r="CB201" s="191"/>
      <c r="CC201"/>
      <c r="CD201"/>
      <c r="CE201"/>
      <c r="CF201"/>
      <c r="CG201"/>
      <c r="CH201"/>
      <c r="CI201"/>
      <c r="CJ201"/>
      <c r="CK201"/>
      <c r="CL201"/>
      <c r="CM201"/>
      <c r="CN201"/>
      <c r="CO201"/>
      <c r="CP201" s="252"/>
    </row>
    <row r="202" spans="22:94" ht="16.5">
      <c r="V202" s="191"/>
      <c r="W202" s="191"/>
      <c r="X202" s="191"/>
      <c r="Y202" s="191"/>
      <c r="Z202" s="191"/>
      <c r="AA202" s="191"/>
      <c r="AB202" s="191"/>
      <c r="AC202" s="191"/>
      <c r="AD202" s="191"/>
      <c r="AE202" s="191"/>
      <c r="AF202" s="191"/>
      <c r="AG202" s="191"/>
      <c r="AH202" s="191"/>
      <c r="AI202" s="191"/>
      <c r="AJ202" s="191"/>
      <c r="AK202" s="191"/>
      <c r="AL202" s="191"/>
      <c r="AM202" s="191"/>
      <c r="AN202" s="191"/>
      <c r="AO202" s="191"/>
      <c r="AP202" s="191"/>
      <c r="AQ202" s="191"/>
      <c r="AR202" s="191"/>
      <c r="AS202" s="191"/>
      <c r="AT202" s="191"/>
      <c r="AU202" s="191"/>
      <c r="AV202" s="191"/>
      <c r="AW202" s="191"/>
      <c r="AX202" s="191"/>
      <c r="AY202" s="191"/>
      <c r="AZ202" s="191"/>
      <c r="BA202" s="191"/>
      <c r="BB202" s="191"/>
      <c r="BC202" s="191"/>
      <c r="BD202" s="191"/>
      <c r="BE202" s="191"/>
      <c r="BF202" s="191"/>
      <c r="BG202" s="191"/>
      <c r="BH202" s="191"/>
      <c r="BI202" s="190"/>
      <c r="BJ202" s="190"/>
      <c r="BK202" s="190"/>
      <c r="BL202" s="190"/>
      <c r="BM202" s="190"/>
      <c r="BN202" s="190"/>
      <c r="BO202" s="190"/>
      <c r="BP202" s="190"/>
      <c r="BQ202" s="190"/>
      <c r="BR202" s="190"/>
      <c r="BS202" s="191"/>
      <c r="BT202" s="190"/>
      <c r="BU202" s="190"/>
      <c r="BV202" s="190"/>
      <c r="BW202" s="190"/>
      <c r="BX202" s="190"/>
      <c r="BY202" s="190"/>
      <c r="BZ202" s="190"/>
      <c r="CA202" s="190"/>
      <c r="CB202" s="191"/>
      <c r="CC202" s="191"/>
      <c r="CD202" s="191"/>
      <c r="CE202" s="191"/>
      <c r="CF202" s="191"/>
      <c r="CG202" s="191"/>
      <c r="CH202" s="191"/>
      <c r="CI202" s="191"/>
      <c r="CJ202" s="191"/>
      <c r="CK202" s="191"/>
      <c r="CL202" s="191"/>
      <c r="CM202" s="191"/>
      <c r="CN202" s="191"/>
      <c r="CO202" s="191"/>
      <c r="CP202" s="252"/>
    </row>
    <row r="203" spans="22:94" ht="16.5">
      <c r="V203" s="191"/>
      <c r="W203"/>
      <c r="X203"/>
      <c r="Y203"/>
      <c r="Z203"/>
      <c r="AA203"/>
      <c r="AB203"/>
      <c r="AC203" s="191"/>
      <c r="AD203"/>
      <c r="AE203"/>
      <c r="AF203"/>
      <c r="AG203"/>
      <c r="AH203"/>
      <c r="AI203"/>
      <c r="AJ203"/>
      <c r="AK203"/>
      <c r="AL203"/>
      <c r="AM203"/>
      <c r="AN203"/>
      <c r="AO203"/>
      <c r="AP203"/>
      <c r="AQ203"/>
      <c r="AR203"/>
      <c r="AS203"/>
      <c r="AT203"/>
      <c r="AU203"/>
      <c r="AV203"/>
      <c r="AW203"/>
      <c r="AX203"/>
      <c r="AY203"/>
      <c r="AZ203"/>
      <c r="BA203"/>
      <c r="BB203"/>
      <c r="BC203"/>
      <c r="BD203"/>
      <c r="BE203"/>
      <c r="BF203"/>
      <c r="BG203" s="191"/>
      <c r="BH203"/>
      <c r="BS203"/>
      <c r="CB203" s="191"/>
      <c r="CC203"/>
      <c r="CD203"/>
      <c r="CE203"/>
      <c r="CF203"/>
      <c r="CG203"/>
      <c r="CH203"/>
      <c r="CI203"/>
      <c r="CJ203"/>
      <c r="CK203"/>
      <c r="CL203"/>
      <c r="CM203"/>
      <c r="CN203"/>
      <c r="CO203"/>
      <c r="CP203" s="252"/>
    </row>
    <row r="204" spans="22:94" ht="16.5">
      <c r="V204" s="191"/>
      <c r="W204"/>
      <c r="X204"/>
      <c r="Y204"/>
      <c r="Z204"/>
      <c r="AA204"/>
      <c r="AB204"/>
      <c r="AC204" s="191"/>
      <c r="AD204"/>
      <c r="AE204"/>
      <c r="AF204"/>
      <c r="AG204"/>
      <c r="AH204"/>
      <c r="AI204"/>
      <c r="AJ204"/>
      <c r="AK204"/>
      <c r="AL204"/>
      <c r="AM204"/>
      <c r="AN204"/>
      <c r="AO204"/>
      <c r="AP204"/>
      <c r="AQ204"/>
      <c r="AR204"/>
      <c r="AS204"/>
      <c r="AT204"/>
      <c r="AU204"/>
      <c r="AV204"/>
      <c r="AW204"/>
      <c r="AX204"/>
      <c r="AY204"/>
      <c r="AZ204"/>
      <c r="BA204"/>
      <c r="BB204"/>
      <c r="BC204"/>
      <c r="BD204"/>
      <c r="BE204"/>
      <c r="BF204"/>
      <c r="BG204" s="191"/>
      <c r="BH204"/>
      <c r="CB204" s="191"/>
      <c r="CC204"/>
      <c r="CD204" s="12" t="s">
        <v>25</v>
      </c>
      <c r="CP204" s="252"/>
    </row>
    <row r="205" spans="22:94" ht="16.5">
      <c r="V205" s="191"/>
      <c r="W205"/>
      <c r="X205"/>
      <c r="Y205"/>
      <c r="Z205"/>
      <c r="AA205"/>
      <c r="AB205"/>
      <c r="AC205" s="191"/>
      <c r="AD205"/>
      <c r="AE205"/>
      <c r="AF205"/>
      <c r="AG205"/>
      <c r="AH205"/>
      <c r="AI205"/>
      <c r="AJ205"/>
      <c r="AK205"/>
      <c r="AL205"/>
      <c r="AM205"/>
      <c r="AN205"/>
      <c r="AO205"/>
      <c r="AP205"/>
      <c r="AQ205"/>
      <c r="AR205"/>
      <c r="AS205"/>
      <c r="AT205"/>
      <c r="AU205"/>
      <c r="AV205"/>
      <c r="AW205"/>
      <c r="AX205"/>
      <c r="AY205"/>
      <c r="AZ205"/>
      <c r="BA205"/>
      <c r="BB205"/>
      <c r="BC205"/>
      <c r="BD205"/>
      <c r="BE205"/>
      <c r="BF205"/>
      <c r="BG205" s="191"/>
      <c r="BH205"/>
      <c r="BI205"/>
      <c r="BJ205"/>
      <c r="BK205"/>
      <c r="BL205"/>
      <c r="BM205"/>
      <c r="BN205"/>
      <c r="BO205"/>
      <c r="BP205"/>
      <c r="BQ205"/>
      <c r="BR205"/>
      <c r="BS205"/>
      <c r="BT205"/>
      <c r="BU205"/>
      <c r="BV205"/>
      <c r="BW205"/>
      <c r="BX205"/>
      <c r="BY205"/>
      <c r="BZ205"/>
      <c r="CA205"/>
      <c r="CB205" s="191"/>
      <c r="CC205"/>
      <c r="CD205" s="15" t="s">
        <v>28</v>
      </c>
      <c r="CP205" s="252"/>
    </row>
    <row r="206" spans="22:94" ht="16.5">
      <c r="V206" s="192"/>
      <c r="W206" s="188"/>
      <c r="X206" s="188"/>
      <c r="Y206" s="188"/>
      <c r="Z206" s="188"/>
      <c r="AA206" s="188"/>
      <c r="AB206" s="188"/>
      <c r="AC206" s="192"/>
      <c r="AD206" s="188"/>
      <c r="AE206" s="188"/>
      <c r="AF206" s="188"/>
      <c r="AG206" s="188"/>
      <c r="AH206" s="188"/>
      <c r="AI206" s="188"/>
      <c r="AJ206" s="188"/>
      <c r="AK206" s="188"/>
      <c r="AL206" s="188"/>
      <c r="AM206" s="188"/>
      <c r="AN206" s="188"/>
      <c r="AO206" s="188"/>
      <c r="AP206" s="188"/>
      <c r="AQ206" s="188"/>
      <c r="AR206" s="188"/>
      <c r="AS206" s="188"/>
      <c r="AT206" s="188"/>
      <c r="AU206" s="188"/>
      <c r="AV206" s="188"/>
      <c r="AW206" s="188"/>
      <c r="AX206" s="188"/>
      <c r="AY206" s="188"/>
      <c r="AZ206" s="188"/>
      <c r="BA206" s="188"/>
      <c r="BB206" s="188"/>
      <c r="BC206" s="188"/>
      <c r="BD206" s="188"/>
      <c r="BE206" s="188"/>
      <c r="BF206" s="188"/>
      <c r="BG206" s="192"/>
      <c r="BH206" s="188"/>
      <c r="BI206" s="188"/>
      <c r="BJ206" s="188"/>
      <c r="BK206" s="188"/>
      <c r="BL206" s="188"/>
      <c r="BM206" s="188"/>
      <c r="BN206" s="188"/>
      <c r="BO206" s="188"/>
      <c r="BP206" s="188"/>
      <c r="BQ206" s="188"/>
      <c r="BR206" s="188"/>
      <c r="BS206" s="188"/>
      <c r="BT206" s="188"/>
      <c r="BU206" s="189"/>
      <c r="BV206" s="189"/>
      <c r="BW206" s="189"/>
      <c r="BX206" s="189"/>
      <c r="BY206" s="189"/>
      <c r="BZ206" s="189"/>
      <c r="CA206" s="189"/>
      <c r="CB206" s="192"/>
      <c r="CC206" s="188"/>
      <c r="CD206" s="25" t="s">
        <v>62</v>
      </c>
      <c r="CE206" s="25" t="s">
        <v>63</v>
      </c>
      <c r="CF206" s="25" t="s">
        <v>64</v>
      </c>
      <c r="CG206" s="25" t="s">
        <v>65</v>
      </c>
      <c r="CH206" s="25" t="s">
        <v>66</v>
      </c>
      <c r="CI206" s="25" t="s">
        <v>67</v>
      </c>
      <c r="CJ206" s="25" t="s">
        <v>68</v>
      </c>
      <c r="CK206" s="25" t="s">
        <v>69</v>
      </c>
      <c r="CL206" s="25" t="s">
        <v>70</v>
      </c>
      <c r="CM206" s="25" t="s">
        <v>71</v>
      </c>
      <c r="CN206" s="25" t="s">
        <v>72</v>
      </c>
      <c r="CO206" s="189"/>
      <c r="CP206" s="252"/>
    </row>
    <row r="207" spans="22:94" ht="16.5">
      <c r="V207" s="191"/>
      <c r="W207"/>
      <c r="X207"/>
      <c r="Y207"/>
      <c r="Z207"/>
      <c r="AA207"/>
      <c r="AB207"/>
      <c r="AC207" s="191"/>
      <c r="AD207"/>
      <c r="AE207"/>
      <c r="AF207"/>
      <c r="AG207"/>
      <c r="AH207"/>
      <c r="AI207"/>
      <c r="AJ207"/>
      <c r="AK207"/>
      <c r="AL207"/>
      <c r="AM207"/>
      <c r="AN207"/>
      <c r="AO207"/>
      <c r="AP207"/>
      <c r="AQ207"/>
      <c r="AR207"/>
      <c r="AS207"/>
      <c r="AT207"/>
      <c r="AU207"/>
      <c r="AV207"/>
      <c r="AW207"/>
      <c r="AX207"/>
      <c r="AY207"/>
      <c r="AZ207"/>
      <c r="BA207"/>
      <c r="BB207"/>
      <c r="BC207"/>
      <c r="BD207"/>
      <c r="BE207"/>
      <c r="BF207"/>
      <c r="BG207" s="191"/>
      <c r="BH207"/>
      <c r="BI207"/>
      <c r="BJ207"/>
      <c r="BK207"/>
      <c r="BL207"/>
      <c r="BM207"/>
      <c r="BN207"/>
      <c r="BO207"/>
      <c r="BP207"/>
      <c r="BQ207"/>
      <c r="BR207"/>
      <c r="BS207"/>
      <c r="BT207"/>
      <c r="CB207" s="191"/>
      <c r="CC207"/>
      <c r="CD207" s="20" t="s">
        <v>78</v>
      </c>
      <c r="CE207" s="50">
        <v>0.2</v>
      </c>
      <c r="CF207" s="50">
        <v>1.6</v>
      </c>
      <c r="CG207" s="50">
        <v>2000</v>
      </c>
      <c r="CH207" s="50">
        <v>0.85540000000000005</v>
      </c>
      <c r="CI207" s="50">
        <v>0.1177</v>
      </c>
      <c r="CJ207" s="50">
        <v>0</v>
      </c>
      <c r="CK207" s="50">
        <v>2.8999999999999998E-3</v>
      </c>
      <c r="CL207" s="17">
        <f t="shared" ref="CL207:CL248" si="18">CM207^2</f>
        <v>1.6230760000000004E-2</v>
      </c>
      <c r="CM207" s="50">
        <v>0.12740000000000001</v>
      </c>
      <c r="CN207" s="51"/>
      <c r="CP207" s="252"/>
    </row>
    <row r="208" spans="22:94" ht="16.5">
      <c r="V208" s="191"/>
      <c r="W208"/>
      <c r="X208"/>
      <c r="Y208"/>
      <c r="Z208"/>
      <c r="AA208"/>
      <c r="AB208"/>
      <c r="AC208" s="191"/>
      <c r="AD208"/>
      <c r="AE208"/>
      <c r="AF208"/>
      <c r="AG208"/>
      <c r="AH208"/>
      <c r="AI208"/>
      <c r="AJ208"/>
      <c r="AK208"/>
      <c r="AL208"/>
      <c r="AM208"/>
      <c r="AN208"/>
      <c r="AO208"/>
      <c r="AP208"/>
      <c r="AQ208"/>
      <c r="AR208"/>
      <c r="AS208"/>
      <c r="AT208"/>
      <c r="AU208"/>
      <c r="AV208"/>
      <c r="AW208"/>
      <c r="AX208"/>
      <c r="AY208"/>
      <c r="AZ208"/>
      <c r="BA208"/>
      <c r="BB208"/>
      <c r="BC208"/>
      <c r="BD208"/>
      <c r="BE208"/>
      <c r="BF208"/>
      <c r="BG208" s="191"/>
      <c r="BH208"/>
      <c r="BI208"/>
      <c r="BJ208"/>
      <c r="BK208"/>
      <c r="BL208"/>
      <c r="BM208"/>
      <c r="BN208"/>
      <c r="BO208"/>
      <c r="BP208"/>
      <c r="BQ208"/>
      <c r="BR208"/>
      <c r="BS208"/>
      <c r="BT208"/>
      <c r="CB208" s="191"/>
      <c r="CC208"/>
      <c r="CD208" s="20" t="s">
        <v>79</v>
      </c>
      <c r="CE208" s="50">
        <v>0.2</v>
      </c>
      <c r="CF208" s="50">
        <v>1.6</v>
      </c>
      <c r="CG208" s="50">
        <v>2000</v>
      </c>
      <c r="CH208" s="50">
        <v>0.71940000000000004</v>
      </c>
      <c r="CI208" s="50">
        <v>0.11020000000000001</v>
      </c>
      <c r="CJ208" s="50">
        <v>0</v>
      </c>
      <c r="CK208" s="50">
        <v>3.0000000000000001E-3</v>
      </c>
      <c r="CL208" s="17">
        <f t="shared" si="18"/>
        <v>1.4713690000000001E-2</v>
      </c>
      <c r="CM208" s="50">
        <v>0.12130000000000001</v>
      </c>
      <c r="CN208" s="51"/>
      <c r="CP208" s="252"/>
    </row>
    <row r="209" spans="22:94" ht="16.5">
      <c r="V209" s="191"/>
      <c r="W209"/>
      <c r="X209"/>
      <c r="Y209"/>
      <c r="Z209"/>
      <c r="AA209"/>
      <c r="AB209"/>
      <c r="AC209" s="191"/>
      <c r="AD209"/>
      <c r="AE209"/>
      <c r="AF209"/>
      <c r="AG209"/>
      <c r="AH209"/>
      <c r="AI209"/>
      <c r="AJ209"/>
      <c r="AK209"/>
      <c r="AL209"/>
      <c r="AM209"/>
      <c r="AN209"/>
      <c r="AO209"/>
      <c r="AP209"/>
      <c r="AQ209"/>
      <c r="AR209"/>
      <c r="AS209"/>
      <c r="AT209"/>
      <c r="AU209"/>
      <c r="AV209"/>
      <c r="AW209"/>
      <c r="AX209"/>
      <c r="AY209"/>
      <c r="AZ209"/>
      <c r="BA209"/>
      <c r="BB209"/>
      <c r="BC209"/>
      <c r="BD209"/>
      <c r="BE209"/>
      <c r="BF209"/>
      <c r="BG209" s="191"/>
      <c r="BH209"/>
      <c r="BI209"/>
      <c r="BJ209"/>
      <c r="BK209"/>
      <c r="BL209"/>
      <c r="BM209"/>
      <c r="BN209"/>
      <c r="BO209"/>
      <c r="BP209"/>
      <c r="BQ209"/>
      <c r="BR209"/>
      <c r="BS209"/>
      <c r="BT209"/>
      <c r="CB209" s="191"/>
      <c r="CC209"/>
      <c r="CD209" s="20" t="s">
        <v>81</v>
      </c>
      <c r="CE209" s="50">
        <v>0.28000000000000003</v>
      </c>
      <c r="CF209" s="50">
        <v>1.4</v>
      </c>
      <c r="CG209" s="50">
        <v>1200</v>
      </c>
      <c r="CH209" s="50">
        <v>0.71940000000000004</v>
      </c>
      <c r="CI209" s="50">
        <v>0.11020000000000001</v>
      </c>
      <c r="CJ209" s="50">
        <v>0</v>
      </c>
      <c r="CK209" s="50">
        <v>3.0000000000000001E-3</v>
      </c>
      <c r="CL209" s="17">
        <f t="shared" si="18"/>
        <v>1.4713690000000001E-2</v>
      </c>
      <c r="CM209" s="50">
        <v>0.12130000000000001</v>
      </c>
      <c r="CN209" s="51"/>
      <c r="CP209" s="252"/>
    </row>
    <row r="210" spans="22:94" ht="16.5">
      <c r="V210" s="191"/>
      <c r="W210"/>
      <c r="X210"/>
      <c r="Y210"/>
      <c r="Z210"/>
      <c r="AA210"/>
      <c r="AB210"/>
      <c r="AC210" s="191"/>
      <c r="AD210"/>
      <c r="AE210"/>
      <c r="AF210"/>
      <c r="AG210"/>
      <c r="AH210"/>
      <c r="AI210"/>
      <c r="AJ210"/>
      <c r="AK210"/>
      <c r="AL210"/>
      <c r="AM210"/>
      <c r="AN210"/>
      <c r="AO210"/>
      <c r="AP210"/>
      <c r="AQ210"/>
      <c r="AR210"/>
      <c r="AS210"/>
      <c r="AT210"/>
      <c r="AU210"/>
      <c r="AV210"/>
      <c r="AW210"/>
      <c r="AX210"/>
      <c r="AY210"/>
      <c r="AZ210"/>
      <c r="BA210"/>
      <c r="BB210"/>
      <c r="BC210"/>
      <c r="BD210"/>
      <c r="BE210"/>
      <c r="BF210"/>
      <c r="BG210" s="191"/>
      <c r="BH210"/>
      <c r="BI210"/>
      <c r="BJ210"/>
      <c r="BK210"/>
      <c r="BL210"/>
      <c r="BM210"/>
      <c r="BN210"/>
      <c r="BO210"/>
      <c r="BP210"/>
      <c r="BQ210"/>
      <c r="BR210"/>
      <c r="BS210"/>
      <c r="BT210"/>
      <c r="CB210" s="191"/>
      <c r="CC210"/>
      <c r="CD210" s="20" t="s">
        <v>87</v>
      </c>
      <c r="CE210" s="50">
        <v>0.41</v>
      </c>
      <c r="CF210" s="50">
        <v>1.3</v>
      </c>
      <c r="CG210" s="50">
        <v>1500</v>
      </c>
      <c r="CH210" s="50">
        <v>0.85540000000000005</v>
      </c>
      <c r="CI210" s="50">
        <v>0.1177</v>
      </c>
      <c r="CJ210" s="50">
        <v>0</v>
      </c>
      <c r="CK210" s="50">
        <v>2.8999999999999998E-3</v>
      </c>
      <c r="CL210" s="17">
        <f t="shared" si="18"/>
        <v>1.6230760000000004E-2</v>
      </c>
      <c r="CM210" s="50">
        <v>0.12740000000000001</v>
      </c>
      <c r="CN210" s="51"/>
      <c r="CP210" s="252"/>
    </row>
    <row r="211" spans="22:94" ht="16.5">
      <c r="V211" s="191"/>
      <c r="W211"/>
      <c r="X211"/>
      <c r="Y211"/>
      <c r="Z211"/>
      <c r="AA211"/>
      <c r="AB211"/>
      <c r="AC211" s="191"/>
      <c r="AD211"/>
      <c r="AE211"/>
      <c r="AF211"/>
      <c r="AG211"/>
      <c r="AH211"/>
      <c r="AI211"/>
      <c r="AJ211"/>
      <c r="AK211"/>
      <c r="AL211"/>
      <c r="AM211"/>
      <c r="AN211"/>
      <c r="AO211"/>
      <c r="AP211"/>
      <c r="AQ211"/>
      <c r="AR211"/>
      <c r="AS211"/>
      <c r="AT211"/>
      <c r="AU211"/>
      <c r="AV211"/>
      <c r="AW211"/>
      <c r="AX211"/>
      <c r="AY211"/>
      <c r="AZ211"/>
      <c r="BA211"/>
      <c r="BB211"/>
      <c r="BC211"/>
      <c r="BD211"/>
      <c r="BE211"/>
      <c r="BF211"/>
      <c r="BG211" s="191"/>
      <c r="BH211"/>
      <c r="BI211"/>
      <c r="BJ211"/>
      <c r="BK211"/>
      <c r="BL211"/>
      <c r="BM211"/>
      <c r="BN211"/>
      <c r="BO211"/>
      <c r="BP211"/>
      <c r="BQ211"/>
      <c r="BR211"/>
      <c r="BS211"/>
      <c r="BT211"/>
      <c r="CB211" s="191"/>
      <c r="CC211"/>
      <c r="CD211" s="20" t="s">
        <v>75</v>
      </c>
      <c r="CE211" s="50">
        <v>0.28000000000000003</v>
      </c>
      <c r="CF211" s="50">
        <v>1.4</v>
      </c>
      <c r="CG211" s="50">
        <v>2000</v>
      </c>
      <c r="CH211" s="50">
        <v>0.69269999999999998</v>
      </c>
      <c r="CI211" s="50">
        <v>7.0300000000000001E-2</v>
      </c>
      <c r="CJ211" s="50">
        <v>0</v>
      </c>
      <c r="CK211" s="50">
        <v>1.1999999999999999E-3</v>
      </c>
      <c r="CL211" s="17">
        <f t="shared" si="18"/>
        <v>1.4957290000000002E-2</v>
      </c>
      <c r="CM211" s="50">
        <v>0.12230000000000001</v>
      </c>
      <c r="CN211" s="51"/>
      <c r="CP211" s="252"/>
    </row>
    <row r="212" spans="22:94" ht="16.5">
      <c r="V212" s="191"/>
      <c r="W212"/>
      <c r="X212"/>
      <c r="Y212"/>
      <c r="Z212"/>
      <c r="AA212"/>
      <c r="AB212"/>
      <c r="AC212" s="191"/>
      <c r="AD212"/>
      <c r="AE212"/>
      <c r="AF212"/>
      <c r="AG212"/>
      <c r="AH212"/>
      <c r="AI212"/>
      <c r="AJ212"/>
      <c r="AK212"/>
      <c r="AL212"/>
      <c r="AM212"/>
      <c r="AN212"/>
      <c r="AO212"/>
      <c r="AP212"/>
      <c r="AQ212"/>
      <c r="AR212"/>
      <c r="AS212"/>
      <c r="AT212"/>
      <c r="AU212"/>
      <c r="AV212"/>
      <c r="AW212"/>
      <c r="AX212"/>
      <c r="AY212"/>
      <c r="AZ212"/>
      <c r="BA212"/>
      <c r="BB212"/>
      <c r="BC212"/>
      <c r="BD212"/>
      <c r="BE212"/>
      <c r="BF212"/>
      <c r="BG212" s="191"/>
      <c r="BH212"/>
      <c r="BI212"/>
      <c r="BJ212"/>
      <c r="BK212"/>
      <c r="BL212"/>
      <c r="BM212"/>
      <c r="BN212"/>
      <c r="BO212"/>
      <c r="BP212"/>
      <c r="BQ212"/>
      <c r="BR212"/>
      <c r="BS212"/>
      <c r="BT212"/>
      <c r="BU212" s="65"/>
      <c r="CB212" s="191"/>
      <c r="CC212"/>
      <c r="CD212" s="20" t="s">
        <v>91</v>
      </c>
      <c r="CE212" s="50">
        <v>0.04</v>
      </c>
      <c r="CF212" s="50">
        <v>2.1</v>
      </c>
      <c r="CG212" s="50">
        <v>3000</v>
      </c>
      <c r="CH212" s="50">
        <v>1.0190501798876355</v>
      </c>
      <c r="CI212" s="50">
        <v>0.174199608497973</v>
      </c>
      <c r="CJ212" s="50">
        <v>7.6964422098118896E-3</v>
      </c>
      <c r="CK212" s="50">
        <v>7.4905071015698174E-4</v>
      </c>
      <c r="CL212" s="17">
        <f t="shared" si="18"/>
        <v>0</v>
      </c>
      <c r="CM212" s="50">
        <v>0</v>
      </c>
      <c r="CN212" s="51" t="s">
        <v>92</v>
      </c>
      <c r="CP212" s="252"/>
    </row>
    <row r="213" spans="22:94" ht="16.5">
      <c r="V213" s="191"/>
      <c r="W213"/>
      <c r="X213"/>
      <c r="Y213"/>
      <c r="Z213"/>
      <c r="AA213"/>
      <c r="AB213"/>
      <c r="AC213" s="191"/>
      <c r="AD213"/>
      <c r="AE213"/>
      <c r="AF213"/>
      <c r="AG213"/>
      <c r="AH213"/>
      <c r="AI213"/>
      <c r="AJ213"/>
      <c r="AK213"/>
      <c r="AL213"/>
      <c r="AM213"/>
      <c r="AN213"/>
      <c r="AO213"/>
      <c r="AP213"/>
      <c r="AQ213"/>
      <c r="AR213"/>
      <c r="AS213"/>
      <c r="AT213"/>
      <c r="AU213"/>
      <c r="AV213"/>
      <c r="AW213"/>
      <c r="AX213"/>
      <c r="AY213"/>
      <c r="AZ213"/>
      <c r="BA213"/>
      <c r="BB213"/>
      <c r="BC213"/>
      <c r="BD213"/>
      <c r="BE213"/>
      <c r="BF213"/>
      <c r="BG213" s="191"/>
      <c r="BH213"/>
      <c r="BI213"/>
      <c r="BJ213"/>
      <c r="BK213"/>
      <c r="BL213"/>
      <c r="BM213"/>
      <c r="BN213"/>
      <c r="BO213"/>
      <c r="BP213"/>
      <c r="BQ213"/>
      <c r="BR213"/>
      <c r="BS213"/>
      <c r="BT213"/>
      <c r="BU213" s="66"/>
      <c r="CB213" s="191"/>
      <c r="CC213"/>
      <c r="CD213" s="20" t="s">
        <v>94</v>
      </c>
      <c r="CE213" s="50">
        <v>0.14000000000000001</v>
      </c>
      <c r="CF213" s="50">
        <v>2.2999999999999998</v>
      </c>
      <c r="CG213" s="50">
        <v>2000</v>
      </c>
      <c r="CH213" s="50">
        <v>1.054</v>
      </c>
      <c r="CI213" s="50">
        <v>0.1865</v>
      </c>
      <c r="CJ213" s="50">
        <v>6.7999999999999996E-3</v>
      </c>
      <c r="CK213" s="50">
        <v>2.8E-3</v>
      </c>
      <c r="CL213" s="17">
        <f t="shared" si="18"/>
        <v>7.1740899999999993E-3</v>
      </c>
      <c r="CM213" s="50">
        <v>8.4699999999999998E-2</v>
      </c>
      <c r="CN213" s="51"/>
      <c r="CP213" s="252"/>
    </row>
    <row r="214" spans="22:94" ht="16.5">
      <c r="V214" s="191"/>
      <c r="W214"/>
      <c r="X214"/>
      <c r="Y214"/>
      <c r="Z214"/>
      <c r="AA214"/>
      <c r="AB214"/>
      <c r="AC214" s="191"/>
      <c r="AD214"/>
      <c r="AE214"/>
      <c r="AF214"/>
      <c r="AG214"/>
      <c r="AH214"/>
      <c r="AI214"/>
      <c r="AJ214"/>
      <c r="AK214"/>
      <c r="AL214"/>
      <c r="AM214"/>
      <c r="AN214"/>
      <c r="AO214"/>
      <c r="AP214"/>
      <c r="AQ214"/>
      <c r="AR214"/>
      <c r="AS214"/>
      <c r="AT214"/>
      <c r="AU214"/>
      <c r="AV214"/>
      <c r="AW214"/>
      <c r="AX214"/>
      <c r="AY214"/>
      <c r="AZ214"/>
      <c r="BA214"/>
      <c r="BB214"/>
      <c r="BC214"/>
      <c r="BD214"/>
      <c r="BE214"/>
      <c r="BF214"/>
      <c r="BG214" s="191"/>
      <c r="BH214"/>
      <c r="BI214"/>
      <c r="BJ214"/>
      <c r="BK214"/>
      <c r="BL214"/>
      <c r="BM214"/>
      <c r="BN214"/>
      <c r="BO214"/>
      <c r="BP214"/>
      <c r="BQ214"/>
      <c r="BR214"/>
      <c r="BS214"/>
      <c r="BT214"/>
      <c r="BU214" s="66"/>
      <c r="CB214" s="191"/>
      <c r="CC214"/>
      <c r="CD214" s="20" t="s">
        <v>98</v>
      </c>
      <c r="CE214" s="50">
        <v>0.11</v>
      </c>
      <c r="CF214" s="50">
        <v>1.8</v>
      </c>
      <c r="CG214" s="50">
        <v>3000</v>
      </c>
      <c r="CH214" s="50">
        <v>1.054</v>
      </c>
      <c r="CI214" s="50">
        <v>0.1865</v>
      </c>
      <c r="CJ214" s="50">
        <v>6.7999999999999996E-3</v>
      </c>
      <c r="CK214" s="50">
        <v>2.8E-3</v>
      </c>
      <c r="CL214" s="17">
        <f t="shared" si="18"/>
        <v>7.1740899999999993E-3</v>
      </c>
      <c r="CM214" s="50">
        <v>8.4699999999999998E-2</v>
      </c>
      <c r="CN214" s="51"/>
      <c r="CP214" s="252"/>
    </row>
    <row r="215" spans="22:94" ht="16.5">
      <c r="V215" s="190"/>
      <c r="AB215"/>
      <c r="AC215" s="191"/>
      <c r="AD215"/>
      <c r="AE215"/>
      <c r="AF215"/>
      <c r="AG215"/>
      <c r="AH215"/>
      <c r="AI215"/>
      <c r="AJ215"/>
      <c r="AK215"/>
      <c r="AL215"/>
      <c r="AM215"/>
      <c r="AN215"/>
      <c r="AO215"/>
      <c r="AP215"/>
      <c r="AQ215"/>
      <c r="AR215"/>
      <c r="AS215"/>
      <c r="AT215"/>
      <c r="AU215"/>
      <c r="AV215"/>
      <c r="AW215"/>
      <c r="AX215"/>
      <c r="AY215"/>
      <c r="AZ215"/>
      <c r="BA215"/>
      <c r="BB215"/>
      <c r="BC215"/>
      <c r="BD215"/>
      <c r="BE215"/>
      <c r="BF215"/>
      <c r="BG215" s="191"/>
      <c r="BH215"/>
      <c r="BI215"/>
      <c r="BJ215"/>
      <c r="BK215"/>
      <c r="BL215"/>
      <c r="BM215"/>
      <c r="BN215"/>
      <c r="BO215"/>
      <c r="BP215"/>
      <c r="BQ215"/>
      <c r="BR215"/>
      <c r="BS215"/>
      <c r="BT215"/>
      <c r="CB215" s="191"/>
      <c r="CC215"/>
      <c r="CD215" s="20" t="s">
        <v>100</v>
      </c>
      <c r="CE215" s="50">
        <v>0.63</v>
      </c>
      <c r="CF215" s="50">
        <v>1.3</v>
      </c>
      <c r="CG215" s="50">
        <v>1200</v>
      </c>
      <c r="CH215" s="50">
        <v>0.86350000000000005</v>
      </c>
      <c r="CI215" s="50">
        <v>0.1288</v>
      </c>
      <c r="CJ215" s="50">
        <v>0</v>
      </c>
      <c r="CK215" s="50">
        <v>1.6999999999999999E-3</v>
      </c>
      <c r="CL215" s="17">
        <f t="shared" si="18"/>
        <v>2.4617610000000005E-2</v>
      </c>
      <c r="CM215" s="50">
        <v>0.15690000000000001</v>
      </c>
      <c r="CN215" s="51"/>
      <c r="CP215" s="252"/>
    </row>
    <row r="216" spans="22:94" ht="16.5">
      <c r="V216" s="190"/>
      <c r="AB216"/>
      <c r="AC216" s="191"/>
      <c r="AD216"/>
      <c r="AE216"/>
      <c r="AF216"/>
      <c r="AG216"/>
      <c r="AH216"/>
      <c r="AI216"/>
      <c r="AJ216"/>
      <c r="AK216"/>
      <c r="AL216"/>
      <c r="AM216"/>
      <c r="AN216"/>
      <c r="AO216"/>
      <c r="AP216"/>
      <c r="AQ216"/>
      <c r="AR216"/>
      <c r="AS216"/>
      <c r="AT216"/>
      <c r="AU216"/>
      <c r="AV216"/>
      <c r="AW216"/>
      <c r="AX216"/>
      <c r="AY216"/>
      <c r="AZ216"/>
      <c r="BA216"/>
      <c r="BB216"/>
      <c r="BC216"/>
      <c r="BD216"/>
      <c r="BE216"/>
      <c r="BF216"/>
      <c r="BG216" s="191"/>
      <c r="BH216"/>
      <c r="BI216"/>
      <c r="BJ216"/>
      <c r="BK216"/>
      <c r="BL216"/>
      <c r="BM216"/>
      <c r="BN216"/>
      <c r="BO216"/>
      <c r="BP216"/>
      <c r="BQ216"/>
      <c r="BR216"/>
      <c r="BS216"/>
      <c r="BT216"/>
      <c r="BU216" s="66"/>
      <c r="CB216" s="191"/>
      <c r="CC216"/>
      <c r="CD216" s="20" t="s">
        <v>97</v>
      </c>
      <c r="CE216" s="50">
        <v>0.27</v>
      </c>
      <c r="CF216" s="50">
        <v>1.4</v>
      </c>
      <c r="CG216" s="50">
        <v>2000</v>
      </c>
      <c r="CH216" s="50">
        <v>0.69269999999999998</v>
      </c>
      <c r="CI216" s="50">
        <v>7.0300000000000001E-2</v>
      </c>
      <c r="CJ216" s="50">
        <v>0</v>
      </c>
      <c r="CK216" s="50">
        <v>1.1999999999999999E-3</v>
      </c>
      <c r="CL216" s="17">
        <f t="shared" si="18"/>
        <v>1.4957290000000002E-2</v>
      </c>
      <c r="CM216" s="50">
        <v>0.12230000000000001</v>
      </c>
      <c r="CN216" s="51"/>
      <c r="CP216" s="252"/>
    </row>
    <row r="217" spans="22:94" ht="16.5">
      <c r="V217" s="190"/>
      <c r="AB217"/>
      <c r="AC217" s="191"/>
      <c r="AD217"/>
      <c r="AE217"/>
      <c r="AF217"/>
      <c r="AG217"/>
      <c r="AH217"/>
      <c r="AI217"/>
      <c r="AJ217"/>
      <c r="AK217"/>
      <c r="AL217"/>
      <c r="AM217"/>
      <c r="AN217"/>
      <c r="AO217"/>
      <c r="AP217"/>
      <c r="AQ217"/>
      <c r="AR217"/>
      <c r="AS217"/>
      <c r="AT217"/>
      <c r="AU217"/>
      <c r="AV217"/>
      <c r="AW217"/>
      <c r="AX217"/>
      <c r="AY217"/>
      <c r="AZ217"/>
      <c r="BA217"/>
      <c r="BB217"/>
      <c r="BC217"/>
      <c r="BD217"/>
      <c r="BE217"/>
      <c r="BF217"/>
      <c r="BG217" s="191"/>
      <c r="BH217"/>
      <c r="BI217"/>
      <c r="BJ217"/>
      <c r="BK217"/>
      <c r="BL217"/>
      <c r="BM217"/>
      <c r="BN217"/>
      <c r="BO217"/>
      <c r="BP217"/>
      <c r="BQ217"/>
      <c r="BR217"/>
      <c r="BS217"/>
      <c r="BT217"/>
      <c r="BU217" s="66"/>
      <c r="CB217" s="191"/>
      <c r="CC217"/>
      <c r="CD217" s="20" t="s">
        <v>105</v>
      </c>
      <c r="CE217" s="50">
        <v>0.22</v>
      </c>
      <c r="CF217" s="50">
        <v>1.8</v>
      </c>
      <c r="CG217" s="50">
        <v>1500</v>
      </c>
      <c r="CH217" s="50">
        <v>0.65290000000000004</v>
      </c>
      <c r="CI217" s="50">
        <v>0.15110000000000001</v>
      </c>
      <c r="CJ217" s="50">
        <v>0</v>
      </c>
      <c r="CK217" s="50">
        <v>7.7999999999999996E-3</v>
      </c>
      <c r="CL217" s="17">
        <f t="shared" si="18"/>
        <v>1.525225E-2</v>
      </c>
      <c r="CM217" s="50">
        <v>0.1235</v>
      </c>
      <c r="CN217" s="51"/>
      <c r="CP217" s="252"/>
    </row>
    <row r="218" spans="22:94" ht="16.5">
      <c r="V218" s="191"/>
      <c r="W218"/>
      <c r="X218"/>
      <c r="Y218"/>
      <c r="Z218"/>
      <c r="AB218"/>
      <c r="AC218" s="191"/>
      <c r="AD218"/>
      <c r="AE218"/>
      <c r="AF218"/>
      <c r="AG218"/>
      <c r="AH218"/>
      <c r="AI218"/>
      <c r="AJ218"/>
      <c r="AK218"/>
      <c r="AL218"/>
      <c r="AM218"/>
      <c r="AN218"/>
      <c r="AO218"/>
      <c r="AP218"/>
      <c r="AQ218"/>
      <c r="AR218"/>
      <c r="AS218"/>
      <c r="AT218"/>
      <c r="AU218"/>
      <c r="AV218"/>
      <c r="AW218"/>
      <c r="AX218"/>
      <c r="AY218"/>
      <c r="AZ218"/>
      <c r="BA218"/>
      <c r="BB218"/>
      <c r="BC218"/>
      <c r="BD218"/>
      <c r="BE218"/>
      <c r="BF218"/>
      <c r="BG218" s="191"/>
      <c r="BH218"/>
      <c r="BI218"/>
      <c r="BJ218"/>
      <c r="BK218"/>
      <c r="BL218"/>
      <c r="BM218"/>
      <c r="BN218"/>
      <c r="BO218"/>
      <c r="BP218"/>
      <c r="BQ218"/>
      <c r="BR218"/>
      <c r="BS218"/>
      <c r="BT218"/>
      <c r="BU218" s="65"/>
      <c r="CB218" s="191"/>
      <c r="CC218"/>
      <c r="CD218" s="20" t="s">
        <v>107</v>
      </c>
      <c r="CE218" s="50">
        <v>0.15</v>
      </c>
      <c r="CF218" s="50">
        <v>1.6</v>
      </c>
      <c r="CG218" s="50">
        <v>2500</v>
      </c>
      <c r="CH218" s="50">
        <v>0.65290000000000004</v>
      </c>
      <c r="CI218" s="50">
        <v>0.15110000000000001</v>
      </c>
      <c r="CJ218" s="50">
        <v>0</v>
      </c>
      <c r="CK218" s="50">
        <v>7.7999999999999996E-3</v>
      </c>
      <c r="CL218" s="17">
        <f t="shared" si="18"/>
        <v>1.525225E-2</v>
      </c>
      <c r="CM218" s="50">
        <v>0.1235</v>
      </c>
      <c r="CN218" s="51"/>
      <c r="CP218" s="252"/>
    </row>
    <row r="219" spans="22:94" ht="16.5">
      <c r="V219" s="191"/>
      <c r="W219"/>
      <c r="X219"/>
      <c r="Y219"/>
      <c r="Z219"/>
      <c r="AB219"/>
      <c r="AC219" s="191"/>
      <c r="AD219"/>
      <c r="AE219"/>
      <c r="AF219"/>
      <c r="AG219"/>
      <c r="AH219"/>
      <c r="AI219"/>
      <c r="AJ219"/>
      <c r="AK219"/>
      <c r="AL219"/>
      <c r="AM219"/>
      <c r="AN219"/>
      <c r="AO219"/>
      <c r="AP219"/>
      <c r="AQ219"/>
      <c r="AR219"/>
      <c r="AS219"/>
      <c r="AT219"/>
      <c r="AU219"/>
      <c r="AV219"/>
      <c r="AW219"/>
      <c r="AX219"/>
      <c r="AY219"/>
      <c r="AZ219"/>
      <c r="BA219"/>
      <c r="BB219"/>
      <c r="BC219"/>
      <c r="BD219"/>
      <c r="BE219"/>
      <c r="BF219"/>
      <c r="BG219" s="191"/>
      <c r="BH219"/>
      <c r="BI219"/>
      <c r="BJ219"/>
      <c r="BK219"/>
      <c r="BL219"/>
      <c r="BM219"/>
      <c r="BN219"/>
      <c r="BO219"/>
      <c r="BP219"/>
      <c r="BQ219"/>
      <c r="BR219"/>
      <c r="BS219"/>
      <c r="BT219"/>
      <c r="BU219" s="66"/>
      <c r="CB219" s="191"/>
      <c r="CC219"/>
      <c r="CD219" s="20" t="s">
        <v>112</v>
      </c>
      <c r="CE219" s="50">
        <v>0.03</v>
      </c>
      <c r="CF219" s="50">
        <v>2</v>
      </c>
      <c r="CG219" s="50">
        <v>4000</v>
      </c>
      <c r="CH219" s="50">
        <v>0.65290000000000004</v>
      </c>
      <c r="CI219" s="50">
        <v>0.15110000000000001</v>
      </c>
      <c r="CJ219" s="50">
        <v>0</v>
      </c>
      <c r="CK219" s="50">
        <v>7.7999999999999996E-3</v>
      </c>
      <c r="CL219" s="17">
        <f t="shared" si="18"/>
        <v>1.525225E-2</v>
      </c>
      <c r="CM219" s="50">
        <v>0.1235</v>
      </c>
      <c r="CN219" s="51"/>
      <c r="CP219" s="252"/>
    </row>
    <row r="220" spans="22:94" ht="16.5">
      <c r="V220" s="191"/>
      <c r="W220"/>
      <c r="X220"/>
      <c r="Y220"/>
      <c r="Z220"/>
      <c r="AB220"/>
      <c r="AC220" s="191"/>
      <c r="AD220"/>
      <c r="AE220"/>
      <c r="AF220"/>
      <c r="AG220"/>
      <c r="AH220"/>
      <c r="AI220"/>
      <c r="AJ220"/>
      <c r="AK220"/>
      <c r="AL220"/>
      <c r="AM220"/>
      <c r="AN220"/>
      <c r="AO220"/>
      <c r="AP220"/>
      <c r="AQ220"/>
      <c r="AR220"/>
      <c r="AS220"/>
      <c r="AT220"/>
      <c r="AU220"/>
      <c r="AV220"/>
      <c r="AW220"/>
      <c r="AX220"/>
      <c r="AY220"/>
      <c r="AZ220"/>
      <c r="BA220"/>
      <c r="BB220"/>
      <c r="BC220"/>
      <c r="BD220"/>
      <c r="BE220"/>
      <c r="BF220"/>
      <c r="BG220" s="191"/>
      <c r="BH220"/>
      <c r="BI220"/>
      <c r="BJ220"/>
      <c r="BK220"/>
      <c r="BL220"/>
      <c r="BM220"/>
      <c r="BN220"/>
      <c r="BO220"/>
      <c r="BP220"/>
      <c r="BQ220"/>
      <c r="BR220"/>
      <c r="BS220"/>
      <c r="BT220"/>
      <c r="CB220" s="191"/>
      <c r="CC220"/>
      <c r="CD220" s="20" t="s">
        <v>114</v>
      </c>
      <c r="CE220" s="50">
        <v>0.16</v>
      </c>
      <c r="CF220" s="50">
        <v>1.6</v>
      </c>
      <c r="CG220" s="50">
        <v>2000</v>
      </c>
      <c r="CH220" s="50">
        <v>0.80910000000000004</v>
      </c>
      <c r="CI220" s="50">
        <v>0.1109</v>
      </c>
      <c r="CJ220" s="50">
        <v>0</v>
      </c>
      <c r="CK220" s="50">
        <v>1.4E-3</v>
      </c>
      <c r="CL220" s="17">
        <f t="shared" si="18"/>
        <v>1.605289E-2</v>
      </c>
      <c r="CM220" s="50">
        <v>0.12670000000000001</v>
      </c>
      <c r="CN220" s="51"/>
      <c r="CP220" s="252"/>
    </row>
    <row r="221" spans="22:94" ht="16.5">
      <c r="V221" s="191"/>
      <c r="W221"/>
      <c r="X221"/>
      <c r="Y221"/>
      <c r="Z221"/>
      <c r="AB221"/>
      <c r="AC221" s="191"/>
      <c r="AD221"/>
      <c r="AE221"/>
      <c r="AF221"/>
      <c r="AG221"/>
      <c r="AH221"/>
      <c r="AI221"/>
      <c r="AJ221"/>
      <c r="AK221"/>
      <c r="AL221"/>
      <c r="AM221"/>
      <c r="AN221"/>
      <c r="AO221"/>
      <c r="AP221"/>
      <c r="AQ221"/>
      <c r="AR221"/>
      <c r="AS221"/>
      <c r="AT221"/>
      <c r="AU221"/>
      <c r="AV221"/>
      <c r="AW221"/>
      <c r="AX221"/>
      <c r="AY221"/>
      <c r="AZ221"/>
      <c r="BA221"/>
      <c r="BB221"/>
      <c r="BC221"/>
      <c r="BD221"/>
      <c r="BE221"/>
      <c r="BF221"/>
      <c r="BG221" s="191"/>
      <c r="BH221"/>
      <c r="BI221"/>
      <c r="BJ221"/>
      <c r="BK221"/>
      <c r="BL221"/>
      <c r="BM221"/>
      <c r="BN221"/>
      <c r="BO221"/>
      <c r="BP221"/>
      <c r="BQ221"/>
      <c r="BR221"/>
      <c r="BS221"/>
      <c r="BT221"/>
      <c r="CB221" s="191"/>
      <c r="CC221"/>
      <c r="CD221" s="20" t="s">
        <v>99</v>
      </c>
      <c r="CE221" s="50">
        <v>3.0000000000000001E-3</v>
      </c>
      <c r="CF221" s="50">
        <v>2</v>
      </c>
      <c r="CG221" s="50">
        <v>16000</v>
      </c>
      <c r="CH221" s="50">
        <v>0.86409999999999998</v>
      </c>
      <c r="CI221" s="50">
        <v>0.15640000000000001</v>
      </c>
      <c r="CJ221" s="50">
        <v>3.3999999999999998E-3</v>
      </c>
      <c r="CK221" s="50">
        <v>4.5999999999999999E-3</v>
      </c>
      <c r="CL221" s="17">
        <f t="shared" si="18"/>
        <v>7.3959999999999989E-3</v>
      </c>
      <c r="CM221" s="50">
        <v>8.5999999999999993E-2</v>
      </c>
      <c r="CN221" s="51"/>
      <c r="CP221" s="252"/>
    </row>
    <row r="222" spans="22:94" ht="16.5">
      <c r="V222" s="191"/>
      <c r="W222"/>
      <c r="X222"/>
      <c r="Y222"/>
      <c r="Z222"/>
      <c r="AB222"/>
      <c r="AC222" s="191"/>
      <c r="AD222"/>
      <c r="AE222"/>
      <c r="AF222"/>
      <c r="AG222"/>
      <c r="AH222"/>
      <c r="AI222"/>
      <c r="AJ222"/>
      <c r="AK222"/>
      <c r="AL222"/>
      <c r="AM222"/>
      <c r="AN222"/>
      <c r="AO222"/>
      <c r="AP222"/>
      <c r="AQ222"/>
      <c r="AR222"/>
      <c r="AS222"/>
      <c r="AT222"/>
      <c r="AU222"/>
      <c r="AV222"/>
      <c r="AW222"/>
      <c r="AX222"/>
      <c r="AY222"/>
      <c r="AZ222"/>
      <c r="BA222"/>
      <c r="BB222"/>
      <c r="BC222"/>
      <c r="BD222"/>
      <c r="BE222"/>
      <c r="BF222"/>
      <c r="BG222" s="191"/>
      <c r="BH222"/>
      <c r="BI222"/>
      <c r="BJ222"/>
      <c r="BK222"/>
      <c r="BL222"/>
      <c r="BM222"/>
      <c r="BN222"/>
      <c r="BO222"/>
      <c r="BP222"/>
      <c r="BQ222"/>
      <c r="BR222"/>
      <c r="BS222"/>
      <c r="BT222"/>
      <c r="CB222" s="191"/>
      <c r="CC222"/>
      <c r="CD222" s="20" t="s">
        <v>116</v>
      </c>
      <c r="CE222" s="50">
        <v>0.32</v>
      </c>
      <c r="CF222" s="50">
        <v>2.1</v>
      </c>
      <c r="CG222" s="50">
        <v>2000</v>
      </c>
      <c r="CH222" s="50">
        <v>1.2211000000000001</v>
      </c>
      <c r="CI222" s="50">
        <v>0.17369999999999999</v>
      </c>
      <c r="CJ222" s="50">
        <v>0</v>
      </c>
      <c r="CK222" s="50">
        <v>-1.6999999999999999E-3</v>
      </c>
      <c r="CL222" s="17">
        <f t="shared" si="18"/>
        <v>1.5976960000000002E-2</v>
      </c>
      <c r="CM222" s="50">
        <v>0.12640000000000001</v>
      </c>
      <c r="CN222" s="51"/>
      <c r="CP222" s="252"/>
    </row>
    <row r="223" spans="22:94" ht="16.5">
      <c r="V223" s="191"/>
      <c r="W223"/>
      <c r="X223"/>
      <c r="Y223"/>
      <c r="Z223"/>
      <c r="AB223"/>
      <c r="AC223" s="191"/>
      <c r="AD223"/>
      <c r="AE223"/>
      <c r="AF223"/>
      <c r="AG223"/>
      <c r="AH223"/>
      <c r="AI223"/>
      <c r="AJ223"/>
      <c r="AK223"/>
      <c r="AL223"/>
      <c r="AM223"/>
      <c r="AN223"/>
      <c r="AO223"/>
      <c r="AP223"/>
      <c r="AQ223"/>
      <c r="AR223"/>
      <c r="AS223"/>
      <c r="AT223"/>
      <c r="AU223"/>
      <c r="AV223"/>
      <c r="AW223"/>
      <c r="AX223"/>
      <c r="AY223"/>
      <c r="AZ223"/>
      <c r="BA223"/>
      <c r="BB223"/>
      <c r="BC223"/>
      <c r="BD223"/>
      <c r="BE223"/>
      <c r="BF223"/>
      <c r="BG223" s="191"/>
      <c r="BH223"/>
      <c r="BI223"/>
      <c r="BJ223"/>
      <c r="BK223"/>
      <c r="BL223"/>
      <c r="BM223"/>
      <c r="BN223"/>
      <c r="BO223"/>
      <c r="BP223"/>
      <c r="BQ223"/>
      <c r="BR223"/>
      <c r="BS223"/>
      <c r="BT223"/>
      <c r="CB223" s="191"/>
      <c r="CC223"/>
      <c r="CD223" s="20" t="s">
        <v>117</v>
      </c>
      <c r="CE223" s="50">
        <v>0.18</v>
      </c>
      <c r="CF223" s="50">
        <v>1.7</v>
      </c>
      <c r="CG223" s="50">
        <v>2000</v>
      </c>
      <c r="CH223" s="50">
        <v>0.71940000000000004</v>
      </c>
      <c r="CI223" s="50">
        <v>0.11020000000000001</v>
      </c>
      <c r="CJ223" s="50">
        <v>0</v>
      </c>
      <c r="CK223" s="50">
        <v>3.0000000000000001E-3</v>
      </c>
      <c r="CL223" s="17">
        <f t="shared" si="18"/>
        <v>1.4713690000000001E-2</v>
      </c>
      <c r="CM223" s="50">
        <v>0.12130000000000001</v>
      </c>
      <c r="CN223" s="51"/>
      <c r="CP223" s="252"/>
    </row>
    <row r="224" spans="22:94" ht="16.5">
      <c r="V224" s="191"/>
      <c r="W224"/>
      <c r="X224"/>
      <c r="Y224"/>
      <c r="Z224"/>
      <c r="AB224"/>
      <c r="AC224" s="191"/>
      <c r="AD224"/>
      <c r="AE224"/>
      <c r="AF224"/>
      <c r="AG224"/>
      <c r="AH224"/>
      <c r="AI224"/>
      <c r="AJ224"/>
      <c r="AK224"/>
      <c r="AL224"/>
      <c r="AM224"/>
      <c r="AN224"/>
      <c r="AO224"/>
      <c r="AP224"/>
      <c r="AQ224"/>
      <c r="AR224"/>
      <c r="AS224"/>
      <c r="AT224"/>
      <c r="AU224"/>
      <c r="AV224"/>
      <c r="AW224"/>
      <c r="AX224"/>
      <c r="AY224"/>
      <c r="AZ224"/>
      <c r="BA224"/>
      <c r="BB224"/>
      <c r="BC224"/>
      <c r="BD224"/>
      <c r="BE224"/>
      <c r="BF224"/>
      <c r="BG224" s="191"/>
      <c r="BH224"/>
      <c r="BI224"/>
      <c r="BJ224"/>
      <c r="BK224"/>
      <c r="BL224"/>
      <c r="BM224"/>
      <c r="BN224"/>
      <c r="BO224"/>
      <c r="BP224"/>
      <c r="BQ224"/>
      <c r="BR224"/>
      <c r="BS224"/>
      <c r="BT224"/>
      <c r="CB224" s="191"/>
      <c r="CC224"/>
      <c r="CD224" s="20" t="s">
        <v>118</v>
      </c>
      <c r="CE224" s="50">
        <v>0.1</v>
      </c>
      <c r="CF224" s="50">
        <v>1.8</v>
      </c>
      <c r="CG224" s="50">
        <v>3000</v>
      </c>
      <c r="CH224" s="50">
        <v>0.80910000000000004</v>
      </c>
      <c r="CI224" s="50">
        <v>0.1109</v>
      </c>
      <c r="CJ224" s="50">
        <v>0</v>
      </c>
      <c r="CK224" s="50">
        <v>1.4E-3</v>
      </c>
      <c r="CL224" s="17">
        <f t="shared" si="18"/>
        <v>1.605289E-2</v>
      </c>
      <c r="CM224" s="50">
        <v>0.12670000000000001</v>
      </c>
      <c r="CN224" s="51"/>
      <c r="CP224" s="252"/>
    </row>
    <row r="225" spans="22:94" ht="16.5">
      <c r="V225" s="191"/>
      <c r="W225"/>
      <c r="X225"/>
      <c r="Y225"/>
      <c r="Z225"/>
      <c r="AB225"/>
      <c r="AC225" s="191"/>
      <c r="AD225"/>
      <c r="AE225"/>
      <c r="AF225"/>
      <c r="AG225"/>
      <c r="AH225"/>
      <c r="AI225"/>
      <c r="AJ225"/>
      <c r="AK225"/>
      <c r="AL225"/>
      <c r="AM225"/>
      <c r="AN225"/>
      <c r="AO225"/>
      <c r="AP225"/>
      <c r="AQ225"/>
      <c r="AR225"/>
      <c r="AS225"/>
      <c r="AT225"/>
      <c r="AU225"/>
      <c r="AV225"/>
      <c r="AW225"/>
      <c r="AX225"/>
      <c r="AY225"/>
      <c r="AZ225"/>
      <c r="BA225"/>
      <c r="BB225"/>
      <c r="BC225"/>
      <c r="BD225"/>
      <c r="BE225"/>
      <c r="BF225"/>
      <c r="BG225" s="191"/>
      <c r="BH225"/>
      <c r="BI225"/>
      <c r="BJ225"/>
      <c r="BK225"/>
      <c r="BL225"/>
      <c r="BM225"/>
      <c r="BN225"/>
      <c r="BO225"/>
      <c r="BP225"/>
      <c r="BQ225"/>
      <c r="BR225"/>
      <c r="BS225"/>
      <c r="BT225"/>
      <c r="CB225" s="191"/>
      <c r="CC225"/>
      <c r="CD225" s="20" t="s">
        <v>119</v>
      </c>
      <c r="CE225" s="50">
        <v>0.43</v>
      </c>
      <c r="CF225" s="50">
        <v>1.8</v>
      </c>
      <c r="CG225" s="50">
        <v>1500</v>
      </c>
      <c r="CH225" s="50">
        <v>0.80910000000000004</v>
      </c>
      <c r="CI225" s="50">
        <v>0.1109</v>
      </c>
      <c r="CJ225" s="50">
        <v>0</v>
      </c>
      <c r="CK225" s="50">
        <v>1.4E-3</v>
      </c>
      <c r="CL225" s="17">
        <f t="shared" si="18"/>
        <v>1.605289E-2</v>
      </c>
      <c r="CM225" s="50">
        <v>0.12670000000000001</v>
      </c>
      <c r="CN225" s="51"/>
      <c r="CP225" s="252"/>
    </row>
    <row r="226" spans="22:94" ht="16.5">
      <c r="V226" s="191"/>
      <c r="W226"/>
      <c r="X226"/>
      <c r="Y226"/>
      <c r="Z226"/>
      <c r="AB226"/>
      <c r="AC226" s="191"/>
      <c r="AD226"/>
      <c r="AE226"/>
      <c r="AF226"/>
      <c r="AG226"/>
      <c r="AH226"/>
      <c r="AI226"/>
      <c r="AJ226"/>
      <c r="AK226"/>
      <c r="AL226"/>
      <c r="AM226"/>
      <c r="AN226"/>
      <c r="AO226"/>
      <c r="AP226"/>
      <c r="AQ226"/>
      <c r="AR226"/>
      <c r="AS226"/>
      <c r="AT226"/>
      <c r="AU226"/>
      <c r="AV226"/>
      <c r="AW226"/>
      <c r="AX226"/>
      <c r="AY226"/>
      <c r="AZ226"/>
      <c r="BA226"/>
      <c r="BB226"/>
      <c r="BC226"/>
      <c r="BD226"/>
      <c r="BE226"/>
      <c r="BF226"/>
      <c r="BG226" s="191"/>
      <c r="BH226"/>
      <c r="BI226"/>
      <c r="BJ226"/>
      <c r="BK226"/>
      <c r="BL226"/>
      <c r="BM226"/>
      <c r="BN226"/>
      <c r="BO226"/>
      <c r="BP226"/>
      <c r="BQ226"/>
      <c r="BR226"/>
      <c r="BS226"/>
      <c r="BT226"/>
      <c r="CB226" s="191"/>
      <c r="CC226"/>
      <c r="CD226" s="20" t="s">
        <v>121</v>
      </c>
      <c r="CE226" s="50">
        <v>0.16</v>
      </c>
      <c r="CF226" s="50">
        <v>1.6</v>
      </c>
      <c r="CG226" s="50">
        <v>2000</v>
      </c>
      <c r="CH226" s="50">
        <v>0.86350000000000005</v>
      </c>
      <c r="CI226" s="50">
        <v>0.1288</v>
      </c>
      <c r="CJ226" s="50">
        <v>0</v>
      </c>
      <c r="CK226" s="50">
        <v>1.6999999999999999E-3</v>
      </c>
      <c r="CL226" s="17">
        <f t="shared" si="18"/>
        <v>2.4617610000000005E-2</v>
      </c>
      <c r="CM226" s="50">
        <v>0.15690000000000001</v>
      </c>
      <c r="CN226" s="51" t="s">
        <v>122</v>
      </c>
      <c r="CP226" s="252"/>
    </row>
    <row r="227" spans="22:94" ht="16.5">
      <c r="V227" s="191"/>
      <c r="W227"/>
      <c r="X227"/>
      <c r="Y227"/>
      <c r="Z227"/>
      <c r="AB227"/>
      <c r="AC227" s="191"/>
      <c r="AD227"/>
      <c r="AE227"/>
      <c r="AF227"/>
      <c r="AG227"/>
      <c r="AH227"/>
      <c r="AI227"/>
      <c r="AJ227"/>
      <c r="AK227"/>
      <c r="AL227"/>
      <c r="AM227"/>
      <c r="AN227"/>
      <c r="AO227"/>
      <c r="AP227"/>
      <c r="AQ227"/>
      <c r="AR227"/>
      <c r="AS227"/>
      <c r="AT227"/>
      <c r="AU227"/>
      <c r="AV227"/>
      <c r="AW227"/>
      <c r="AX227"/>
      <c r="AY227"/>
      <c r="AZ227"/>
      <c r="BA227"/>
      <c r="BB227"/>
      <c r="BC227"/>
      <c r="BD227"/>
      <c r="BE227"/>
      <c r="BF227"/>
      <c r="BG227" s="191"/>
      <c r="BH227"/>
      <c r="BI227"/>
      <c r="BJ227"/>
      <c r="BK227"/>
      <c r="BL227"/>
      <c r="BM227"/>
      <c r="BN227"/>
      <c r="BO227"/>
      <c r="BP227"/>
      <c r="BQ227"/>
      <c r="BR227"/>
      <c r="BS227"/>
      <c r="BT227"/>
      <c r="CB227" s="191"/>
      <c r="CC227"/>
      <c r="CD227" s="20" t="s">
        <v>86</v>
      </c>
      <c r="CE227" s="50">
        <v>5.0000000000000001E-3</v>
      </c>
      <c r="CF227" s="50">
        <v>2</v>
      </c>
      <c r="CG227" s="50">
        <v>16000</v>
      </c>
      <c r="CH227" s="50">
        <v>0.86409999999999998</v>
      </c>
      <c r="CI227" s="50">
        <v>0.15640000000000001</v>
      </c>
      <c r="CJ227" s="50">
        <v>3.3999999999999998E-3</v>
      </c>
      <c r="CK227" s="50">
        <v>4.5999999999999999E-3</v>
      </c>
      <c r="CL227" s="17">
        <f t="shared" si="18"/>
        <v>7.3959999999999989E-3</v>
      </c>
      <c r="CM227" s="50">
        <v>8.5999999999999993E-2</v>
      </c>
      <c r="CN227" s="51" t="s">
        <v>122</v>
      </c>
      <c r="CP227" s="252"/>
    </row>
    <row r="228" spans="22:94" ht="16.5">
      <c r="V228" s="191"/>
      <c r="W228"/>
      <c r="X228"/>
      <c r="Y228"/>
      <c r="Z228"/>
      <c r="AB228"/>
      <c r="AC228" s="191"/>
      <c r="AD228"/>
      <c r="AE228"/>
      <c r="AF228"/>
      <c r="AG228"/>
      <c r="AH228"/>
      <c r="AI228"/>
      <c r="AJ228"/>
      <c r="AK228"/>
      <c r="AL228"/>
      <c r="AM228"/>
      <c r="AN228"/>
      <c r="AO228"/>
      <c r="AP228"/>
      <c r="AQ228"/>
      <c r="AR228"/>
      <c r="AS228"/>
      <c r="AT228"/>
      <c r="AU228"/>
      <c r="AV228"/>
      <c r="AW228"/>
      <c r="AX228"/>
      <c r="AY228"/>
      <c r="AZ228"/>
      <c r="BA228"/>
      <c r="BB228"/>
      <c r="BC228"/>
      <c r="BD228"/>
      <c r="BE228"/>
      <c r="BF228"/>
      <c r="BG228" s="191"/>
      <c r="BH228"/>
      <c r="BI228"/>
      <c r="BJ228"/>
      <c r="BK228"/>
      <c r="BL228"/>
      <c r="BM228"/>
      <c r="BN228"/>
      <c r="BO228"/>
      <c r="BP228"/>
      <c r="BQ228"/>
      <c r="BR228"/>
      <c r="BS228"/>
      <c r="BT228"/>
      <c r="CB228" s="191"/>
      <c r="CC228"/>
      <c r="CD228" s="20" t="s">
        <v>125</v>
      </c>
      <c r="CE228" s="50">
        <v>0.28999999999999998</v>
      </c>
      <c r="CF228" s="50">
        <v>1.8</v>
      </c>
      <c r="CG228" s="50">
        <v>2000</v>
      </c>
      <c r="CH228" s="50">
        <v>0.69269999999999998</v>
      </c>
      <c r="CI228" s="50">
        <v>7.0300000000000001E-2</v>
      </c>
      <c r="CJ228" s="50">
        <v>0</v>
      </c>
      <c r="CK228" s="50">
        <v>1.1999999999999999E-3</v>
      </c>
      <c r="CL228" s="17">
        <f t="shared" si="18"/>
        <v>1.4957290000000002E-2</v>
      </c>
      <c r="CM228" s="50">
        <v>0.12230000000000001</v>
      </c>
      <c r="CN228" s="51"/>
      <c r="CP228" s="252"/>
    </row>
    <row r="229" spans="22:94" ht="16.5">
      <c r="V229" s="191"/>
      <c r="W229"/>
      <c r="X229"/>
      <c r="Y229"/>
      <c r="Z229"/>
      <c r="AB229"/>
      <c r="AC229" s="191"/>
      <c r="AD229"/>
      <c r="AE229"/>
      <c r="AF229"/>
      <c r="AG229"/>
      <c r="AH229"/>
      <c r="AI229"/>
      <c r="AJ229"/>
      <c r="AK229"/>
      <c r="AL229"/>
      <c r="AM229"/>
      <c r="AN229"/>
      <c r="AO229"/>
      <c r="AP229"/>
      <c r="AQ229"/>
      <c r="AR229"/>
      <c r="AS229"/>
      <c r="AT229"/>
      <c r="AU229"/>
      <c r="AV229"/>
      <c r="AW229"/>
      <c r="AX229"/>
      <c r="AY229"/>
      <c r="AZ229"/>
      <c r="BA229"/>
      <c r="BB229"/>
      <c r="BC229"/>
      <c r="BD229"/>
      <c r="BE229"/>
      <c r="BF229"/>
      <c r="BG229" s="191"/>
      <c r="BH229"/>
      <c r="BI229"/>
      <c r="BJ229"/>
      <c r="BK229"/>
      <c r="BL229"/>
      <c r="BM229"/>
      <c r="BN229"/>
      <c r="BO229"/>
      <c r="BP229"/>
      <c r="BQ229"/>
      <c r="BR229"/>
      <c r="BS229"/>
      <c r="BT229"/>
      <c r="CB229" s="191"/>
      <c r="CC229"/>
      <c r="CD229" s="20" t="s">
        <v>127</v>
      </c>
      <c r="CE229" s="50">
        <v>0.46</v>
      </c>
      <c r="CF229" s="50">
        <v>1.7</v>
      </c>
      <c r="CG229" s="50">
        <v>2000</v>
      </c>
      <c r="CH229" s="50">
        <v>0.90229999999999999</v>
      </c>
      <c r="CI229" s="50">
        <v>9.4299999999999995E-2</v>
      </c>
      <c r="CJ229" s="50">
        <v>0</v>
      </c>
      <c r="CK229" s="50">
        <v>-4.0000000000000002E-4</v>
      </c>
      <c r="CL229" s="17">
        <f t="shared" si="18"/>
        <v>1.1513290000000001E-2</v>
      </c>
      <c r="CM229" s="50">
        <v>0.10730000000000001</v>
      </c>
      <c r="CN229" s="51"/>
      <c r="CP229" s="252"/>
    </row>
    <row r="230" spans="22:94" ht="16.5">
      <c r="V230" s="191"/>
      <c r="W230"/>
      <c r="X230"/>
      <c r="Y230"/>
      <c r="Z230"/>
      <c r="AB230"/>
      <c r="AC230" s="191"/>
      <c r="AD230"/>
      <c r="AE230"/>
      <c r="AF230"/>
      <c r="AG230"/>
      <c r="AH230"/>
      <c r="AI230"/>
      <c r="AJ230"/>
      <c r="AK230"/>
      <c r="AL230"/>
      <c r="AM230"/>
      <c r="AN230"/>
      <c r="AO230"/>
      <c r="AP230"/>
      <c r="AQ230"/>
      <c r="AR230"/>
      <c r="AS230"/>
      <c r="AT230"/>
      <c r="AU230"/>
      <c r="AV230"/>
      <c r="AW230"/>
      <c r="AX230"/>
      <c r="AY230"/>
      <c r="AZ230"/>
      <c r="BA230"/>
      <c r="BB230"/>
      <c r="BC230"/>
      <c r="BD230"/>
      <c r="BE230"/>
      <c r="BF230"/>
      <c r="BG230" s="191"/>
      <c r="BH230"/>
      <c r="BI230"/>
      <c r="BJ230"/>
      <c r="BK230"/>
      <c r="BL230"/>
      <c r="BM230"/>
      <c r="BN230"/>
      <c r="BO230"/>
      <c r="BP230"/>
      <c r="BQ230"/>
      <c r="BR230"/>
      <c r="BS230"/>
      <c r="BT230"/>
      <c r="CB230" s="191"/>
      <c r="CC230"/>
      <c r="CD230" s="20" t="s">
        <v>130</v>
      </c>
      <c r="CE230" s="50">
        <v>0.44</v>
      </c>
      <c r="CF230" s="50">
        <v>2</v>
      </c>
      <c r="CG230" s="50">
        <v>2000</v>
      </c>
      <c r="CH230" s="50">
        <v>0.90229999999999999</v>
      </c>
      <c r="CI230" s="50">
        <v>9.4299999999999995E-2</v>
      </c>
      <c r="CJ230" s="50">
        <v>0</v>
      </c>
      <c r="CK230" s="50">
        <v>-4.0000000000000002E-4</v>
      </c>
      <c r="CL230" s="17">
        <f t="shared" si="18"/>
        <v>1.1513290000000001E-2</v>
      </c>
      <c r="CM230" s="50">
        <v>0.10730000000000001</v>
      </c>
      <c r="CN230" s="51"/>
      <c r="CP230" s="252"/>
    </row>
    <row r="231" spans="22:94" ht="16.5">
      <c r="V231" s="191"/>
      <c r="W231"/>
      <c r="X231"/>
      <c r="Y231"/>
      <c r="Z231"/>
      <c r="AB231"/>
      <c r="AC231" s="191"/>
      <c r="AD231"/>
      <c r="AE231"/>
      <c r="AF231"/>
      <c r="AG231"/>
      <c r="AH231"/>
      <c r="AI231"/>
      <c r="AJ231"/>
      <c r="AK231"/>
      <c r="AL231"/>
      <c r="AM231"/>
      <c r="AN231"/>
      <c r="AO231"/>
      <c r="AP231"/>
      <c r="AQ231"/>
      <c r="AR231"/>
      <c r="AS231"/>
      <c r="AT231"/>
      <c r="AU231"/>
      <c r="AV231"/>
      <c r="AW231"/>
      <c r="AX231"/>
      <c r="AY231"/>
      <c r="AZ231"/>
      <c r="BA231"/>
      <c r="BB231"/>
      <c r="BC231"/>
      <c r="BD231"/>
      <c r="BE231"/>
      <c r="BF231"/>
      <c r="BG231" s="191"/>
      <c r="BH231"/>
      <c r="BI231"/>
      <c r="BJ231"/>
      <c r="BK231"/>
      <c r="BL231"/>
      <c r="BM231"/>
      <c r="BN231"/>
      <c r="BO231"/>
      <c r="BP231"/>
      <c r="BQ231"/>
      <c r="BR231"/>
      <c r="BS231"/>
      <c r="BT231"/>
      <c r="CB231" s="191"/>
      <c r="CC231"/>
      <c r="CD231" s="20" t="s">
        <v>133</v>
      </c>
      <c r="CE231" s="50">
        <v>0.18</v>
      </c>
      <c r="CF231" s="50">
        <v>1.6</v>
      </c>
      <c r="CG231" s="50">
        <v>2500</v>
      </c>
      <c r="CH231" s="50">
        <v>0.72430000000000005</v>
      </c>
      <c r="CI231" s="50">
        <v>0.11269999999999999</v>
      </c>
      <c r="CJ231" s="50">
        <v>0</v>
      </c>
      <c r="CK231" s="50">
        <v>3.3999999999999998E-3</v>
      </c>
      <c r="CL231" s="17">
        <f t="shared" si="18"/>
        <v>1.4113440000000001E-2</v>
      </c>
      <c r="CM231" s="50">
        <v>0.1188</v>
      </c>
      <c r="CN231" s="51"/>
      <c r="CP231" s="252"/>
    </row>
    <row r="232" spans="22:94" ht="16.5">
      <c r="V232" s="191"/>
      <c r="W232"/>
      <c r="X232"/>
      <c r="Y232"/>
      <c r="Z232"/>
      <c r="AB232"/>
      <c r="AC232" s="191"/>
      <c r="AD232"/>
      <c r="AE232"/>
      <c r="AF232"/>
      <c r="AG232"/>
      <c r="AH232"/>
      <c r="AI232"/>
      <c r="AJ232"/>
      <c r="AK232"/>
      <c r="AL232"/>
      <c r="AM232"/>
      <c r="AN232"/>
      <c r="AO232"/>
      <c r="AP232"/>
      <c r="AQ232"/>
      <c r="AR232"/>
      <c r="AS232"/>
      <c r="AT232"/>
      <c r="AU232"/>
      <c r="AV232"/>
      <c r="AW232"/>
      <c r="AX232"/>
      <c r="AY232"/>
      <c r="AZ232"/>
      <c r="BA232"/>
      <c r="BB232"/>
      <c r="BC232"/>
      <c r="BD232"/>
      <c r="BE232"/>
      <c r="BF232"/>
      <c r="BG232" s="191"/>
      <c r="BH232"/>
      <c r="BI232"/>
      <c r="BJ232"/>
      <c r="BK232"/>
      <c r="BL232"/>
      <c r="BM232"/>
      <c r="BN232"/>
      <c r="BO232"/>
      <c r="BP232"/>
      <c r="BQ232"/>
      <c r="BR232"/>
      <c r="BS232"/>
      <c r="BT232"/>
      <c r="BU232"/>
      <c r="BV232"/>
      <c r="BW232"/>
      <c r="BX232"/>
      <c r="BY232"/>
      <c r="BZ232"/>
      <c r="CA232"/>
      <c r="CB232" s="191"/>
      <c r="CC232"/>
      <c r="CD232" s="20" t="s">
        <v>135</v>
      </c>
      <c r="CE232" s="50">
        <v>0.16</v>
      </c>
      <c r="CF232" s="50">
        <v>2</v>
      </c>
      <c r="CG232" s="50">
        <v>2500</v>
      </c>
      <c r="CH232" s="50">
        <v>0.72430000000000005</v>
      </c>
      <c r="CI232" s="50">
        <v>0.11269999999999999</v>
      </c>
      <c r="CJ232" s="50">
        <v>0</v>
      </c>
      <c r="CK232" s="50">
        <v>3.3999999999999998E-3</v>
      </c>
      <c r="CL232" s="17">
        <f t="shared" si="18"/>
        <v>1.4113440000000001E-2</v>
      </c>
      <c r="CM232" s="50">
        <v>0.1188</v>
      </c>
      <c r="CN232" s="51"/>
      <c r="CP232" s="252"/>
    </row>
    <row r="233" spans="22:94" ht="16.5">
      <c r="V233" s="191"/>
      <c r="W233"/>
      <c r="X233"/>
      <c r="Y233"/>
      <c r="Z233"/>
      <c r="AB233"/>
      <c r="AC233" s="191"/>
      <c r="AD233"/>
      <c r="AE233"/>
      <c r="AF233"/>
      <c r="AG233"/>
      <c r="AH233"/>
      <c r="AI233"/>
      <c r="AJ233"/>
      <c r="AK233"/>
      <c r="AL233"/>
      <c r="AM233"/>
      <c r="AN233"/>
      <c r="AO233"/>
      <c r="AP233"/>
      <c r="AQ233"/>
      <c r="AR233"/>
      <c r="AS233"/>
      <c r="AT233"/>
      <c r="AU233"/>
      <c r="AV233"/>
      <c r="AW233"/>
      <c r="AX233"/>
      <c r="AY233"/>
      <c r="AZ233"/>
      <c r="BA233"/>
      <c r="BB233"/>
      <c r="BC233"/>
      <c r="BD233"/>
      <c r="BE233"/>
      <c r="BF233"/>
      <c r="BG233" s="191"/>
      <c r="BH233"/>
      <c r="BI233"/>
      <c r="BJ233"/>
      <c r="BK233"/>
      <c r="BL233"/>
      <c r="BM233"/>
      <c r="BN233"/>
      <c r="BO233"/>
      <c r="BP233"/>
      <c r="BQ233"/>
      <c r="BR233"/>
      <c r="BS233"/>
      <c r="BT233"/>
      <c r="BU233"/>
      <c r="BV233"/>
      <c r="BW233"/>
      <c r="BX233"/>
      <c r="BY233"/>
      <c r="BZ233"/>
      <c r="CA233"/>
      <c r="CB233" s="191"/>
      <c r="CC233"/>
      <c r="CD233" s="20" t="s">
        <v>137</v>
      </c>
      <c r="CE233" s="50">
        <v>0.16</v>
      </c>
      <c r="CF233" s="50">
        <v>1.3</v>
      </c>
      <c r="CG233" s="50">
        <v>2000</v>
      </c>
      <c r="CH233" s="50">
        <v>0.71940000000000004</v>
      </c>
      <c r="CI233" s="50">
        <v>0.11020000000000001</v>
      </c>
      <c r="CJ233" s="50">
        <v>0</v>
      </c>
      <c r="CK233" s="50">
        <v>3.0000000000000001E-3</v>
      </c>
      <c r="CL233" s="17">
        <f t="shared" si="18"/>
        <v>1.4713690000000001E-2</v>
      </c>
      <c r="CM233" s="50">
        <v>0.12130000000000001</v>
      </c>
      <c r="CN233" s="51"/>
      <c r="CP233" s="252"/>
    </row>
    <row r="234" spans="22:94" ht="16.5">
      <c r="V234" s="191"/>
      <c r="W234"/>
      <c r="X234"/>
      <c r="Y234"/>
      <c r="Z234"/>
      <c r="AB234"/>
      <c r="AC234" s="191"/>
      <c r="AD234"/>
      <c r="AE234"/>
      <c r="AF234"/>
      <c r="AG234"/>
      <c r="AH234"/>
      <c r="AI234"/>
      <c r="AJ234"/>
      <c r="AK234"/>
      <c r="AL234"/>
      <c r="AM234"/>
      <c r="AN234"/>
      <c r="AO234"/>
      <c r="AP234"/>
      <c r="AQ234"/>
      <c r="AR234"/>
      <c r="AS234"/>
      <c r="AT234"/>
      <c r="AU234"/>
      <c r="AV234"/>
      <c r="AW234"/>
      <c r="AX234"/>
      <c r="AY234"/>
      <c r="AZ234"/>
      <c r="BA234"/>
      <c r="BB234"/>
      <c r="BC234"/>
      <c r="BD234"/>
      <c r="BE234"/>
      <c r="BF234"/>
      <c r="BG234" s="191"/>
      <c r="BH234"/>
      <c r="BI234"/>
      <c r="BJ234"/>
      <c r="BK234"/>
      <c r="BL234"/>
      <c r="BM234"/>
      <c r="BN234"/>
      <c r="BO234"/>
      <c r="BP234"/>
      <c r="BQ234"/>
      <c r="BR234"/>
      <c r="BS234"/>
      <c r="BT234"/>
      <c r="BU234"/>
      <c r="BV234"/>
      <c r="BW234"/>
      <c r="BX234"/>
      <c r="BY234"/>
      <c r="BZ234"/>
      <c r="CA234"/>
      <c r="CB234" s="191"/>
      <c r="CC234"/>
      <c r="CD234" s="20" t="s">
        <v>138</v>
      </c>
      <c r="CE234" s="50">
        <v>0.19</v>
      </c>
      <c r="CF234" s="50">
        <v>1.4</v>
      </c>
      <c r="CG234" s="50">
        <v>2500</v>
      </c>
      <c r="CH234" s="50">
        <v>0.80910000000000004</v>
      </c>
      <c r="CI234" s="50">
        <v>0.1109</v>
      </c>
      <c r="CJ234" s="50">
        <v>0</v>
      </c>
      <c r="CK234" s="50">
        <v>1.4E-3</v>
      </c>
      <c r="CL234" s="17">
        <f t="shared" si="18"/>
        <v>1.605289E-2</v>
      </c>
      <c r="CM234" s="50">
        <v>0.12670000000000001</v>
      </c>
      <c r="CN234" s="51"/>
      <c r="CP234" s="252"/>
    </row>
    <row r="235" spans="22:94" ht="16.5">
      <c r="V235" s="191"/>
      <c r="W235"/>
      <c r="X235"/>
      <c r="Y235"/>
      <c r="Z235"/>
      <c r="AB235"/>
      <c r="AC235" s="191"/>
      <c r="AD235"/>
      <c r="AE235"/>
      <c r="AF235"/>
      <c r="AG235"/>
      <c r="AH235"/>
      <c r="AI235"/>
      <c r="AJ235"/>
      <c r="AK235"/>
      <c r="AL235"/>
      <c r="AM235"/>
      <c r="AN235"/>
      <c r="AO235"/>
      <c r="AP235"/>
      <c r="AQ235"/>
      <c r="AR235"/>
      <c r="AS235"/>
      <c r="AT235"/>
      <c r="AU235"/>
      <c r="AV235"/>
      <c r="AW235"/>
      <c r="AX235"/>
      <c r="AY235"/>
      <c r="AZ235"/>
      <c r="BA235"/>
      <c r="BB235"/>
      <c r="BC235"/>
      <c r="BD235"/>
      <c r="BE235"/>
      <c r="BF235"/>
      <c r="BG235" s="191"/>
      <c r="BH235"/>
      <c r="BI235"/>
      <c r="BJ235"/>
      <c r="BK235"/>
      <c r="BL235"/>
      <c r="BM235"/>
      <c r="BN235"/>
      <c r="BO235"/>
      <c r="BP235"/>
      <c r="BQ235"/>
      <c r="BR235"/>
      <c r="BS235"/>
      <c r="BT235"/>
      <c r="BU235"/>
      <c r="BV235"/>
      <c r="BW235"/>
      <c r="BX235"/>
      <c r="BY235"/>
      <c r="BZ235"/>
      <c r="CA235"/>
      <c r="CB235" s="191"/>
      <c r="CC235"/>
      <c r="CD235" s="20" t="s">
        <v>141</v>
      </c>
      <c r="CE235" s="50">
        <v>0.23</v>
      </c>
      <c r="CF235" s="50">
        <v>1.8</v>
      </c>
      <c r="CG235" s="50">
        <v>2000</v>
      </c>
      <c r="CH235" s="50">
        <v>0.80910000000000004</v>
      </c>
      <c r="CI235" s="50">
        <v>0.1109</v>
      </c>
      <c r="CJ235" s="50">
        <v>0</v>
      </c>
      <c r="CK235" s="50">
        <v>1.4E-3</v>
      </c>
      <c r="CL235" s="17">
        <f t="shared" si="18"/>
        <v>1.605289E-2</v>
      </c>
      <c r="CM235" s="50">
        <v>0.12670000000000001</v>
      </c>
      <c r="CN235" s="51"/>
      <c r="CP235" s="252"/>
    </row>
    <row r="236" spans="22:94" ht="16.5">
      <c r="V236" s="191"/>
      <c r="W236"/>
      <c r="X236"/>
      <c r="Y236"/>
      <c r="Z236"/>
      <c r="AB236"/>
      <c r="AC236" s="191"/>
      <c r="AD236"/>
      <c r="AE236"/>
      <c r="AF236"/>
      <c r="AG236"/>
      <c r="AH236"/>
      <c r="AI236"/>
      <c r="AJ236"/>
      <c r="AK236"/>
      <c r="AL236"/>
      <c r="AM236"/>
      <c r="AN236"/>
      <c r="AO236"/>
      <c r="AP236"/>
      <c r="AQ236"/>
      <c r="AR236"/>
      <c r="AS236"/>
      <c r="AT236"/>
      <c r="AU236"/>
      <c r="AV236"/>
      <c r="AW236"/>
      <c r="AX236"/>
      <c r="AY236"/>
      <c r="AZ236"/>
      <c r="BA236"/>
      <c r="BB236"/>
      <c r="BC236"/>
      <c r="BD236"/>
      <c r="BE236"/>
      <c r="BF236"/>
      <c r="BG236" s="191"/>
      <c r="BH236"/>
      <c r="BI236"/>
      <c r="BJ236"/>
      <c r="BK236"/>
      <c r="BL236"/>
      <c r="BM236"/>
      <c r="BN236"/>
      <c r="BO236"/>
      <c r="BP236"/>
      <c r="BQ236"/>
      <c r="BR236"/>
      <c r="BS236"/>
      <c r="BT236"/>
      <c r="BU236"/>
      <c r="BV236"/>
      <c r="BW236"/>
      <c r="BX236"/>
      <c r="BY236"/>
      <c r="BZ236"/>
      <c r="CA236"/>
      <c r="CB236" s="191"/>
      <c r="CC236"/>
      <c r="CD236" s="20" t="s">
        <v>143</v>
      </c>
      <c r="CE236" s="50">
        <v>0.16</v>
      </c>
      <c r="CF236" s="50">
        <v>1.3</v>
      </c>
      <c r="CG236" s="50">
        <v>2000</v>
      </c>
      <c r="CH236" s="50">
        <v>0.71940000000000004</v>
      </c>
      <c r="CI236" s="50">
        <v>0.11020000000000001</v>
      </c>
      <c r="CJ236" s="50">
        <v>0</v>
      </c>
      <c r="CK236" s="50">
        <v>3.0000000000000001E-3</v>
      </c>
      <c r="CL236" s="17">
        <f t="shared" si="18"/>
        <v>1.4713690000000001E-2</v>
      </c>
      <c r="CM236" s="50">
        <v>0.12130000000000001</v>
      </c>
      <c r="CN236" s="51"/>
      <c r="CP236" s="252"/>
    </row>
    <row r="237" spans="22:94" ht="16.5">
      <c r="V237" s="191"/>
      <c r="W237"/>
      <c r="X237"/>
      <c r="Y237"/>
      <c r="Z237"/>
      <c r="AB237"/>
      <c r="AC237" s="191"/>
      <c r="AD237"/>
      <c r="AE237"/>
      <c r="AF237"/>
      <c r="AG237"/>
      <c r="AH237"/>
      <c r="AI237"/>
      <c r="AJ237"/>
      <c r="AK237"/>
      <c r="AL237"/>
      <c r="AM237"/>
      <c r="AN237"/>
      <c r="AO237"/>
      <c r="AP237"/>
      <c r="AQ237"/>
      <c r="AR237"/>
      <c r="AS237"/>
      <c r="AT237"/>
      <c r="AU237"/>
      <c r="AV237"/>
      <c r="AW237"/>
      <c r="AX237"/>
      <c r="AY237"/>
      <c r="AZ237"/>
      <c r="BA237"/>
      <c r="BB237"/>
      <c r="BC237"/>
      <c r="BD237"/>
      <c r="BE237"/>
      <c r="BF237"/>
      <c r="BG237" s="191"/>
      <c r="BH237"/>
      <c r="BI237"/>
      <c r="BJ237"/>
      <c r="BK237"/>
      <c r="BL237"/>
      <c r="BM237"/>
      <c r="BN237"/>
      <c r="BO237"/>
      <c r="BP237"/>
      <c r="BQ237"/>
      <c r="BR237"/>
      <c r="BS237"/>
      <c r="BT237"/>
      <c r="BU237"/>
      <c r="BV237"/>
      <c r="BW237"/>
      <c r="BX237"/>
      <c r="BY237"/>
      <c r="BZ237"/>
      <c r="CA237"/>
      <c r="CB237" s="191"/>
      <c r="CC237"/>
      <c r="CD237" s="20" t="s">
        <v>145</v>
      </c>
      <c r="CE237" s="50">
        <v>0.23</v>
      </c>
      <c r="CF237" s="50">
        <v>1.4</v>
      </c>
      <c r="CG237" s="50">
        <v>2000</v>
      </c>
      <c r="CH237" s="50">
        <v>0.69269999999999998</v>
      </c>
      <c r="CI237" s="50">
        <v>7.0300000000000001E-2</v>
      </c>
      <c r="CJ237" s="50">
        <v>0</v>
      </c>
      <c r="CK237" s="50">
        <v>1.1999999999999999E-3</v>
      </c>
      <c r="CL237" s="17">
        <f t="shared" si="18"/>
        <v>1.4957290000000002E-2</v>
      </c>
      <c r="CM237" s="50">
        <v>0.12230000000000001</v>
      </c>
      <c r="CN237" s="51"/>
      <c r="CP237" s="252"/>
    </row>
    <row r="238" spans="22:94" ht="16.5">
      <c r="V238" s="191"/>
      <c r="W238"/>
      <c r="X238"/>
      <c r="Y238"/>
      <c r="Z238"/>
      <c r="AB238"/>
      <c r="AC238" s="191"/>
      <c r="AD238"/>
      <c r="AE238"/>
      <c r="AF238"/>
      <c r="AG238"/>
      <c r="AH238"/>
      <c r="AI238"/>
      <c r="AJ238"/>
      <c r="AK238"/>
      <c r="AL238"/>
      <c r="AM238"/>
      <c r="AN238"/>
      <c r="AO238"/>
      <c r="AP238"/>
      <c r="AQ238"/>
      <c r="AR238"/>
      <c r="AS238"/>
      <c r="AT238"/>
      <c r="AU238"/>
      <c r="AV238"/>
      <c r="AW238"/>
      <c r="AX238"/>
      <c r="AY238"/>
      <c r="AZ238"/>
      <c r="BA238"/>
      <c r="BB238"/>
      <c r="BC238"/>
      <c r="BD238"/>
      <c r="BE238"/>
      <c r="BF238"/>
      <c r="BG238" s="191"/>
      <c r="BH238"/>
      <c r="BI238"/>
      <c r="BJ238"/>
      <c r="BK238"/>
      <c r="BL238"/>
      <c r="BM238"/>
      <c r="BN238"/>
      <c r="BO238"/>
      <c r="BP238"/>
      <c r="BQ238"/>
      <c r="BR238"/>
      <c r="BS238"/>
      <c r="BT238"/>
      <c r="BU238"/>
      <c r="BV238"/>
      <c r="BW238"/>
      <c r="BX238"/>
      <c r="BY238"/>
      <c r="BZ238"/>
      <c r="CA238"/>
      <c r="CB238" s="191"/>
      <c r="CC238"/>
      <c r="CD238" s="20" t="s">
        <v>146</v>
      </c>
      <c r="CE238" s="50">
        <v>0.36</v>
      </c>
      <c r="CF238" s="50">
        <v>2</v>
      </c>
      <c r="CG238" s="50">
        <v>1500</v>
      </c>
      <c r="CH238" s="50">
        <v>0.71940000000000004</v>
      </c>
      <c r="CI238" s="50">
        <v>0.11020000000000001</v>
      </c>
      <c r="CJ238" s="50">
        <v>0</v>
      </c>
      <c r="CK238" s="50">
        <v>3.0000000000000001E-3</v>
      </c>
      <c r="CL238" s="17">
        <f t="shared" si="18"/>
        <v>1.4713690000000001E-2</v>
      </c>
      <c r="CM238" s="50">
        <v>0.12130000000000001</v>
      </c>
      <c r="CN238" s="51"/>
      <c r="CP238" s="252"/>
    </row>
    <row r="239" spans="22:94" ht="16.5">
      <c r="V239" s="191"/>
      <c r="W239"/>
      <c r="X239"/>
      <c r="Y239"/>
      <c r="Z239"/>
      <c r="AB239"/>
      <c r="AC239" s="191"/>
      <c r="AD239"/>
      <c r="AE239"/>
      <c r="AF239"/>
      <c r="AG239"/>
      <c r="AH239"/>
      <c r="AI239"/>
      <c r="AJ239"/>
      <c r="AK239"/>
      <c r="AL239"/>
      <c r="AM239"/>
      <c r="AN239"/>
      <c r="AO239"/>
      <c r="AP239"/>
      <c r="AQ239"/>
      <c r="AR239"/>
      <c r="AS239"/>
      <c r="AT239"/>
      <c r="AU239"/>
      <c r="AV239"/>
      <c r="AW239"/>
      <c r="AX239"/>
      <c r="AY239"/>
      <c r="AZ239"/>
      <c r="BA239"/>
      <c r="BB239"/>
      <c r="BC239"/>
      <c r="BD239"/>
      <c r="BE239"/>
      <c r="BF239"/>
      <c r="BG239" s="191"/>
      <c r="BH239"/>
      <c r="BI239"/>
      <c r="BJ239"/>
      <c r="BK239"/>
      <c r="BL239"/>
      <c r="BM239"/>
      <c r="BN239"/>
      <c r="BO239"/>
      <c r="BP239"/>
      <c r="BQ239"/>
      <c r="BR239"/>
      <c r="BS239"/>
      <c r="BT239"/>
      <c r="BU239"/>
      <c r="BV239"/>
      <c r="BW239"/>
      <c r="BX239"/>
      <c r="BY239"/>
      <c r="BZ239"/>
      <c r="CA239"/>
      <c r="CB239" s="191"/>
      <c r="CC239"/>
      <c r="CD239" s="20" t="s">
        <v>129</v>
      </c>
      <c r="CE239" s="50">
        <v>0.17</v>
      </c>
      <c r="CF239" s="50">
        <v>2.2000000000000002</v>
      </c>
      <c r="CG239" s="50">
        <v>2000</v>
      </c>
      <c r="CH239" s="50">
        <v>0.69269999999999998</v>
      </c>
      <c r="CI239" s="50">
        <v>7.0300000000000001E-2</v>
      </c>
      <c r="CJ239" s="50">
        <v>0</v>
      </c>
      <c r="CK239" s="50">
        <v>1.1999999999999999E-3</v>
      </c>
      <c r="CL239" s="17">
        <f t="shared" si="18"/>
        <v>1.4957290000000002E-2</v>
      </c>
      <c r="CM239" s="50">
        <v>0.12230000000000001</v>
      </c>
      <c r="CN239" s="51"/>
      <c r="CP239" s="252"/>
    </row>
    <row r="240" spans="22:94" ht="16.5">
      <c r="V240" s="191"/>
      <c r="W240"/>
      <c r="X240"/>
      <c r="Y240"/>
      <c r="Z240"/>
      <c r="AB240"/>
      <c r="AC240" s="191"/>
      <c r="AD240"/>
      <c r="AE240"/>
      <c r="AF240"/>
      <c r="AG240"/>
      <c r="AH240"/>
      <c r="AI240"/>
      <c r="AJ240"/>
      <c r="AK240"/>
      <c r="AL240"/>
      <c r="AM240"/>
      <c r="AN240"/>
      <c r="AO240"/>
      <c r="AP240"/>
      <c r="AQ240"/>
      <c r="AR240"/>
      <c r="AS240"/>
      <c r="AT240"/>
      <c r="AU240"/>
      <c r="AV240"/>
      <c r="AW240"/>
      <c r="AX240"/>
      <c r="AY240"/>
      <c r="AZ240"/>
      <c r="BA240"/>
      <c r="BB240"/>
      <c r="BC240"/>
      <c r="BD240"/>
      <c r="BE240"/>
      <c r="BF240"/>
      <c r="BG240" s="191"/>
      <c r="BH240"/>
      <c r="BI240"/>
      <c r="BJ240"/>
      <c r="BK240"/>
      <c r="BL240"/>
      <c r="BM240"/>
      <c r="BN240"/>
      <c r="BO240"/>
      <c r="BP240"/>
      <c r="BQ240"/>
      <c r="BR240"/>
      <c r="BS240"/>
      <c r="BT240"/>
      <c r="BU240"/>
      <c r="BV240"/>
      <c r="BW240"/>
      <c r="BX240"/>
      <c r="BY240"/>
      <c r="BZ240"/>
      <c r="CA240"/>
      <c r="CB240" s="191"/>
      <c r="CC240"/>
      <c r="CD240" s="20" t="s">
        <v>109</v>
      </c>
      <c r="CE240" s="50">
        <v>0.32</v>
      </c>
      <c r="CF240" s="50">
        <v>2.1</v>
      </c>
      <c r="CG240" s="50">
        <v>1500</v>
      </c>
      <c r="CH240" s="50">
        <v>0.85540000000000005</v>
      </c>
      <c r="CI240" s="50">
        <v>0.1177</v>
      </c>
      <c r="CJ240" s="50">
        <v>0</v>
      </c>
      <c r="CK240" s="50">
        <v>2.8999999999999998E-3</v>
      </c>
      <c r="CL240" s="17">
        <f t="shared" si="18"/>
        <v>1.6230760000000004E-2</v>
      </c>
      <c r="CM240" s="50">
        <v>0.12740000000000001</v>
      </c>
      <c r="CN240" s="51"/>
      <c r="CP240" s="252"/>
    </row>
    <row r="241" spans="22:98" ht="16.5">
      <c r="V241" s="191"/>
      <c r="W241"/>
      <c r="X241"/>
      <c r="Y241"/>
      <c r="Z241"/>
      <c r="AB241"/>
      <c r="AC241" s="191"/>
      <c r="AD241"/>
      <c r="AE241"/>
      <c r="AF241"/>
      <c r="AG241"/>
      <c r="AH241"/>
      <c r="AI241"/>
      <c r="AJ241"/>
      <c r="AK241"/>
      <c r="AL241"/>
      <c r="AM241"/>
      <c r="AN241"/>
      <c r="AO241"/>
      <c r="AP241"/>
      <c r="AQ241"/>
      <c r="AR241"/>
      <c r="AS241"/>
      <c r="AT241"/>
      <c r="AU241"/>
      <c r="AV241"/>
      <c r="AW241"/>
      <c r="AX241"/>
      <c r="AY241"/>
      <c r="AZ241"/>
      <c r="BA241"/>
      <c r="BB241"/>
      <c r="BC241"/>
      <c r="BD241"/>
      <c r="BE241"/>
      <c r="BF241"/>
      <c r="BG241" s="191"/>
      <c r="BH241"/>
      <c r="BI241"/>
      <c r="BJ241"/>
      <c r="BK241"/>
      <c r="BL241"/>
      <c r="BM241"/>
      <c r="BN241"/>
      <c r="BO241"/>
      <c r="BP241"/>
      <c r="BQ241"/>
      <c r="BR241"/>
      <c r="BS241"/>
      <c r="BT241"/>
      <c r="BU241"/>
      <c r="BV241"/>
      <c r="BW241"/>
      <c r="BX241"/>
      <c r="BY241"/>
      <c r="BZ241"/>
      <c r="CA241"/>
      <c r="CB241" s="191"/>
      <c r="CC241"/>
      <c r="CD241" s="20" t="s">
        <v>140</v>
      </c>
      <c r="CE241" s="50">
        <v>0.17</v>
      </c>
      <c r="CF241" s="50">
        <v>1.4</v>
      </c>
      <c r="CG241" s="50">
        <v>2500</v>
      </c>
      <c r="CH241" s="50">
        <v>0.80910000000000004</v>
      </c>
      <c r="CI241" s="50">
        <v>0.1109</v>
      </c>
      <c r="CJ241" s="50">
        <v>0</v>
      </c>
      <c r="CK241" s="50">
        <v>1.4E-3</v>
      </c>
      <c r="CL241" s="17">
        <f t="shared" si="18"/>
        <v>1.605289E-2</v>
      </c>
      <c r="CM241" s="50">
        <v>0.12670000000000001</v>
      </c>
      <c r="CN241" s="51"/>
      <c r="CP241" s="252"/>
    </row>
    <row r="242" spans="22:98" ht="16.5">
      <c r="V242" s="191"/>
      <c r="W242"/>
      <c r="X242"/>
      <c r="Y242"/>
      <c r="Z242"/>
      <c r="AB242"/>
      <c r="AC242" s="191"/>
      <c r="AD242"/>
      <c r="AE242"/>
      <c r="AF242"/>
      <c r="AG242"/>
      <c r="AH242"/>
      <c r="AI242"/>
      <c r="AJ242"/>
      <c r="AK242"/>
      <c r="AL242"/>
      <c r="AM242"/>
      <c r="AN242"/>
      <c r="AO242"/>
      <c r="AP242"/>
      <c r="AQ242"/>
      <c r="AR242"/>
      <c r="AS242"/>
      <c r="AT242"/>
      <c r="AU242"/>
      <c r="AV242"/>
      <c r="AW242"/>
      <c r="AX242"/>
      <c r="AY242"/>
      <c r="AZ242"/>
      <c r="BA242"/>
      <c r="BB242"/>
      <c r="BC242"/>
      <c r="BD242"/>
      <c r="BE242"/>
      <c r="BF242"/>
      <c r="BG242" s="191"/>
      <c r="BH242"/>
      <c r="BI242"/>
      <c r="BJ242"/>
      <c r="BK242"/>
      <c r="BL242"/>
      <c r="BM242"/>
      <c r="BN242"/>
      <c r="BO242"/>
      <c r="BP242"/>
      <c r="BQ242"/>
      <c r="BR242"/>
      <c r="BS242"/>
      <c r="BT242"/>
      <c r="BU242"/>
      <c r="BV242"/>
      <c r="BW242"/>
      <c r="BX242"/>
      <c r="BY242"/>
      <c r="BZ242"/>
      <c r="CA242"/>
      <c r="CB242" s="191"/>
      <c r="CC242"/>
      <c r="CD242" s="20" t="s">
        <v>151</v>
      </c>
      <c r="CE242" s="50">
        <v>0.27</v>
      </c>
      <c r="CF242" s="50">
        <v>1.4</v>
      </c>
      <c r="CG242" s="50">
        <v>2000</v>
      </c>
      <c r="CH242" s="50">
        <v>0.69269999999999998</v>
      </c>
      <c r="CI242" s="50">
        <v>7.0300000000000001E-2</v>
      </c>
      <c r="CJ242" s="50">
        <v>0</v>
      </c>
      <c r="CK242" s="50">
        <v>1.1999999999999999E-3</v>
      </c>
      <c r="CL242" s="17">
        <f t="shared" si="18"/>
        <v>1.4957290000000002E-2</v>
      </c>
      <c r="CM242" s="50">
        <v>0.12230000000000001</v>
      </c>
      <c r="CN242" s="51"/>
      <c r="CP242" s="252"/>
    </row>
    <row r="243" spans="22:98" ht="16.5">
      <c r="V243" s="191"/>
      <c r="W243"/>
      <c r="X243"/>
      <c r="Y243"/>
      <c r="Z243"/>
      <c r="AB243"/>
      <c r="AC243" s="191"/>
      <c r="AD243"/>
      <c r="AE243"/>
      <c r="AF243"/>
      <c r="AG243"/>
      <c r="AH243"/>
      <c r="AI243"/>
      <c r="AJ243"/>
      <c r="AK243"/>
      <c r="AL243"/>
      <c r="AM243"/>
      <c r="AN243"/>
      <c r="AO243"/>
      <c r="AP243"/>
      <c r="AQ243"/>
      <c r="AR243"/>
      <c r="AS243"/>
      <c r="AT243"/>
      <c r="AU243"/>
      <c r="AV243"/>
      <c r="AW243"/>
      <c r="AX243"/>
      <c r="AY243"/>
      <c r="AZ243"/>
      <c r="BA243"/>
      <c r="BB243"/>
      <c r="BC243"/>
      <c r="BD243"/>
      <c r="BE243"/>
      <c r="BF243"/>
      <c r="BG243" s="191"/>
      <c r="BH243"/>
      <c r="BI243"/>
      <c r="BJ243"/>
      <c r="BK243"/>
      <c r="BL243"/>
      <c r="BM243"/>
      <c r="BN243"/>
      <c r="BO243"/>
      <c r="BP243"/>
      <c r="BQ243"/>
      <c r="BR243"/>
      <c r="BS243"/>
      <c r="BT243"/>
      <c r="BU243"/>
      <c r="BV243"/>
      <c r="BW243"/>
      <c r="BX243"/>
      <c r="BY243"/>
      <c r="BZ243"/>
      <c r="CA243"/>
      <c r="CB243" s="191"/>
      <c r="CC243"/>
      <c r="CD243" s="20" t="s">
        <v>154</v>
      </c>
      <c r="CE243" s="50">
        <v>0.59</v>
      </c>
      <c r="CF243" s="50">
        <v>1.3</v>
      </c>
      <c r="CG243" s="50">
        <v>1500</v>
      </c>
      <c r="CH243" s="50">
        <v>0.71940000000000004</v>
      </c>
      <c r="CI243" s="50">
        <v>0.11020000000000001</v>
      </c>
      <c r="CJ243" s="50">
        <v>0</v>
      </c>
      <c r="CK243" s="50">
        <v>3.0000000000000001E-3</v>
      </c>
      <c r="CL243" s="17">
        <f t="shared" si="18"/>
        <v>1.4713690000000001E-2</v>
      </c>
      <c r="CM243" s="50">
        <v>0.12130000000000001</v>
      </c>
      <c r="CN243" s="51"/>
      <c r="CP243" s="252"/>
    </row>
    <row r="244" spans="22:98" ht="16.5">
      <c r="V244" s="191"/>
      <c r="W244"/>
      <c r="X244"/>
      <c r="Y244"/>
      <c r="Z244"/>
      <c r="AB244"/>
      <c r="AC244" s="191"/>
      <c r="AD244"/>
      <c r="AE244"/>
      <c r="AF244"/>
      <c r="AG244"/>
      <c r="AH244"/>
      <c r="AI244"/>
      <c r="AJ244"/>
      <c r="AK244"/>
      <c r="AL244"/>
      <c r="AM244"/>
      <c r="AN244"/>
      <c r="AO244"/>
      <c r="AP244"/>
      <c r="AQ244"/>
      <c r="AR244"/>
      <c r="AS244"/>
      <c r="AT244"/>
      <c r="AU244"/>
      <c r="AV244"/>
      <c r="AW244"/>
      <c r="AX244"/>
      <c r="AY244"/>
      <c r="AZ244"/>
      <c r="BA244"/>
      <c r="BB244"/>
      <c r="BC244"/>
      <c r="BD244"/>
      <c r="BE244"/>
      <c r="BF244"/>
      <c r="BG244" s="191"/>
      <c r="BH244"/>
      <c r="BI244"/>
      <c r="BJ244"/>
      <c r="BK244"/>
      <c r="BL244"/>
      <c r="BM244"/>
      <c r="BN244"/>
      <c r="BO244"/>
      <c r="BP244"/>
      <c r="BQ244"/>
      <c r="BR244"/>
      <c r="BS244"/>
      <c r="BT244"/>
      <c r="BU244"/>
      <c r="BV244"/>
      <c r="BW244"/>
      <c r="BX244"/>
      <c r="BY244"/>
      <c r="BZ244"/>
      <c r="CA244"/>
      <c r="CB244" s="191"/>
      <c r="CC244"/>
      <c r="CD244" s="20" t="s">
        <v>84</v>
      </c>
      <c r="CE244" s="50">
        <v>0.18</v>
      </c>
      <c r="CF244" s="50">
        <v>1.7</v>
      </c>
      <c r="CG244" s="50">
        <v>2000</v>
      </c>
      <c r="CH244" s="50">
        <v>0.71940000000000004</v>
      </c>
      <c r="CI244" s="50">
        <v>0.11020000000000001</v>
      </c>
      <c r="CJ244" s="50">
        <v>0</v>
      </c>
      <c r="CK244" s="50">
        <v>3.0000000000000001E-3</v>
      </c>
      <c r="CL244" s="17">
        <f t="shared" si="18"/>
        <v>1.4713690000000001E-2</v>
      </c>
      <c r="CM244" s="50">
        <v>0.12130000000000001</v>
      </c>
      <c r="CN244" s="51"/>
      <c r="CP244" s="252"/>
    </row>
    <row r="245" spans="22:98" ht="16.5">
      <c r="V245" s="191"/>
      <c r="W245"/>
      <c r="X245"/>
      <c r="Y245"/>
      <c r="Z245"/>
      <c r="AB245"/>
      <c r="AC245" s="191"/>
      <c r="AD245"/>
      <c r="AE245"/>
      <c r="AF245"/>
      <c r="AG245"/>
      <c r="AH245"/>
      <c r="AI245"/>
      <c r="AJ245"/>
      <c r="AK245"/>
      <c r="AL245"/>
      <c r="AM245"/>
      <c r="AN245"/>
      <c r="AO245"/>
      <c r="AP245"/>
      <c r="AQ245"/>
      <c r="AR245"/>
      <c r="AS245"/>
      <c r="AT245"/>
      <c r="AU245"/>
      <c r="AV245"/>
      <c r="AW245"/>
      <c r="AX245"/>
      <c r="AY245"/>
      <c r="AZ245"/>
      <c r="BA245"/>
      <c r="BB245"/>
      <c r="BC245"/>
      <c r="BD245"/>
      <c r="BE245"/>
      <c r="BF245"/>
      <c r="BG245" s="191"/>
      <c r="BH245"/>
      <c r="BI245"/>
      <c r="BJ245"/>
      <c r="BK245"/>
      <c r="BL245"/>
      <c r="BM245"/>
      <c r="BN245"/>
      <c r="BO245"/>
      <c r="BP245"/>
      <c r="BQ245"/>
      <c r="BR245"/>
      <c r="BS245"/>
      <c r="BT245"/>
      <c r="BU245"/>
      <c r="BV245"/>
      <c r="BW245"/>
      <c r="BX245"/>
      <c r="BY245"/>
      <c r="BZ245"/>
      <c r="CA245"/>
      <c r="CB245" s="191"/>
      <c r="CC245"/>
      <c r="CD245" s="20" t="s">
        <v>157</v>
      </c>
      <c r="CE245" s="50">
        <v>1.4999999999999999E-2</v>
      </c>
      <c r="CF245" s="50">
        <v>1.6</v>
      </c>
      <c r="CG245" s="50">
        <v>5000</v>
      </c>
      <c r="CH245" s="50">
        <v>0.80910000000000004</v>
      </c>
      <c r="CI245" s="50">
        <v>0.1109</v>
      </c>
      <c r="CJ245" s="50">
        <v>0</v>
      </c>
      <c r="CK245" s="50">
        <v>1.4E-3</v>
      </c>
      <c r="CL245" s="17">
        <f t="shared" si="18"/>
        <v>1.605289E-2</v>
      </c>
      <c r="CM245" s="50">
        <v>0.12670000000000001</v>
      </c>
      <c r="CN245" s="51" t="s">
        <v>122</v>
      </c>
      <c r="CP245" s="252"/>
    </row>
    <row r="246" spans="22:98" ht="16.5">
      <c r="V246" s="191"/>
      <c r="W246"/>
      <c r="X246"/>
      <c r="Y246"/>
      <c r="Z246"/>
      <c r="AB246"/>
      <c r="AC246" s="191"/>
      <c r="AD246"/>
      <c r="AE246"/>
      <c r="AF246"/>
      <c r="AG246"/>
      <c r="AH246"/>
      <c r="AI246"/>
      <c r="AJ246"/>
      <c r="AK246"/>
      <c r="AL246"/>
      <c r="AM246"/>
      <c r="AN246"/>
      <c r="AO246"/>
      <c r="AP246"/>
      <c r="AQ246"/>
      <c r="AR246"/>
      <c r="AS246"/>
      <c r="AT246"/>
      <c r="AU246"/>
      <c r="AV246"/>
      <c r="AW246"/>
      <c r="AX246"/>
      <c r="AY246"/>
      <c r="AZ246"/>
      <c r="BA246"/>
      <c r="BB246"/>
      <c r="BC246"/>
      <c r="BD246"/>
      <c r="BE246"/>
      <c r="BF246"/>
      <c r="BG246" s="191"/>
      <c r="BH246"/>
      <c r="BI246"/>
      <c r="BJ246"/>
      <c r="BK246"/>
      <c r="BL246"/>
      <c r="BM246"/>
      <c r="BN246"/>
      <c r="BO246"/>
      <c r="BP246"/>
      <c r="BQ246"/>
      <c r="BR246"/>
      <c r="BS246"/>
      <c r="BT246"/>
      <c r="BU246"/>
      <c r="BV246"/>
      <c r="BW246"/>
      <c r="BX246"/>
      <c r="BY246"/>
      <c r="BZ246"/>
      <c r="CA246"/>
      <c r="CB246" s="191"/>
      <c r="CC246"/>
      <c r="CD246" s="20" t="s">
        <v>77</v>
      </c>
      <c r="CE246" s="50">
        <v>7.0000000000000001E-3</v>
      </c>
      <c r="CF246" s="50">
        <v>2</v>
      </c>
      <c r="CG246" s="50">
        <v>12000</v>
      </c>
      <c r="CH246" s="50">
        <v>0.84930000000000005</v>
      </c>
      <c r="CI246" s="50">
        <v>9.6600000000000005E-2</v>
      </c>
      <c r="CJ246" s="50">
        <v>5.8999999999999999E-3</v>
      </c>
      <c r="CK246" s="50">
        <v>3.8E-3</v>
      </c>
      <c r="CL246" s="17">
        <f t="shared" si="18"/>
        <v>1.1278440000000001E-2</v>
      </c>
      <c r="CM246" s="50">
        <v>0.1062</v>
      </c>
      <c r="CN246" s="51"/>
      <c r="CP246" s="252"/>
    </row>
    <row r="247" spans="22:98" ht="16.5">
      <c r="V247" s="191"/>
      <c r="W247"/>
      <c r="X247"/>
      <c r="Y247"/>
      <c r="Z247"/>
      <c r="AB247"/>
      <c r="AC247" s="191"/>
      <c r="AD247"/>
      <c r="AE247"/>
      <c r="AF247"/>
      <c r="AG247"/>
      <c r="AH247"/>
      <c r="AI247"/>
      <c r="AJ247"/>
      <c r="AK247"/>
      <c r="AL247"/>
      <c r="AM247"/>
      <c r="AN247"/>
      <c r="AO247"/>
      <c r="AP247"/>
      <c r="AQ247"/>
      <c r="AR247"/>
      <c r="AS247"/>
      <c r="AT247"/>
      <c r="AU247"/>
      <c r="AV247"/>
      <c r="AW247"/>
      <c r="AX247"/>
      <c r="AY247"/>
      <c r="AZ247"/>
      <c r="BA247"/>
      <c r="BB247"/>
      <c r="BC247"/>
      <c r="BD247"/>
      <c r="BE247"/>
      <c r="BF247"/>
      <c r="BG247" s="191"/>
      <c r="BH247"/>
      <c r="BI247"/>
      <c r="BJ247"/>
      <c r="BK247"/>
      <c r="BL247"/>
      <c r="BM247"/>
      <c r="BN247"/>
      <c r="BO247"/>
      <c r="BP247"/>
      <c r="BQ247"/>
      <c r="BR247"/>
      <c r="BS247"/>
      <c r="BT247"/>
      <c r="BU247"/>
      <c r="BV247"/>
      <c r="BW247"/>
      <c r="BX247"/>
      <c r="BY247"/>
      <c r="BZ247"/>
      <c r="CA247"/>
      <c r="CB247" s="191"/>
      <c r="CC247"/>
      <c r="CD247" s="20" t="s">
        <v>159</v>
      </c>
      <c r="CE247" s="50">
        <v>0.19</v>
      </c>
      <c r="CF247" s="50">
        <v>1.3</v>
      </c>
      <c r="CG247" s="50">
        <v>3000</v>
      </c>
      <c r="CH247" s="50">
        <v>0.80910000000000004</v>
      </c>
      <c r="CI247" s="50">
        <v>0.1109</v>
      </c>
      <c r="CJ247" s="50">
        <v>0</v>
      </c>
      <c r="CK247" s="50">
        <v>1.4E-3</v>
      </c>
      <c r="CL247" s="17">
        <f t="shared" si="18"/>
        <v>1.605289E-2</v>
      </c>
      <c r="CM247" s="50">
        <v>0.12670000000000001</v>
      </c>
      <c r="CN247" s="51"/>
      <c r="CP247" s="252"/>
    </row>
    <row r="248" spans="22:98" ht="16.5">
      <c r="V248" s="191"/>
      <c r="W248"/>
      <c r="X248"/>
      <c r="Y248"/>
      <c r="Z248"/>
      <c r="AB248"/>
      <c r="AC248" s="191"/>
      <c r="AD248"/>
      <c r="AE248"/>
      <c r="AF248"/>
      <c r="AG248"/>
      <c r="AH248"/>
      <c r="AI248"/>
      <c r="AJ248"/>
      <c r="AK248"/>
      <c r="AL248"/>
      <c r="AM248"/>
      <c r="AN248"/>
      <c r="AO248"/>
      <c r="AP248"/>
      <c r="AQ248"/>
      <c r="AR248"/>
      <c r="AS248"/>
      <c r="AT248"/>
      <c r="AU248"/>
      <c r="AV248"/>
      <c r="AW248"/>
      <c r="AX248"/>
      <c r="AY248"/>
      <c r="AZ248"/>
      <c r="BA248"/>
      <c r="BB248"/>
      <c r="BC248"/>
      <c r="BD248"/>
      <c r="BE248"/>
      <c r="BF248"/>
      <c r="BG248" s="191"/>
      <c r="BH248"/>
      <c r="BI248"/>
      <c r="BJ248"/>
      <c r="BK248"/>
      <c r="BL248"/>
      <c r="BM248"/>
      <c r="BN248"/>
      <c r="BO248"/>
      <c r="BP248"/>
      <c r="BQ248"/>
      <c r="BR248"/>
      <c r="BS248"/>
      <c r="BT248"/>
      <c r="BU248"/>
      <c r="BV248"/>
      <c r="BW248"/>
      <c r="BX248"/>
      <c r="BY248"/>
      <c r="BZ248"/>
      <c r="CA248"/>
      <c r="CB248" s="191"/>
      <c r="CC248"/>
      <c r="CD248" s="20" t="s">
        <v>144</v>
      </c>
      <c r="CE248" s="50">
        <v>0.06</v>
      </c>
      <c r="CF248" s="50">
        <v>2</v>
      </c>
      <c r="CG248" s="50">
        <v>3000</v>
      </c>
      <c r="CH248" s="50">
        <v>0.72430000000000005</v>
      </c>
      <c r="CI248" s="50">
        <v>0.11269999999999999</v>
      </c>
      <c r="CJ248" s="50">
        <v>0</v>
      </c>
      <c r="CK248" s="50">
        <v>3.3999999999999998E-3</v>
      </c>
      <c r="CL248" s="17">
        <f t="shared" si="18"/>
        <v>1.4113440000000001E-2</v>
      </c>
      <c r="CM248" s="50">
        <v>0.1188</v>
      </c>
      <c r="CN248" s="51"/>
      <c r="CP248" s="252"/>
    </row>
    <row r="249" spans="22:98" ht="16.5">
      <c r="V249" s="191"/>
      <c r="W249"/>
      <c r="X249"/>
      <c r="Y249"/>
      <c r="Z249"/>
      <c r="AB249"/>
      <c r="AC249" s="191"/>
      <c r="AD249"/>
      <c r="AE249"/>
      <c r="AF249"/>
      <c r="AG249"/>
      <c r="AH249"/>
      <c r="AI249"/>
      <c r="AJ249"/>
      <c r="AK249"/>
      <c r="AL249"/>
      <c r="AM249"/>
      <c r="AN249"/>
      <c r="AO249"/>
      <c r="AP249"/>
      <c r="AQ249"/>
      <c r="AR249"/>
      <c r="AS249"/>
      <c r="AT249"/>
      <c r="AU249"/>
      <c r="AV249"/>
      <c r="AW249"/>
      <c r="AX249"/>
      <c r="AY249"/>
      <c r="AZ249"/>
      <c r="BA249"/>
      <c r="BB249"/>
      <c r="BC249"/>
      <c r="BD249"/>
      <c r="BE249"/>
      <c r="BF249"/>
      <c r="BG249" s="191"/>
      <c r="BH249"/>
      <c r="BI249"/>
      <c r="BJ249"/>
      <c r="BK249"/>
      <c r="BL249"/>
      <c r="BM249"/>
      <c r="BN249"/>
      <c r="BO249"/>
      <c r="BP249"/>
      <c r="BQ249"/>
      <c r="BR249"/>
      <c r="BS249"/>
      <c r="BT249"/>
      <c r="BU249"/>
      <c r="BV249"/>
      <c r="BW249"/>
      <c r="BX249"/>
      <c r="BY249"/>
      <c r="BZ249"/>
      <c r="CA249"/>
      <c r="CB249" s="191"/>
      <c r="CC249"/>
      <c r="CD249" s="12" t="s">
        <v>162</v>
      </c>
      <c r="CE249" s="13">
        <v>7.0000000000000001E-3</v>
      </c>
      <c r="CF249" s="13">
        <v>2</v>
      </c>
      <c r="CG249" s="13">
        <v>3000</v>
      </c>
      <c r="CH249" s="13">
        <v>0.72750000000000004</v>
      </c>
      <c r="CI249" s="13">
        <v>8.0600000000000005E-2</v>
      </c>
      <c r="CJ249" s="13">
        <v>2.5000000000000001E-3</v>
      </c>
      <c r="CK249" s="13">
        <v>4.0000000000000001E-3</v>
      </c>
      <c r="CL249" s="12">
        <v>8.1199999999999994E-2</v>
      </c>
      <c r="CM249" s="50"/>
      <c r="CN249" s="51"/>
      <c r="CP249" s="252"/>
    </row>
    <row r="250" spans="22:98" ht="16.5">
      <c r="V250" s="191"/>
      <c r="W250"/>
      <c r="X250"/>
      <c r="Y250"/>
      <c r="Z250"/>
      <c r="AB250"/>
      <c r="AC250" s="191"/>
      <c r="AD250"/>
      <c r="AE250"/>
      <c r="AF250"/>
      <c r="AG250"/>
      <c r="AH250"/>
      <c r="AI250"/>
      <c r="AJ250"/>
      <c r="AK250"/>
      <c r="AL250"/>
      <c r="AM250"/>
      <c r="AN250"/>
      <c r="AO250"/>
      <c r="AP250"/>
      <c r="AQ250"/>
      <c r="AR250"/>
      <c r="AS250"/>
      <c r="AT250"/>
      <c r="AU250"/>
      <c r="AV250"/>
      <c r="AW250"/>
      <c r="AX250"/>
      <c r="AY250"/>
      <c r="AZ250"/>
      <c r="BA250"/>
      <c r="BB250"/>
      <c r="BC250"/>
      <c r="BD250"/>
      <c r="BE250"/>
      <c r="BF250"/>
      <c r="BG250" s="191"/>
      <c r="BH250"/>
      <c r="BI250"/>
      <c r="BJ250"/>
      <c r="BK250"/>
      <c r="BL250"/>
      <c r="BM250"/>
      <c r="BN250"/>
      <c r="BO250"/>
      <c r="BP250"/>
      <c r="BQ250"/>
      <c r="BR250"/>
      <c r="BS250"/>
      <c r="BT250"/>
      <c r="BU250"/>
      <c r="BV250"/>
      <c r="BW250"/>
      <c r="BX250"/>
      <c r="BY250"/>
      <c r="BZ250"/>
      <c r="CA250"/>
      <c r="CB250" s="191"/>
      <c r="CC250"/>
      <c r="CD250" s="17" t="s">
        <v>22</v>
      </c>
      <c r="CE250" s="50"/>
      <c r="CF250" s="50"/>
      <c r="CG250" s="50"/>
      <c r="CH250" s="50"/>
      <c r="CI250" s="50"/>
      <c r="CJ250" s="29"/>
      <c r="CK250" s="50"/>
      <c r="CL250" s="17">
        <f>CM250^2</f>
        <v>0</v>
      </c>
      <c r="CM250" s="50"/>
      <c r="CN250" s="51"/>
      <c r="CP250" s="252"/>
    </row>
    <row r="251" spans="22:98" ht="16.5">
      <c r="V251" s="191"/>
      <c r="W251"/>
      <c r="X251"/>
      <c r="Y251"/>
      <c r="Z251"/>
      <c r="AB251"/>
      <c r="AC251" s="191"/>
      <c r="AD251"/>
      <c r="AE251"/>
      <c r="AF251"/>
      <c r="AG251"/>
      <c r="AH251"/>
      <c r="AI251"/>
      <c r="AJ251"/>
      <c r="AK251"/>
      <c r="AL251"/>
      <c r="AM251"/>
      <c r="AN251"/>
      <c r="AO251"/>
      <c r="AP251"/>
      <c r="AQ251"/>
      <c r="AR251"/>
      <c r="AS251"/>
      <c r="AT251"/>
      <c r="AU251"/>
      <c r="AV251"/>
      <c r="AW251"/>
      <c r="AX251"/>
      <c r="AY251"/>
      <c r="AZ251"/>
      <c r="BA251"/>
      <c r="BB251"/>
      <c r="BC251"/>
      <c r="BD251"/>
      <c r="BE251"/>
      <c r="BF251"/>
      <c r="BG251" s="191"/>
      <c r="BH251"/>
      <c r="BI251"/>
      <c r="BJ251"/>
      <c r="BK251"/>
      <c r="BL251"/>
      <c r="BM251"/>
      <c r="BN251"/>
      <c r="BO251"/>
      <c r="BP251"/>
      <c r="BQ251"/>
      <c r="BR251"/>
      <c r="BS251"/>
      <c r="BT251"/>
      <c r="BU251"/>
      <c r="BV251"/>
      <c r="BW251"/>
      <c r="BX251"/>
      <c r="BY251"/>
      <c r="BZ251"/>
      <c r="CA251"/>
      <c r="CB251" s="191"/>
      <c r="CC251"/>
      <c r="CP251" s="252"/>
    </row>
    <row r="252" spans="22:98">
      <c r="CP252" s="252"/>
    </row>
    <row r="253" spans="22:98" ht="16.5">
      <c r="CP253" s="252"/>
      <c r="CT253"/>
    </row>
    <row r="254" spans="22:98" ht="16.5">
      <c r="CP254" s="252"/>
      <c r="CR254" s="15" t="s">
        <v>28</v>
      </c>
      <c r="CT254"/>
    </row>
    <row r="255" spans="22:98" ht="16.5">
      <c r="CP255" s="252"/>
      <c r="CR255" s="23" t="s">
        <v>73</v>
      </c>
      <c r="CS255" s="25" t="s">
        <v>74</v>
      </c>
      <c r="CT255"/>
    </row>
    <row r="256" spans="22:98" ht="16.5">
      <c r="CP256" s="252"/>
      <c r="CR256" s="17" t="s">
        <v>80</v>
      </c>
      <c r="CS256" s="56">
        <v>0.05</v>
      </c>
      <c r="CT256"/>
    </row>
    <row r="257" spans="94:98" ht="16.5">
      <c r="CP257" s="252"/>
      <c r="CR257" s="20" t="s">
        <v>82</v>
      </c>
      <c r="CS257" s="57">
        <v>8.5000000000000006E-3</v>
      </c>
      <c r="CT257"/>
    </row>
    <row r="258" spans="94:98" ht="16.5">
      <c r="CP258" s="252"/>
      <c r="CR258" s="20" t="s">
        <v>88</v>
      </c>
      <c r="CS258" s="59">
        <v>5.0000000000000001E-3</v>
      </c>
      <c r="CT258"/>
    </row>
    <row r="259" spans="94:98" ht="16.5">
      <c r="CP259" s="252"/>
      <c r="CR259" s="20" t="s">
        <v>93</v>
      </c>
      <c r="CS259" s="60">
        <v>0.1</v>
      </c>
      <c r="CT259"/>
    </row>
    <row r="260" spans="94:98" ht="16.5">
      <c r="CP260" s="252"/>
      <c r="CR260" s="20" t="s">
        <v>95</v>
      </c>
      <c r="CS260" s="77">
        <f>3.75*0.15*126.3/73.3</f>
        <v>0.96921896316507516</v>
      </c>
      <c r="CT260"/>
    </row>
    <row r="261" spans="94:98" ht="16.5">
      <c r="CP261" s="252"/>
      <c r="CR261" s="17" t="s">
        <v>101</v>
      </c>
      <c r="CS261" s="61">
        <v>136.9</v>
      </c>
      <c r="CT261"/>
    </row>
    <row r="262" spans="94:98" ht="16.5">
      <c r="CP262" s="252"/>
      <c r="CR262" s="12" t="s">
        <v>103</v>
      </c>
      <c r="CS262" s="62">
        <v>129.5</v>
      </c>
      <c r="CT262"/>
    </row>
    <row r="263" spans="94:98" ht="16.5">
      <c r="CP263" s="252"/>
      <c r="CR263" s="12" t="s">
        <v>106</v>
      </c>
      <c r="CS263" s="62">
        <v>76.783000000000001</v>
      </c>
      <c r="CT263"/>
    </row>
    <row r="264" spans="94:98" ht="16.5">
      <c r="CP264" s="252"/>
      <c r="CR264" s="17" t="s">
        <v>108</v>
      </c>
      <c r="CS264" s="63">
        <f>CS261*CS263/CS262</f>
        <v>81.170600000000007</v>
      </c>
      <c r="CT264"/>
    </row>
    <row r="265" spans="94:98" ht="16.5">
      <c r="CP265" s="252"/>
      <c r="CR265" s="17" t="s">
        <v>113</v>
      </c>
      <c r="CS265" s="50">
        <v>8.25</v>
      </c>
      <c r="CT265"/>
    </row>
    <row r="266" spans="94:98" ht="16.5">
      <c r="CP266" s="252"/>
      <c r="CR266" s="250" t="s">
        <v>26</v>
      </c>
      <c r="CS266" s="249"/>
      <c r="CT266"/>
    </row>
    <row r="267" spans="94:98" ht="16.5">
      <c r="CP267" s="252"/>
      <c r="CS267" s="17"/>
      <c r="CT267"/>
    </row>
    <row r="268" spans="94:98">
      <c r="CP268" s="252"/>
    </row>
  </sheetData>
  <protectedRanges>
    <protectedRange sqref="G20:G25 G41:G45 S19:S22 B50:J50 P17:Q17 O20:O25 O41:O45 K41:K45 K20:K25 B11:C16 B34:C38 K34:K38 O34:O38 K11:K16 O11:O16 L17:M17 G34:G38 G11:G16 H17:I17 B57 H26:H27 L26:L27 P26:P27 C56:J56 L46 P46" name="Grey edit cells"/>
    <protectedRange sqref="B40:D46 D28:F28 C19:C26 B19:B27 D19:D27" name="Grey edit cells_1"/>
    <protectedRange sqref="C3:C4" name="Grey edit cells_3"/>
  </protectedRanges>
  <mergeCells count="15">
    <mergeCell ref="B2:D2"/>
    <mergeCell ref="H8:J8"/>
    <mergeCell ref="L31:N31"/>
    <mergeCell ref="P31:R31"/>
    <mergeCell ref="K30:N30"/>
    <mergeCell ref="O30:R30"/>
    <mergeCell ref="O7:R7"/>
    <mergeCell ref="K7:N7"/>
    <mergeCell ref="L8:N8"/>
    <mergeCell ref="P8:R8"/>
    <mergeCell ref="B29:R29"/>
    <mergeCell ref="B6:R6"/>
    <mergeCell ref="H31:J31"/>
    <mergeCell ref="G30:J30"/>
    <mergeCell ref="G7:J7"/>
  </mergeCells>
  <dataValidations count="5">
    <dataValidation type="list" allowBlank="1" showInputMessage="1" showErrorMessage="1" sqref="C34:C38 C11:C16 C50:J50 C56:J56" xr:uid="{163C1D90-C4F6-4ED8-8E24-24BCC4F34EEC}">
      <formula1>PowerSel</formula1>
    </dataValidation>
    <dataValidation type="list" allowBlank="1" showInputMessage="1" showErrorMessage="1" sqref="AQ111" xr:uid="{15F2B713-1638-46DF-BF46-1ADDE199DD45}">
      <formula1>repair_impl</formula1>
    </dataValidation>
    <dataValidation type="list" allowBlank="1" showInputMessage="1" showErrorMessage="1" sqref="B11:B16 B34:B38" xr:uid="{F6D0C9A4-5232-44D4-B490-A2C7D3AD59CF}">
      <formula1>$AE$112:$AE$174</formula1>
    </dataValidation>
    <dataValidation type="list" allowBlank="1" showInputMessage="1" showErrorMessage="1" sqref="B41:B45 B20:B25" xr:uid="{51CDD203-F219-44CA-9EBB-E470D893DECE}">
      <formula1>$X$53:$X$103</formula1>
    </dataValidation>
    <dataValidation type="list" allowBlank="1" showInputMessage="1" showErrorMessage="1" sqref="AQ112:AQ174" xr:uid="{027960D1-D637-44A4-B90E-A80310F9D812}">
      <formula1>$BH$23:$BH$54</formula1>
    </dataValidation>
  </dataValidations>
  <hyperlinks>
    <hyperlink ref="H49" location="Power" display="Go to PowerUnit database." xr:uid="{A39348C2-25CA-4B72-BE71-BC8DB6568AC7}"/>
    <hyperlink ref="H48" location="Implements" display="Go to Implements database." xr:uid="{956E3FDA-7280-449E-893C-EDE1DB55EBB9}"/>
    <hyperlink ref="H50" location="CustomRates" display="Go to Custom Rates database" xr:uid="{B34B7DA8-CDBA-47D3-824B-B1BB85CEE8EF}"/>
  </hyperlink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1581" r:id="rId4">
          <objectPr defaultSize="0" r:id="rId5">
            <anchor moveWithCells="1">
              <from>
                <xdr:col>19</xdr:col>
                <xdr:colOff>0</xdr:colOff>
                <xdr:row>2</xdr:row>
                <xdr:rowOff>0</xdr:rowOff>
              </from>
              <to>
                <xdr:col>19</xdr:col>
                <xdr:colOff>5956300</xdr:colOff>
                <xdr:row>26</xdr:row>
                <xdr:rowOff>165100</xdr:rowOff>
              </to>
            </anchor>
          </objectPr>
        </oleObject>
      </mc:Choice>
      <mc:Fallback>
        <oleObject progId="Word.Document.12" shapeId="21581" r:id="rId4"/>
      </mc:Fallback>
    </mc:AlternateContent>
  </oleObjects>
  <tableParts count="5">
    <tablePart r:id="rId6"/>
    <tablePart r:id="rId7"/>
    <tablePart r:id="rId8"/>
    <tablePart r:id="rId9"/>
    <tablePart r:id="rId10"/>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CEF93-921E-4B71-81CA-DACBAC9908C5}">
  <dimension ref="B1:T35"/>
  <sheetViews>
    <sheetView showGridLines="0" workbookViewId="0"/>
  </sheetViews>
  <sheetFormatPr defaultColWidth="0" defaultRowHeight="16.5" zeroHeight="1"/>
  <cols>
    <col min="1" max="1" width="2.58203125" customWidth="1"/>
    <col min="2" max="2" width="14.5" bestFit="1" customWidth="1"/>
    <col min="3" max="3" width="13" customWidth="1"/>
    <col min="4" max="4" width="13.83203125" customWidth="1"/>
    <col min="5" max="5" width="15.58203125" customWidth="1"/>
    <col min="6" max="6" width="14.83203125" customWidth="1"/>
    <col min="7" max="7" width="24.83203125" customWidth="1"/>
    <col min="8" max="9" width="21.33203125" customWidth="1"/>
    <col min="10" max="10" width="8.83203125" customWidth="1"/>
    <col min="11" max="11" width="21.33203125" hidden="1"/>
    <col min="12" max="12" width="14.58203125" hidden="1"/>
    <col min="13" max="13" width="15.75" hidden="1"/>
    <col min="14" max="14" width="9.5" hidden="1"/>
    <col min="15" max="16" width="11.08203125" hidden="1"/>
    <col min="17" max="17" width="8.6640625" hidden="1"/>
    <col min="18" max="18" width="19.08203125" hidden="1"/>
    <col min="19" max="19" width="9.83203125" hidden="1"/>
    <col min="20" max="20" width="11.5" hidden="1"/>
    <col min="21" max="16384" width="8.6640625" hidden="1"/>
  </cols>
  <sheetData>
    <row r="1" spans="2:12" ht="17" thickBot="1"/>
    <row r="2" spans="2:12" ht="25" customHeight="1">
      <c r="B2" s="345" t="s">
        <v>439</v>
      </c>
      <c r="C2" s="346"/>
      <c r="D2" s="346"/>
      <c r="E2" s="346"/>
      <c r="F2" s="346"/>
      <c r="G2" s="346"/>
      <c r="H2" s="346"/>
      <c r="I2" s="347"/>
      <c r="J2" s="128"/>
      <c r="K2" s="128"/>
    </row>
    <row r="3" spans="2:12" ht="17.5" customHeight="1">
      <c r="B3" s="109"/>
      <c r="C3" s="127"/>
      <c r="D3" s="363" t="s">
        <v>463</v>
      </c>
      <c r="E3" s="364"/>
      <c r="F3" s="363" t="s">
        <v>464</v>
      </c>
      <c r="G3" s="365"/>
      <c r="H3" s="366" t="s">
        <v>466</v>
      </c>
      <c r="I3" s="344"/>
      <c r="J3" s="128"/>
      <c r="K3" s="128"/>
    </row>
    <row r="4" spans="2:12" ht="16.5" customHeight="1">
      <c r="B4" s="151" t="s">
        <v>425</v>
      </c>
      <c r="C4" s="152" t="s">
        <v>424</v>
      </c>
      <c r="D4" s="153" t="s">
        <v>426</v>
      </c>
      <c r="E4" s="154" t="s">
        <v>428</v>
      </c>
      <c r="F4" s="153" t="s">
        <v>426</v>
      </c>
      <c r="G4" s="154" t="s">
        <v>428</v>
      </c>
      <c r="H4" s="153" t="s">
        <v>426</v>
      </c>
      <c r="I4" s="154" t="s">
        <v>428</v>
      </c>
      <c r="J4" s="113"/>
      <c r="K4" s="113"/>
    </row>
    <row r="5" spans="2:12">
      <c r="B5" s="129"/>
      <c r="C5" s="130" t="s">
        <v>459</v>
      </c>
      <c r="D5" s="131" t="s">
        <v>427</v>
      </c>
      <c r="E5" s="132" t="s">
        <v>293</v>
      </c>
      <c r="F5" s="131" t="s">
        <v>427</v>
      </c>
      <c r="G5" s="133" t="s">
        <v>293</v>
      </c>
      <c r="H5" s="131" t="s">
        <v>427</v>
      </c>
      <c r="I5" s="139" t="s">
        <v>293</v>
      </c>
      <c r="J5" s="72"/>
      <c r="K5" s="72"/>
    </row>
    <row r="6" spans="2:12">
      <c r="B6" s="206" t="s">
        <v>429</v>
      </c>
      <c r="C6" s="207"/>
      <c r="D6" s="208"/>
      <c r="E6" s="125"/>
      <c r="F6" s="208"/>
      <c r="G6" s="209"/>
      <c r="H6" s="208"/>
      <c r="I6" s="210"/>
      <c r="J6" s="72"/>
      <c r="K6" s="72"/>
    </row>
    <row r="7" spans="2:12">
      <c r="B7" s="89" t="s">
        <v>432</v>
      </c>
      <c r="C7" s="134">
        <f>IFERROR(VLOOKUP(B7,DBCrops[],2,FALSE),"")</f>
        <v>4</v>
      </c>
      <c r="D7" s="144"/>
      <c r="E7" s="135">
        <f>IFERROR(D7*$C7,"")</f>
        <v>0</v>
      </c>
      <c r="F7" s="144"/>
      <c r="G7" s="136">
        <f>IFERROR(F7*$C7,"")</f>
        <v>0</v>
      </c>
      <c r="H7" s="144"/>
      <c r="I7" s="140">
        <f>IFERROR(H7*$C7,"")</f>
        <v>0</v>
      </c>
      <c r="J7" s="96"/>
      <c r="K7" s="96"/>
      <c r="L7" s="96"/>
    </row>
    <row r="8" spans="2:12">
      <c r="B8" s="211" t="s">
        <v>430</v>
      </c>
      <c r="C8" s="212" t="str">
        <f>IFERROR(VLOOKUP(B8,DBSeed[],2,FALSE),"")</f>
        <v/>
      </c>
      <c r="D8" s="219"/>
      <c r="E8" s="213"/>
      <c r="F8" s="219"/>
      <c r="G8" s="214"/>
      <c r="H8" s="219"/>
      <c r="I8" s="215" t="str">
        <f>IFERROR(H8*$C8,"")</f>
        <v/>
      </c>
      <c r="J8" s="96"/>
      <c r="K8" s="96"/>
      <c r="L8" s="96"/>
    </row>
    <row r="9" spans="2:12">
      <c r="B9" s="148" t="s">
        <v>285</v>
      </c>
      <c r="C9" s="216">
        <f>IFERROR(VLOOKUP(B9,DBCrops[],2,FALSE),"")</f>
        <v>10</v>
      </c>
      <c r="D9" s="150"/>
      <c r="E9" s="149">
        <f>IFERROR(D9*$C9,"")</f>
        <v>0</v>
      </c>
      <c r="F9" s="150"/>
      <c r="G9" s="217">
        <f>IFERROR(F9*$C9,"")</f>
        <v>0</v>
      </c>
      <c r="H9" s="150"/>
      <c r="I9" s="218">
        <f>IFERROR(H9*$C9,"")</f>
        <v>0</v>
      </c>
      <c r="J9" s="96"/>
      <c r="K9" s="96"/>
      <c r="L9" s="96"/>
    </row>
    <row r="10" spans="2:12" ht="17" thickBot="1">
      <c r="B10" s="100" t="s">
        <v>17</v>
      </c>
      <c r="C10" s="101"/>
      <c r="D10" s="146"/>
      <c r="E10" s="137">
        <f>SUM(E7:E9)</f>
        <v>0</v>
      </c>
      <c r="F10" s="146"/>
      <c r="G10" s="138">
        <f>SUM(G7:G9)</f>
        <v>0</v>
      </c>
      <c r="H10" s="145"/>
      <c r="I10" s="141">
        <f>SUM(I7:I9)</f>
        <v>0</v>
      </c>
      <c r="J10" s="128"/>
      <c r="K10" s="128"/>
      <c r="L10" s="96"/>
    </row>
    <row r="11" spans="2:12"/>
    <row r="12" spans="2:12"/>
    <row r="13" spans="2:12">
      <c r="B13" s="8" t="s">
        <v>425</v>
      </c>
    </row>
    <row r="14" spans="2:12">
      <c r="B14" t="s">
        <v>431</v>
      </c>
      <c r="C14" t="s">
        <v>7</v>
      </c>
    </row>
    <row r="15" spans="2:12">
      <c r="B15" t="s">
        <v>432</v>
      </c>
      <c r="C15" s="205">
        <v>4</v>
      </c>
    </row>
    <row r="16" spans="2:12">
      <c r="B16" t="s">
        <v>285</v>
      </c>
      <c r="C16" s="205">
        <v>10</v>
      </c>
    </row>
    <row r="17" spans="2:20">
      <c r="B17" t="s">
        <v>275</v>
      </c>
      <c r="C17" s="205">
        <v>6</v>
      </c>
    </row>
    <row r="18" spans="2:20">
      <c r="B18" t="s">
        <v>433</v>
      </c>
      <c r="C18" s="205">
        <v>4</v>
      </c>
    </row>
    <row r="19" spans="2:20">
      <c r="B19" t="s">
        <v>451</v>
      </c>
      <c r="C19" s="205"/>
    </row>
    <row r="20" spans="2:20"/>
    <row r="21" spans="2:20"/>
    <row r="22" spans="2:20">
      <c r="R22" s="367"/>
      <c r="S22" s="367"/>
      <c r="T22" s="367"/>
    </row>
    <row r="23" spans="2:20">
      <c r="D23" s="90"/>
      <c r="R23" s="107"/>
      <c r="S23" s="107"/>
      <c r="T23" s="107"/>
    </row>
    <row r="24" spans="2:20" hidden="1">
      <c r="D24" s="90"/>
      <c r="S24" s="108"/>
      <c r="T24" s="108"/>
    </row>
    <row r="25" spans="2:20" hidden="1">
      <c r="S25" s="108"/>
      <c r="T25" s="108"/>
    </row>
    <row r="26" spans="2:20" hidden="1">
      <c r="D26" s="96"/>
      <c r="S26" s="108"/>
      <c r="T26" s="108"/>
    </row>
    <row r="27" spans="2:20" hidden="1">
      <c r="S27" s="108"/>
      <c r="T27" s="108"/>
    </row>
    <row r="28" spans="2:20" hidden="1">
      <c r="S28" s="108"/>
      <c r="T28" s="108"/>
    </row>
    <row r="29" spans="2:20" hidden="1">
      <c r="S29" s="108"/>
      <c r="T29" s="108"/>
    </row>
    <row r="30" spans="2:20" hidden="1">
      <c r="S30" s="108"/>
      <c r="T30" s="108"/>
    </row>
    <row r="31" spans="2:20" hidden="1">
      <c r="S31" s="108"/>
      <c r="T31" s="108"/>
    </row>
    <row r="32" spans="2:20" hidden="1">
      <c r="S32" s="108"/>
      <c r="T32" s="108"/>
    </row>
    <row r="33" spans="19:20" hidden="1">
      <c r="S33" s="108"/>
      <c r="T33" s="108"/>
    </row>
    <row r="34" spans="19:20" hidden="1">
      <c r="S34" s="108"/>
      <c r="T34" s="108"/>
    </row>
    <row r="35" spans="19:20" hidden="1">
      <c r="S35" s="108"/>
      <c r="T35" s="108"/>
    </row>
  </sheetData>
  <mergeCells count="5">
    <mergeCell ref="B2:I2"/>
    <mergeCell ref="D3:E3"/>
    <mergeCell ref="F3:G3"/>
    <mergeCell ref="H3:I3"/>
    <mergeCell ref="R22:T22"/>
  </mergeCells>
  <dataValidations count="1">
    <dataValidation type="list" allowBlank="1" showInputMessage="1" showErrorMessage="1" sqref="B9 B7" xr:uid="{CFBDBA62-3D57-4C5A-A8F6-13A785B70A9A}">
      <formula1>$B$15:$B$19</formula1>
    </dataValidation>
  </dataValidation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6625" r:id="rId4">
          <objectPr defaultSize="0" autoPict="0" r:id="rId5">
            <anchor moveWithCells="1">
              <from>
                <xdr:col>3</xdr:col>
                <xdr:colOff>228600</xdr:colOff>
                <xdr:row>11</xdr:row>
                <xdr:rowOff>31750</xdr:rowOff>
              </from>
              <to>
                <xdr:col>7</xdr:col>
                <xdr:colOff>895350</xdr:colOff>
                <xdr:row>22</xdr:row>
                <xdr:rowOff>31750</xdr:rowOff>
              </to>
            </anchor>
          </objectPr>
        </oleObject>
      </mc:Choice>
      <mc:Fallback>
        <oleObject progId="Word.Document.12" shapeId="26625" r:id="rId4"/>
      </mc:Fallback>
    </mc:AlternateContent>
  </oleObjects>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5485F-D936-4004-B967-057FB9B8C434}">
  <dimension ref="B1:F52"/>
  <sheetViews>
    <sheetView showGridLines="0" workbookViewId="0"/>
  </sheetViews>
  <sheetFormatPr defaultColWidth="0" defaultRowHeight="16.5" zeroHeight="1"/>
  <cols>
    <col min="1" max="1" width="3.58203125" customWidth="1"/>
    <col min="2" max="2" width="42.08203125" customWidth="1"/>
    <col min="3" max="3" width="12" customWidth="1"/>
    <col min="4" max="4" width="11.83203125" customWidth="1"/>
    <col min="5" max="5" width="10.25" bestFit="1" customWidth="1"/>
    <col min="6" max="6" width="14.75" customWidth="1"/>
    <col min="7" max="7" width="8.6640625" customWidth="1"/>
    <col min="8" max="8" width="10.83203125" customWidth="1"/>
    <col min="9" max="9" width="19.25" bestFit="1" customWidth="1"/>
    <col min="10" max="10" width="20.5" bestFit="1" customWidth="1"/>
    <col min="11" max="14" width="8.6640625" customWidth="1"/>
    <col min="15" max="16384" width="8.6640625" hidden="1"/>
  </cols>
  <sheetData>
    <row r="1" spans="2:6" ht="17" thickBot="1"/>
    <row r="2" spans="2:6" ht="21">
      <c r="B2" s="368" t="s">
        <v>456</v>
      </c>
      <c r="C2" s="369"/>
      <c r="D2" s="369"/>
      <c r="E2" s="369"/>
      <c r="F2" s="370"/>
    </row>
    <row r="3" spans="2:6">
      <c r="B3" s="162" t="s">
        <v>300</v>
      </c>
      <c r="C3" s="199">
        <v>40</v>
      </c>
      <c r="D3" s="254" t="s">
        <v>299</v>
      </c>
      <c r="E3" s="2"/>
      <c r="F3" s="86"/>
    </row>
    <row r="4" spans="2:6">
      <c r="B4" s="4"/>
      <c r="C4" s="5"/>
      <c r="D4" s="5"/>
      <c r="E4" s="2"/>
      <c r="F4" s="86"/>
    </row>
    <row r="5" spans="2:6">
      <c r="B5" s="92" t="s">
        <v>298</v>
      </c>
      <c r="C5" s="10" t="s">
        <v>8</v>
      </c>
      <c r="D5" s="10" t="s">
        <v>19</v>
      </c>
      <c r="E5" s="10" t="s">
        <v>7</v>
      </c>
      <c r="F5" s="11" t="s">
        <v>394</v>
      </c>
    </row>
    <row r="6" spans="2:6">
      <c r="B6" s="4" t="s">
        <v>385</v>
      </c>
      <c r="C6" s="5"/>
      <c r="D6" s="5"/>
      <c r="E6" s="2"/>
      <c r="F6" s="85">
        <f>SUM(F7:F9)</f>
        <v>13177</v>
      </c>
    </row>
    <row r="7" spans="2:6">
      <c r="B7" s="6" t="s">
        <v>386</v>
      </c>
      <c r="C7" s="199">
        <v>5280</v>
      </c>
      <c r="D7" s="5" t="s">
        <v>301</v>
      </c>
      <c r="E7" s="244">
        <v>2.25</v>
      </c>
      <c r="F7" s="253">
        <f t="shared" ref="F7:F8" si="0">C7*E7</f>
        <v>11880</v>
      </c>
    </row>
    <row r="8" spans="2:6">
      <c r="B8" s="6" t="s">
        <v>387</v>
      </c>
      <c r="C8" s="199">
        <v>1980</v>
      </c>
      <c r="D8" s="5" t="s">
        <v>301</v>
      </c>
      <c r="E8" s="330">
        <v>0.15</v>
      </c>
      <c r="F8" s="253">
        <f t="shared" si="0"/>
        <v>297</v>
      </c>
    </row>
    <row r="9" spans="2:6">
      <c r="B9" s="6" t="s">
        <v>389</v>
      </c>
      <c r="C9" s="199">
        <v>1</v>
      </c>
      <c r="D9" s="5"/>
      <c r="E9" s="330">
        <v>1000</v>
      </c>
      <c r="F9" s="253">
        <f>C9*E9</f>
        <v>1000</v>
      </c>
    </row>
    <row r="10" spans="2:6">
      <c r="B10" s="315" t="s">
        <v>470</v>
      </c>
      <c r="C10" s="316"/>
      <c r="D10" s="197"/>
      <c r="E10" s="316"/>
      <c r="F10" s="253" t="str">
        <f>IF(ISBLANK(E10),"",C10*E10)</f>
        <v/>
      </c>
    </row>
    <row r="11" spans="2:6">
      <c r="B11" s="92" t="s">
        <v>388</v>
      </c>
      <c r="C11" s="10"/>
      <c r="D11" s="10"/>
      <c r="E11" s="10"/>
      <c r="F11" s="11" t="s">
        <v>423</v>
      </c>
    </row>
    <row r="12" spans="2:6">
      <c r="B12" s="4" t="s">
        <v>390</v>
      </c>
      <c r="C12" s="197"/>
      <c r="D12" s="197"/>
      <c r="E12" s="197"/>
      <c r="F12" s="163">
        <f>SUM(F13:F15)</f>
        <v>12.635</v>
      </c>
    </row>
    <row r="13" spans="2:6">
      <c r="B13" s="198" t="s">
        <v>302</v>
      </c>
      <c r="C13" s="199">
        <v>30</v>
      </c>
      <c r="D13" s="5" t="s">
        <v>304</v>
      </c>
      <c r="E13" s="2"/>
      <c r="F13" s="159">
        <f>F7/C13/$C$3</f>
        <v>9.9</v>
      </c>
    </row>
    <row r="14" spans="2:6">
      <c r="B14" s="198" t="s">
        <v>303</v>
      </c>
      <c r="C14" s="199">
        <v>5</v>
      </c>
      <c r="D14" s="5" t="s">
        <v>304</v>
      </c>
      <c r="E14" s="2"/>
      <c r="F14" s="159">
        <f t="shared" ref="F14" si="1">F8/C14/$C$3</f>
        <v>1.4849999999999999</v>
      </c>
    </row>
    <row r="15" spans="2:6">
      <c r="B15" s="198" t="s">
        <v>391</v>
      </c>
      <c r="C15" s="199">
        <v>20</v>
      </c>
      <c r="D15" s="5" t="s">
        <v>304</v>
      </c>
      <c r="E15" s="2"/>
      <c r="F15" s="159">
        <f>F9/C15/$C$3</f>
        <v>1.25</v>
      </c>
    </row>
    <row r="16" spans="2:6">
      <c r="B16" s="198" t="str">
        <f>B10</f>
        <v>Other (type in here)</v>
      </c>
      <c r="C16" s="199"/>
      <c r="D16" s="5"/>
      <c r="E16" s="2"/>
      <c r="F16" s="159" t="str">
        <f>IF(ISBLANK(C16),"",F10/C16/$C$3)</f>
        <v/>
      </c>
    </row>
    <row r="17" spans="2:6">
      <c r="B17" s="4" t="s">
        <v>11</v>
      </c>
      <c r="C17" s="200"/>
      <c r="D17" s="5"/>
      <c r="E17" s="2"/>
      <c r="F17" s="85">
        <f>SUM(F18:F20)</f>
        <v>18.791208791208788</v>
      </c>
    </row>
    <row r="18" spans="2:6">
      <c r="B18" s="198" t="s">
        <v>305</v>
      </c>
      <c r="C18" s="5">
        <f>Grazing!D37*Grazing!$D$47</f>
        <v>21.758241758241756</v>
      </c>
      <c r="D18" s="5" t="s">
        <v>471</v>
      </c>
      <c r="E18" s="157">
        <f>Equipment!$C$3/$C$3</f>
        <v>0.4375</v>
      </c>
      <c r="F18" s="159">
        <f>C18*E18</f>
        <v>9.5192307692307683</v>
      </c>
    </row>
    <row r="19" spans="2:6">
      <c r="B19" s="198" t="s">
        <v>306</v>
      </c>
      <c r="C19" s="5">
        <f>Grazing!D38*Grazing!$D$47</f>
        <v>16.483516483516482</v>
      </c>
      <c r="D19" s="5" t="s">
        <v>471</v>
      </c>
      <c r="E19" s="331">
        <f>Equipment!$C$3/$C$3</f>
        <v>0.4375</v>
      </c>
      <c r="F19" s="159">
        <f t="shared" ref="F19:F20" si="2">C19*E19</f>
        <v>7.2115384615384608</v>
      </c>
    </row>
    <row r="20" spans="2:6">
      <c r="B20" s="198" t="s">
        <v>307</v>
      </c>
      <c r="C20" s="5">
        <f>Grazing!D39*Grazing!$D$47/7</f>
        <v>4.7095761381475665</v>
      </c>
      <c r="D20" s="5" t="s">
        <v>471</v>
      </c>
      <c r="E20" s="331">
        <f>Equipment!$C$3/$C$3</f>
        <v>0.4375</v>
      </c>
      <c r="F20" s="159">
        <f t="shared" si="2"/>
        <v>2.0604395604395602</v>
      </c>
    </row>
    <row r="21" spans="2:6">
      <c r="B21" s="4" t="s">
        <v>395</v>
      </c>
      <c r="C21" s="5">
        <f>Grazing!D40*Grazing!D41*Grazing!D47/1000</f>
        <v>0.92307692307692302</v>
      </c>
      <c r="D21" s="5" t="s">
        <v>392</v>
      </c>
      <c r="E21" s="331">
        <f>Grazing!D27</f>
        <v>15</v>
      </c>
      <c r="F21" s="85">
        <f>C21*E21</f>
        <v>13.846153846153845</v>
      </c>
    </row>
    <row r="22" spans="2:6">
      <c r="B22" s="4" t="s">
        <v>324</v>
      </c>
      <c r="C22" s="5"/>
      <c r="D22" s="5"/>
      <c r="E22" s="2"/>
      <c r="F22" s="93"/>
    </row>
    <row r="23" spans="2:6" ht="17" thickBot="1">
      <c r="B23" s="201" t="s">
        <v>422</v>
      </c>
      <c r="C23" s="202"/>
      <c r="D23" s="202"/>
      <c r="E23" s="203"/>
      <c r="F23" s="204">
        <f>SUM(F12,F17,,F21:F22)</f>
        <v>45.272362637362633</v>
      </c>
    </row>
    <row r="24" spans="2:6" ht="16.5" customHeight="1">
      <c r="B24" s="94"/>
      <c r="C24" s="94"/>
      <c r="D24" s="94"/>
      <c r="E24" s="94"/>
      <c r="F24" s="94"/>
    </row>
    <row r="25" spans="2:6" ht="17" thickBot="1">
      <c r="B25" s="187" t="s">
        <v>476</v>
      </c>
    </row>
    <row r="26" spans="2:6">
      <c r="B26" s="268" t="s">
        <v>407</v>
      </c>
      <c r="C26" s="269" t="s">
        <v>19</v>
      </c>
      <c r="D26" s="270" t="s">
        <v>74</v>
      </c>
    </row>
    <row r="27" spans="2:6" ht="17.5">
      <c r="B27" s="267" t="s">
        <v>408</v>
      </c>
      <c r="C27" s="255" t="s">
        <v>437</v>
      </c>
      <c r="D27" s="256">
        <v>15</v>
      </c>
    </row>
    <row r="28" spans="2:6">
      <c r="B28" s="257" t="s">
        <v>295</v>
      </c>
      <c r="C28" s="258"/>
      <c r="D28" s="259"/>
    </row>
    <row r="29" spans="2:6" ht="32">
      <c r="B29" s="260" t="s">
        <v>334</v>
      </c>
      <c r="C29" s="271" t="s">
        <v>348</v>
      </c>
      <c r="D29" s="261">
        <v>1.5</v>
      </c>
    </row>
    <row r="30" spans="2:6" ht="32">
      <c r="B30" s="260" t="s">
        <v>335</v>
      </c>
      <c r="C30" s="271" t="s">
        <v>348</v>
      </c>
      <c r="D30" s="261">
        <v>1.5</v>
      </c>
    </row>
    <row r="31" spans="2:6" ht="17.5">
      <c r="B31" s="262" t="s">
        <v>317</v>
      </c>
      <c r="C31" s="255" t="s">
        <v>455</v>
      </c>
      <c r="D31" s="256">
        <v>100</v>
      </c>
    </row>
    <row r="32" spans="2:6" ht="17.5">
      <c r="B32" s="262" t="s">
        <v>318</v>
      </c>
      <c r="C32" s="255" t="s">
        <v>455</v>
      </c>
      <c r="D32" s="256">
        <v>75</v>
      </c>
    </row>
    <row r="33" spans="2:4" ht="17.5">
      <c r="B33" s="262" t="s">
        <v>319</v>
      </c>
      <c r="C33" s="255" t="s">
        <v>316</v>
      </c>
      <c r="D33" s="263">
        <v>0.6</v>
      </c>
    </row>
    <row r="34" spans="2:4" ht="18" thickBot="1">
      <c r="B34" s="264" t="s">
        <v>401</v>
      </c>
      <c r="C34" s="265" t="s">
        <v>454</v>
      </c>
      <c r="D34" s="266">
        <v>1800</v>
      </c>
    </row>
    <row r="35" spans="2:4">
      <c r="B35" s="187"/>
    </row>
    <row r="36" spans="2:4">
      <c r="B36" s="91" t="s">
        <v>20</v>
      </c>
      <c r="C36" s="91" t="s">
        <v>19</v>
      </c>
      <c r="D36" s="91" t="s">
        <v>74</v>
      </c>
    </row>
    <row r="37" spans="2:4">
      <c r="B37" t="s">
        <v>311</v>
      </c>
      <c r="C37" t="s">
        <v>312</v>
      </c>
      <c r="D37" s="177">
        <v>0.33</v>
      </c>
    </row>
    <row r="38" spans="2:4">
      <c r="B38" t="s">
        <v>309</v>
      </c>
      <c r="C38" t="s">
        <v>312</v>
      </c>
      <c r="D38" s="178">
        <v>0.25</v>
      </c>
    </row>
    <row r="39" spans="2:4">
      <c r="B39" t="s">
        <v>310</v>
      </c>
      <c r="C39" t="s">
        <v>314</v>
      </c>
      <c r="D39" s="178">
        <v>0.5</v>
      </c>
    </row>
    <row r="40" spans="2:4">
      <c r="B40" t="s">
        <v>308</v>
      </c>
      <c r="C40" t="s">
        <v>313</v>
      </c>
      <c r="D40" s="179">
        <v>1.4</v>
      </c>
    </row>
    <row r="41" spans="2:4">
      <c r="B41" t="s">
        <v>329</v>
      </c>
      <c r="C41" t="s">
        <v>452</v>
      </c>
      <c r="D41" s="180">
        <v>10</v>
      </c>
    </row>
    <row r="42" spans="2:4">
      <c r="B42" t="s">
        <v>328</v>
      </c>
      <c r="C42" t="s">
        <v>316</v>
      </c>
      <c r="D42" s="181">
        <v>0.2</v>
      </c>
    </row>
    <row r="43" spans="2:4">
      <c r="B43" s="182" t="s">
        <v>323</v>
      </c>
      <c r="C43" s="182" t="s">
        <v>316</v>
      </c>
      <c r="D43" s="183">
        <v>0.6</v>
      </c>
    </row>
    <row r="44" spans="2:4" ht="33">
      <c r="B44" t="s">
        <v>350</v>
      </c>
      <c r="C44" s="99" t="s">
        <v>453</v>
      </c>
      <c r="D44" s="178">
        <v>780</v>
      </c>
    </row>
    <row r="45" spans="2:4" ht="17" thickBot="1">
      <c r="B45" s="184" t="s">
        <v>399</v>
      </c>
      <c r="C45" s="184"/>
      <c r="D45" s="317">
        <v>2000</v>
      </c>
    </row>
    <row r="46" spans="2:4">
      <c r="B46" s="8" t="s">
        <v>416</v>
      </c>
    </row>
    <row r="47" spans="2:4">
      <c r="B47" s="95" t="s">
        <v>315</v>
      </c>
      <c r="D47" s="185">
        <f>Grazing!C3/D40*D48</f>
        <v>65.934065934065927</v>
      </c>
    </row>
    <row r="48" spans="2:4">
      <c r="B48" s="95" t="s">
        <v>296</v>
      </c>
      <c r="D48" s="186">
        <f>Grazing!D30*D45/D44*D43</f>
        <v>2.3076923076923075</v>
      </c>
    </row>
    <row r="49" spans="2:4" ht="17.5">
      <c r="B49" s="95" t="s">
        <v>400</v>
      </c>
      <c r="D49" s="110">
        <f>Grazing!D50*2000/Grazing!D34</f>
        <v>2.7777777777777777</v>
      </c>
    </row>
    <row r="50" spans="2:4">
      <c r="B50" s="95" t="s">
        <v>349</v>
      </c>
      <c r="C50" s="176" t="s">
        <v>347</v>
      </c>
      <c r="D50" s="5">
        <f>Grazing!D29/Grazing!D33</f>
        <v>2.5</v>
      </c>
    </row>
    <row r="51" spans="2:4"/>
    <row r="52" spans="2:4"/>
  </sheetData>
  <protectedRanges>
    <protectedRange sqref="D27" name="Grey edit cells"/>
  </protectedRanges>
  <mergeCells count="1">
    <mergeCell ref="B2:F2"/>
  </mergeCells>
  <phoneticPr fontId="11" type="noConversion"/>
  <conditionalFormatting sqref="C3">
    <cfRule type="expression" dxfId="4" priority="1">
      <formula>$G$2="no"</formula>
    </cfRule>
  </conditionalFormatting>
  <conditionalFormatting sqref="C3:D4 C6:D9 C7:E9 B13:D20 C21:D23">
    <cfRule type="expression" dxfId="3" priority="9">
      <formula>$G$2="no"</formula>
    </cfRule>
  </conditionalFormatting>
  <conditionalFormatting sqref="C5:D12">
    <cfRule type="expression" dxfId="2" priority="10">
      <formula>$G$2="no"</formula>
    </cfRule>
  </conditionalFormatting>
  <conditionalFormatting sqref="D29:D30">
    <cfRule type="expression" dxfId="1" priority="2">
      <formula>#REF!="no"</formula>
    </cfRule>
  </conditionalFormatting>
  <conditionalFormatting sqref="D50">
    <cfRule type="expression" dxfId="0" priority="3">
      <formula>#REF!="no"</formula>
    </cfRule>
  </conditionalFormatting>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7649" r:id="rId4">
          <objectPr defaultSize="0" r:id="rId5">
            <anchor moveWithCells="1">
              <from>
                <xdr:col>6</xdr:col>
                <xdr:colOff>393700</xdr:colOff>
                <xdr:row>1</xdr:row>
                <xdr:rowOff>19050</xdr:rowOff>
              </from>
              <to>
                <xdr:col>12</xdr:col>
                <xdr:colOff>514350</xdr:colOff>
                <xdr:row>12</xdr:row>
                <xdr:rowOff>50800</xdr:rowOff>
              </to>
            </anchor>
          </objectPr>
        </oleObject>
      </mc:Choice>
      <mc:Fallback>
        <oleObject progId="Word.Document.12" shapeId="27649" r:id="rId4"/>
      </mc:Fallback>
    </mc:AlternateContent>
  </oleObjects>
  <tableParts count="1">
    <tablePart r:id="rId6"/>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C727-E498-46EE-9439-8590DC5CB971}">
  <dimension ref="A1:E51"/>
  <sheetViews>
    <sheetView showGridLines="0" tabSelected="1" workbookViewId="0">
      <selection activeCell="C3" sqref="C3"/>
    </sheetView>
  </sheetViews>
  <sheetFormatPr defaultColWidth="0" defaultRowHeight="16.5" zeroHeight="1" outlineLevelRow="1"/>
  <cols>
    <col min="1" max="1" width="2.58203125" style="1" customWidth="1"/>
    <col min="2" max="2" width="43.08203125" style="1" customWidth="1"/>
    <col min="3" max="5" width="25.58203125" style="1" customWidth="1"/>
    <col min="6" max="15" width="9" style="1" customWidth="1"/>
    <col min="16" max="16384" width="9" style="1" hidden="1"/>
  </cols>
  <sheetData>
    <row r="1" spans="2:5" ht="17" thickBot="1"/>
    <row r="2" spans="2:5" ht="17" thickBot="1">
      <c r="B2" s="348" t="s">
        <v>473</v>
      </c>
      <c r="C2" s="349"/>
      <c r="D2" s="349"/>
    </row>
    <row r="3" spans="2:5">
      <c r="B3" s="320" t="s">
        <v>5</v>
      </c>
      <c r="C3" s="326">
        <v>0.09</v>
      </c>
      <c r="D3" s="321" t="s">
        <v>438</v>
      </c>
    </row>
    <row r="4" spans="2:5" ht="21" customHeight="1" thickBot="1">
      <c r="B4" s="322" t="s">
        <v>325</v>
      </c>
      <c r="C4" s="327">
        <v>0.5</v>
      </c>
      <c r="D4" s="323" t="s">
        <v>326</v>
      </c>
    </row>
    <row r="5" spans="2:5" ht="16" customHeight="1" thickBot="1">
      <c r="B5" s="3"/>
      <c r="C5" s="2"/>
    </row>
    <row r="6" spans="2:5" ht="20.25" customHeight="1" thickBot="1">
      <c r="B6" s="368" t="s">
        <v>294</v>
      </c>
      <c r="C6" s="369"/>
      <c r="D6" s="369"/>
      <c r="E6" s="370"/>
    </row>
    <row r="7" spans="2:5" ht="34.5" customHeight="1">
      <c r="B7" s="161"/>
      <c r="C7" s="167" t="s">
        <v>463</v>
      </c>
      <c r="D7" s="473" t="s">
        <v>465</v>
      </c>
      <c r="E7" s="168" t="s">
        <v>466</v>
      </c>
    </row>
    <row r="8" spans="2:5" ht="16" customHeight="1">
      <c r="B8" s="164" t="s">
        <v>396</v>
      </c>
      <c r="C8" s="165" t="s">
        <v>351</v>
      </c>
      <c r="D8" s="165" t="s">
        <v>351</v>
      </c>
      <c r="E8" s="166" t="s">
        <v>351</v>
      </c>
    </row>
    <row r="9" spans="2:5" ht="16" customHeight="1">
      <c r="B9" s="9"/>
      <c r="C9" s="474" t="s">
        <v>293</v>
      </c>
      <c r="D9" s="474" t="s">
        <v>293</v>
      </c>
      <c r="E9" s="318" t="s">
        <v>293</v>
      </c>
    </row>
    <row r="10" spans="2:5" ht="16" customHeight="1">
      <c r="B10" s="475" t="s">
        <v>9</v>
      </c>
      <c r="C10" s="460">
        <f>SUM(C11:C16)</f>
        <v>30</v>
      </c>
      <c r="D10" s="461">
        <f>SUM(D11:D16)</f>
        <v>52.82</v>
      </c>
      <c r="E10" s="476">
        <f>SUM(E11:E16)</f>
        <v>61.82</v>
      </c>
    </row>
    <row r="11" spans="2:5" ht="16" customHeight="1" outlineLevel="1">
      <c r="B11" s="6" t="str">
        <f>IF(ISBLANK(Seeds!B6),"None",Seeds!B6)</f>
        <v>Cereal Rye</v>
      </c>
      <c r="C11" s="477">
        <f>IF(ISBLANK(Seeds!B6),"",Seeds!E6)</f>
        <v>30</v>
      </c>
      <c r="D11" s="477">
        <f>IF(ISBLANK(Seeds!B6),"",Seeds!G6)</f>
        <v>30</v>
      </c>
      <c r="E11" s="169">
        <f>IF(ISBLANK(Seeds!B6),"",Seeds!I6)</f>
        <v>15</v>
      </c>
    </row>
    <row r="12" spans="2:5" ht="16" customHeight="1" outlineLevel="1">
      <c r="B12" s="6" t="str">
        <f>IF(ISBLANK(Seeds!B7),"None",Seeds!B7)</f>
        <v>Annual Ryegrass</v>
      </c>
      <c r="C12" s="477">
        <f>IF(ISBLANK(Seeds!B7),"",Seeds!E7)</f>
        <v>0</v>
      </c>
      <c r="D12" s="477">
        <f>IF(ISBLANK(Seeds!B7),"",Seeds!G7)</f>
        <v>6.7799999999999994</v>
      </c>
      <c r="E12" s="169">
        <f>IF(ISBLANK(Seeds!B7),"",Seeds!I7)</f>
        <v>6.7799999999999994</v>
      </c>
    </row>
    <row r="13" spans="2:5" ht="16" customHeight="1" outlineLevel="1">
      <c r="B13" s="6" t="str">
        <f>IF(ISBLANK(Seeds!B8),"None",Seeds!B8)</f>
        <v>Crimson Clover</v>
      </c>
      <c r="C13" s="477">
        <f>IF(ISBLANK(Seeds!B8),"",Seeds!E8)</f>
        <v>0</v>
      </c>
      <c r="D13" s="477">
        <f>IF(ISBLANK(Seeds!B8),"",Seeds!G8)</f>
        <v>14.04</v>
      </c>
      <c r="E13" s="169">
        <f>IF(ISBLANK(Seeds!B8),"",Seeds!I8)</f>
        <v>14.04</v>
      </c>
    </row>
    <row r="14" spans="2:5" ht="16" customHeight="1" outlineLevel="1">
      <c r="B14" s="6" t="str">
        <f>IF(ISBLANK(Seeds!B9),"None",Seeds!B9)</f>
        <v>Daikon Radish</v>
      </c>
      <c r="C14" s="477">
        <f>IF(ISBLANK(Seeds!B9),"",Seeds!E9)</f>
        <v>0</v>
      </c>
      <c r="D14" s="477">
        <f>IF(ISBLANK(Seeds!B9),"",Seeds!G9)</f>
        <v>0</v>
      </c>
      <c r="E14" s="169">
        <f>IF(ISBLANK(Seeds!B9),"",Seeds!I9)</f>
        <v>24</v>
      </c>
    </row>
    <row r="15" spans="2:5" ht="16" customHeight="1" outlineLevel="1">
      <c r="B15" s="6" t="str">
        <f>IF(ISBLANK(Seeds!B10),"None",Seeds!B10)</f>
        <v>None</v>
      </c>
      <c r="C15" s="478" t="str">
        <f>IF(ISBLANK(Seeds!B10),"",Seeds!E10)</f>
        <v/>
      </c>
      <c r="D15" s="478" t="str">
        <f>IF(ISBLANK(Seeds!B10),"",Seeds!G10)</f>
        <v/>
      </c>
      <c r="E15" s="171" t="str">
        <f>IF(ISBLANK(Seeds!B10),"",Seeds!I10)</f>
        <v/>
      </c>
    </row>
    <row r="16" spans="2:5" ht="16" customHeight="1" outlineLevel="1">
      <c r="B16" s="6" t="str">
        <f>IF(ISBLANK(Seeds!B11),"",Seeds!B11)</f>
        <v>Inoculant</v>
      </c>
      <c r="C16" s="477">
        <f>IF(ISBLANK(Seeds!B11),"",Seeds!E11)</f>
        <v>0</v>
      </c>
      <c r="D16" s="477">
        <f>IF(ISBLANK(Seeds!B11),"",Seeds!G11)</f>
        <v>2</v>
      </c>
      <c r="E16" s="169">
        <f>IF(ISBLANK(Seeds!B11),"",Seeds!I11)</f>
        <v>2</v>
      </c>
    </row>
    <row r="17" spans="2:5" ht="16" customHeight="1">
      <c r="B17" s="475" t="s">
        <v>382</v>
      </c>
      <c r="C17" s="462">
        <f>SUM(C18:C22)</f>
        <v>-9.3000000000000007</v>
      </c>
      <c r="D17" s="460">
        <f>SUM(D18:D22)</f>
        <v>38.700000000000003</v>
      </c>
      <c r="E17" s="476">
        <f>SUM(E18:E22)</f>
        <v>19.2</v>
      </c>
    </row>
    <row r="18" spans="2:5" ht="16" customHeight="1" outlineLevel="1">
      <c r="B18" s="6" t="str">
        <f>IF(ISBLANK(Fertilizers!B6),"None",Fertilizers!B6)</f>
        <v>Urea</v>
      </c>
      <c r="C18" s="477">
        <f>IF(ISBLANK(Fertilizers!B6),"",Fertilizers!E6)</f>
        <v>0</v>
      </c>
      <c r="D18" s="477">
        <f>IF(ISBLANK(Fertilizers!B6),"",Fertilizers!G6)</f>
        <v>12</v>
      </c>
      <c r="E18" s="169">
        <f>IF(ISBLANK(Fertilizers!B6),"",Fertilizers!I6)</f>
        <v>12</v>
      </c>
    </row>
    <row r="19" spans="2:5" ht="16" customHeight="1" outlineLevel="1">
      <c r="B19" s="6" t="str">
        <f>IF(ISBLANK(Fertilizers!B7),"None",Fertilizers!B7)</f>
        <v>DAP</v>
      </c>
      <c r="C19" s="477">
        <f>IF(ISBLANK(Fertilizers!B7),"",Fertilizers!E7)</f>
        <v>-9.3000000000000007</v>
      </c>
      <c r="D19" s="477">
        <f>IF(ISBLANK(Fertilizers!B7),"",Fertilizers!G7)</f>
        <v>6.2</v>
      </c>
      <c r="E19" s="169">
        <f>IF(ISBLANK(Fertilizers!B7),"",Fertilizers!I7)</f>
        <v>3.1</v>
      </c>
    </row>
    <row r="20" spans="2:5" ht="16" customHeight="1" outlineLevel="1">
      <c r="B20" s="6" t="str">
        <f>IF(ISBLANK(Fertilizers!B8),"None",Fertilizers!B8)</f>
        <v>Potash</v>
      </c>
      <c r="C20" s="477">
        <f>IF(ISBLANK(Fertilizers!B8),"",Fertilizers!E8)</f>
        <v>0</v>
      </c>
      <c r="D20" s="477">
        <f>IF(ISBLANK(Fertilizers!B8),"",Fertilizers!G8)</f>
        <v>20.5</v>
      </c>
      <c r="E20" s="169">
        <f>IF(ISBLANK(Fertilizers!B8),"",Fertilizers!I8)</f>
        <v>4.0999999999999996</v>
      </c>
    </row>
    <row r="21" spans="2:5" ht="16" customHeight="1" outlineLevel="1">
      <c r="B21" s="6" t="str">
        <f>IF(ISBLANK(Fertilizers!B9),"None",Fertilizers!B9)</f>
        <v>None</v>
      </c>
      <c r="C21" s="477" t="str">
        <f>IF(ISBLANK(Fertilizers!B9),"",Fertilizers!E9)</f>
        <v/>
      </c>
      <c r="D21" s="477" t="str">
        <f>IF(ISBLANK(Fertilizers!B9),"",Fertilizers!G9)</f>
        <v/>
      </c>
      <c r="E21" s="169" t="str">
        <f>IF(ISBLANK(Fertilizers!B9),"",Fertilizers!I9)</f>
        <v/>
      </c>
    </row>
    <row r="22" spans="2:5" ht="16" customHeight="1" outlineLevel="1">
      <c r="B22" s="6" t="str">
        <f>IF(ISBLANK(Fertilizers!B10),"None",Fertilizers!B10)</f>
        <v>None</v>
      </c>
      <c r="C22" s="477" t="str">
        <f>IF(ISBLANK(Fertilizers!B10),"",Fertilizers!E10)</f>
        <v/>
      </c>
      <c r="D22" s="477" t="str">
        <f>IF(ISBLANK(Fertilizers!B10),"",Fertilizers!G10)</f>
        <v/>
      </c>
      <c r="E22" s="160" t="str">
        <f>IF(ISBLANK(Fertilizers!B10),"",Fertilizers!I10)</f>
        <v/>
      </c>
    </row>
    <row r="23" spans="2:5" ht="16" customHeight="1">
      <c r="B23" s="475" t="s">
        <v>383</v>
      </c>
      <c r="C23" s="462">
        <f>SUM(C24:C28)</f>
        <v>10</v>
      </c>
      <c r="D23" s="460">
        <f>SUM(D24:D28)</f>
        <v>-15</v>
      </c>
      <c r="E23" s="476">
        <f>SUM(E24:E28)</f>
        <v>0</v>
      </c>
    </row>
    <row r="24" spans="2:5" ht="16" customHeight="1" outlineLevel="1">
      <c r="B24" s="6" t="str">
        <f>IF(ISBLANK(Chemicals!B6),"None",Chemicals!B6)</f>
        <v>Typical preplant herbicides</v>
      </c>
      <c r="C24" s="477">
        <f>IF(ISBLANK(Chemicals!B6),"",Chemicals!E6)</f>
        <v>-20</v>
      </c>
      <c r="D24" s="477">
        <f>IF(ISBLANK(Chemicals!B6),"",Chemicals!G6)</f>
        <v>-15</v>
      </c>
      <c r="E24" s="169">
        <f>IF(ISBLANK(Chemicals!B6),"",Chemicals!I6)</f>
        <v>0</v>
      </c>
    </row>
    <row r="25" spans="2:5" ht="16" customHeight="1" outlineLevel="1">
      <c r="B25" s="6" t="str">
        <f>IF(ISBLANK(Chemicals!B7),"None",Chemicals!B7)</f>
        <v>Cover crop termination</v>
      </c>
      <c r="C25" s="477">
        <f>IF(ISBLANK(Chemicals!B7),"",Chemicals!E7)</f>
        <v>30</v>
      </c>
      <c r="D25" s="477">
        <f>IF(ISBLANK(Chemicals!B7),"",Chemicals!G7)</f>
        <v>0</v>
      </c>
      <c r="E25" s="169">
        <f>IF(ISBLANK(Chemicals!B7),"",Chemicals!I7)</f>
        <v>0</v>
      </c>
    </row>
    <row r="26" spans="2:5" ht="16" customHeight="1" outlineLevel="1">
      <c r="B26" s="6" t="str">
        <f>IF(ISBLANK(Chemicals!B8),"None",Chemicals!B8)</f>
        <v>None</v>
      </c>
      <c r="C26" s="477" t="str">
        <f>IF(ISBLANK(Chemicals!B8),"",Chemicals!E8)</f>
        <v/>
      </c>
      <c r="D26" s="477" t="str">
        <f>IF(ISBLANK(Chemicals!B8),"",Chemicals!G8)</f>
        <v/>
      </c>
      <c r="E26" s="160" t="str">
        <f>IF(ISBLANK(Chemicals!B8),"",Chemicals!I8)</f>
        <v/>
      </c>
    </row>
    <row r="27" spans="2:5" ht="16" customHeight="1" outlineLevel="1">
      <c r="B27" s="6" t="str">
        <f>IF(ISBLANK(Chemicals!B9),"None",Chemicals!B9)</f>
        <v>None</v>
      </c>
      <c r="C27" s="477" t="str">
        <f>IF(ISBLANK(Chemicals!B9),"",Chemicals!E9)</f>
        <v/>
      </c>
      <c r="D27" s="477" t="str">
        <f>IF(ISBLANK(Chemicals!B9),"",Chemicals!G9)</f>
        <v/>
      </c>
      <c r="E27" s="160" t="str">
        <f>IF(ISBLANK(Chemicals!B9),"",Chemicals!I9)</f>
        <v/>
      </c>
    </row>
    <row r="28" spans="2:5" ht="16" customHeight="1" outlineLevel="1">
      <c r="B28" s="6" t="str">
        <f>IF(ISBLANK(Chemicals!B10),"None",Chemicals!B10)</f>
        <v>None</v>
      </c>
      <c r="C28" s="477" t="str">
        <f>IF(ISBLANK(Chemicals!B10),"",Chemicals!E10)</f>
        <v/>
      </c>
      <c r="D28" s="477" t="str">
        <f>IF(ISBLANK(Chemicals!B10),"",Chemicals!G10)</f>
        <v/>
      </c>
      <c r="E28" s="160" t="str">
        <f>IF(ISBLANK(Chemicals!B10),"",Chemicals!I10)</f>
        <v/>
      </c>
    </row>
    <row r="29" spans="2:5" ht="16" customHeight="1">
      <c r="B29" s="475" t="s">
        <v>384</v>
      </c>
      <c r="C29" s="462">
        <f>SUM(C30:C34)</f>
        <v>23.823851213188711</v>
      </c>
      <c r="D29" s="462">
        <f>SUM(D30:D34)</f>
        <v>79.02826544069012</v>
      </c>
      <c r="E29" s="479">
        <f>SUM(E30:E34)</f>
        <v>18</v>
      </c>
    </row>
    <row r="30" spans="2:5" ht="16" customHeight="1" outlineLevel="1">
      <c r="B30" s="6" t="s">
        <v>327</v>
      </c>
      <c r="C30" s="477">
        <f>Equipment!J26-Equipment!J46</f>
        <v>0</v>
      </c>
      <c r="D30" s="477">
        <f>Equipment!N26-Equipment!N46</f>
        <v>33.055555555555557</v>
      </c>
      <c r="E30" s="169">
        <f>Equipment!R26-Equipment!R46</f>
        <v>15</v>
      </c>
    </row>
    <row r="31" spans="2:5" ht="16" customHeight="1" outlineLevel="1">
      <c r="B31" s="6" t="s">
        <v>246</v>
      </c>
      <c r="C31" s="480">
        <f>(SUMPRODUCT(Equipment!D11:D16,Equipment!G11:G16)-SUMPRODUCT(Equipment!D34:D38,Equipment!G34:G38))*Equipment!C4</f>
        <v>3.7859555555555553</v>
      </c>
      <c r="D31" s="480">
        <f>(SUMPRODUCT(Equipment!D11:D16,Equipment!K11:K16)-SUMPRODUCT(Equipment!D34:D38,Equipment!K34:K38))*Equipment!C4</f>
        <v>6.0810062499999997</v>
      </c>
      <c r="E31" s="170">
        <f>(SUMPRODUCT(Equipment!D11:D16,Equipment!O11:O16)-SUMPRODUCT(Equipment!D34:D38,Equipment!O34:O38))*Equipment!C4</f>
        <v>0</v>
      </c>
    </row>
    <row r="32" spans="2:5" ht="16" customHeight="1" outlineLevel="1">
      <c r="B32" s="6" t="s">
        <v>11</v>
      </c>
      <c r="C32" s="480">
        <f>(SUMPRODUCT(Equipment!E11:E16,Equipment!G11:G16)-SUMPRODUCT(Equipment!E34:E38,Equipment!G34:G38))*Equipment!C3</f>
        <v>2.374166666666667</v>
      </c>
      <c r="D32" s="480">
        <f>(SUMPRODUCT(Equipment!E11:E16,Equipment!K11:K16)-SUMPRODUCT(Equipment!E34:E38,Equipment!K34:K38))*Equipment!C3</f>
        <v>4.8400330528846149</v>
      </c>
      <c r="E32" s="170">
        <f>(SUMPRODUCT(Equipment!E11:E13,Equipment!O11:O13)-SUMPRODUCT(Equipment!E34:E38,Equipment!O34:O38))*Equipment!C3</f>
        <v>0</v>
      </c>
    </row>
    <row r="33" spans="2:5" ht="16" customHeight="1" outlineLevel="1">
      <c r="B33" s="6" t="s">
        <v>10</v>
      </c>
      <c r="C33" s="477">
        <f>SUMPRODUCT(Equipment!F11:F16,Equipment!G11:G16)-SUMPRODUCT(Equipment!F34:F38,Equipment!G34:G38)</f>
        <v>5.2309889579662112</v>
      </c>
      <c r="D33" s="477">
        <f>SUMPRODUCT(Equipment!F11:F16,Equipment!K11:K16)-SUMPRODUCT(Equipment!F34:F38,Equipment!K34:K38)</f>
        <v>11.269878944986646</v>
      </c>
      <c r="E33" s="169">
        <f>SUMPRODUCT(Equipment!F11:F16,Equipment!O11:O16)-SUMPRODUCT(Equipment!F34:F38,Equipment!O34:O38)</f>
        <v>0</v>
      </c>
    </row>
    <row r="34" spans="2:5" ht="16" customHeight="1" outlineLevel="1">
      <c r="B34" s="6" t="s">
        <v>247</v>
      </c>
      <c r="C34" s="481">
        <f>Equipment!I18-Equipment!I39</f>
        <v>12.432740033000279</v>
      </c>
      <c r="D34" s="477">
        <f>Equipment!M18-Equipment!M39</f>
        <v>23.781791637263311</v>
      </c>
      <c r="E34" s="169">
        <f>Equipment!Q18-Equipment!Q39</f>
        <v>3</v>
      </c>
    </row>
    <row r="35" spans="2:5" ht="16" customHeight="1">
      <c r="B35" s="475" t="s">
        <v>393</v>
      </c>
      <c r="C35" s="461"/>
      <c r="D35" s="461"/>
      <c r="E35" s="476">
        <f>SUM(E36:E39)</f>
        <v>45.272362637362633</v>
      </c>
    </row>
    <row r="36" spans="2:5" ht="16" customHeight="1">
      <c r="B36" s="6" t="str">
        <f>Grazing!B12</f>
        <v>Investment depreciation</v>
      </c>
      <c r="C36" s="482"/>
      <c r="D36" s="482"/>
      <c r="E36" s="159">
        <f>Grazing!F12</f>
        <v>12.635</v>
      </c>
    </row>
    <row r="37" spans="2:5" ht="16" customHeight="1">
      <c r="B37" s="6" t="str">
        <f>Grazing!B17</f>
        <v>Labor</v>
      </c>
      <c r="C37" s="482"/>
      <c r="D37" s="482"/>
      <c r="E37" s="159">
        <f>Grazing!F17</f>
        <v>18.791208791208788</v>
      </c>
    </row>
    <row r="38" spans="2:5" ht="16" customHeight="1">
      <c r="B38" s="6" t="str">
        <f>Grazing!B21</f>
        <v>Livestock water</v>
      </c>
      <c r="C38" s="482"/>
      <c r="D38" s="482"/>
      <c r="E38" s="159">
        <f>Grazing!F21</f>
        <v>13.846153846153845</v>
      </c>
    </row>
    <row r="39" spans="2:5" ht="16" customHeight="1">
      <c r="B39" s="6" t="str">
        <f>Grazing!B22</f>
        <v>Other expenses</v>
      </c>
      <c r="C39" s="482"/>
      <c r="D39" s="482"/>
      <c r="E39" s="159">
        <f>Grazing!F22</f>
        <v>0</v>
      </c>
    </row>
    <row r="40" spans="2:5" ht="16" customHeight="1">
      <c r="B40" s="475" t="s">
        <v>5</v>
      </c>
      <c r="C40" s="461">
        <f>SUM(C10,C17,C23,C29-C34)*$C$4*$C$3</f>
        <v>1.8941000031084796</v>
      </c>
      <c r="D40" s="461">
        <f>SUM(D10,D17,D23,D29-D34)*$C$4*$C$3</f>
        <v>5.9294913211542077</v>
      </c>
      <c r="E40" s="476">
        <f>SUM(E10,E17,E23,E29-E34,E35)*$C$4*$C$3</f>
        <v>6.3581563186813179</v>
      </c>
    </row>
    <row r="41" spans="2:5" ht="6" customHeight="1">
      <c r="B41" s="6"/>
      <c r="C41" s="483"/>
      <c r="D41" s="483"/>
      <c r="E41" s="85"/>
    </row>
    <row r="42" spans="2:5" ht="16" customHeight="1" thickBot="1">
      <c r="B42" s="274" t="s">
        <v>472</v>
      </c>
      <c r="C42" s="275">
        <f>SUM(C10,C17,C23,C29,C40)</f>
        <v>56.417951216297183</v>
      </c>
      <c r="D42" s="275">
        <f>SUM(D10,D17,D23,D29,D40)</f>
        <v>161.47775676184435</v>
      </c>
      <c r="E42" s="276">
        <f>SUM(E10,E17,E23,E29,E35,E40)</f>
        <v>150.65051895604395</v>
      </c>
    </row>
    <row r="43" spans="2:5" ht="16" customHeight="1" thickTop="1">
      <c r="B43" s="273" t="s">
        <v>330</v>
      </c>
      <c r="C43" s="484"/>
      <c r="D43" s="484"/>
      <c r="E43" s="272"/>
    </row>
    <row r="44" spans="2:5" ht="16" customHeight="1">
      <c r="B44" s="463" t="s">
        <v>434</v>
      </c>
      <c r="C44" s="485">
        <f>'Yield impact'!E10</f>
        <v>0</v>
      </c>
      <c r="D44" s="464">
        <f>'Yield impact'!G10</f>
        <v>0</v>
      </c>
      <c r="E44" s="465">
        <f>'Yield impact'!I10</f>
        <v>0</v>
      </c>
    </row>
    <row r="45" spans="2:5">
      <c r="B45" s="466" t="s">
        <v>398</v>
      </c>
      <c r="C45" s="487"/>
      <c r="D45" s="488"/>
      <c r="E45" s="467"/>
    </row>
    <row r="46" spans="2:5">
      <c r="B46" s="468" t="s">
        <v>397</v>
      </c>
      <c r="C46" s="487"/>
      <c r="D46" s="487"/>
      <c r="E46" s="489">
        <f>Grazing!D44/Grazing!D45/(1-Grazing!D42)*Grazing!D31*Grazing!D48</f>
        <v>112.49999999999999</v>
      </c>
    </row>
    <row r="47" spans="2:5">
      <c r="B47" s="468" t="s">
        <v>297</v>
      </c>
      <c r="C47" s="487"/>
      <c r="D47" s="464">
        <f>Grazing!D32*Grazing!D29/Grazing!D33</f>
        <v>187.5</v>
      </c>
      <c r="E47" s="487"/>
    </row>
    <row r="48" spans="2:5" ht="6" customHeight="1">
      <c r="B48" s="468"/>
      <c r="C48" s="486"/>
      <c r="D48" s="469"/>
      <c r="E48" s="490"/>
    </row>
    <row r="49" spans="2:5" ht="17" thickBot="1">
      <c r="B49" s="470" t="s">
        <v>457</v>
      </c>
      <c r="C49" s="471">
        <f>SUM(C44:C47)</f>
        <v>0</v>
      </c>
      <c r="D49" s="471">
        <f t="shared" ref="D49:E49" si="0">SUM(D44:D47)</f>
        <v>187.5</v>
      </c>
      <c r="E49" s="472">
        <f t="shared" si="0"/>
        <v>112.49999999999999</v>
      </c>
    </row>
    <row r="50" spans="2:5" ht="17.5" thickTop="1" thickBot="1">
      <c r="B50" s="319" t="s">
        <v>458</v>
      </c>
      <c r="C50" s="328">
        <f>C49-C42</f>
        <v>-56.417951216297183</v>
      </c>
      <c r="D50" s="328">
        <f t="shared" ref="D50:E50" si="1">D49-D42</f>
        <v>26.022243238155653</v>
      </c>
      <c r="E50" s="329">
        <f t="shared" si="1"/>
        <v>-38.150518956043967</v>
      </c>
    </row>
    <row r="51" spans="2:5" ht="10" customHeight="1"/>
  </sheetData>
  <protectedRanges>
    <protectedRange sqref="C3:C4" name="Grey edit cells"/>
  </protectedRanges>
  <mergeCells count="2">
    <mergeCell ref="B6:E6"/>
    <mergeCell ref="B2:D2"/>
  </mergeCells>
  <pageMargins left="0.7" right="0.7" top="0.75" bottom="0.75" header="0.3" footer="0.3"/>
  <pageSetup scale="85" orientation="portrait" r:id="rId1"/>
  <headerFooter>
    <oddFooter>&amp;C&amp;"Verdana,Regular"&amp;8The Crop Budget Generator is a product of the Food and Agricultural Policy Research Institute at the University of Missouri
www.fapri.missouri.edu</oddFooter>
  </headerFooter>
  <drawing r:id="rId2"/>
  <legacyDrawing r:id="rId3"/>
  <oleObjects>
    <mc:AlternateContent xmlns:mc="http://schemas.openxmlformats.org/markup-compatibility/2006">
      <mc:Choice Requires="x14">
        <oleObject progId="Word.Document.12" shapeId="28673" r:id="rId4">
          <objectPr defaultSize="0" autoPict="0" r:id="rId5">
            <anchor moveWithCells="1">
              <from>
                <xdr:col>6</xdr:col>
                <xdr:colOff>0</xdr:colOff>
                <xdr:row>2</xdr:row>
                <xdr:rowOff>0</xdr:rowOff>
              </from>
              <to>
                <xdr:col>14</xdr:col>
                <xdr:colOff>457200</xdr:colOff>
                <xdr:row>14</xdr:row>
                <xdr:rowOff>165100</xdr:rowOff>
              </to>
            </anchor>
          </objectPr>
        </oleObject>
      </mc:Choice>
      <mc:Fallback>
        <oleObject progId="Word.Document.12" shapeId="28673"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Instructions</vt:lpstr>
      <vt:lpstr>Seeds</vt:lpstr>
      <vt:lpstr>Chemicals</vt:lpstr>
      <vt:lpstr>Fertilizers</vt:lpstr>
      <vt:lpstr>Equipment</vt:lpstr>
      <vt:lpstr>Yield impact</vt:lpstr>
      <vt:lpstr>Grazing</vt:lpstr>
      <vt:lpstr>Financials</vt:lpstr>
      <vt:lpstr>Chemicals</vt:lpstr>
      <vt:lpstr>Coefs</vt:lpstr>
      <vt:lpstr>Crop</vt:lpstr>
      <vt:lpstr>CustomRates</vt:lpstr>
      <vt:lpstr>Fertilizers</vt:lpstr>
      <vt:lpstr>Grazing</vt:lpstr>
      <vt:lpstr>Implements</vt:lpstr>
      <vt:lpstr>Power</vt:lpstr>
      <vt:lpstr>PowerSel</vt:lpstr>
      <vt:lpstr>RF_RV</vt:lpstr>
      <vt:lpstr>Seeds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Raymond E. Massey</dc:creator>
  <cp:keywords/>
  <dc:description/>
  <cp:lastModifiedBy>Massey, Ray</cp:lastModifiedBy>
  <cp:revision/>
  <cp:lastPrinted>2024-03-13T13:23:27Z</cp:lastPrinted>
  <dcterms:created xsi:type="dcterms:W3CDTF">2014-11-07T21:30:57Z</dcterms:created>
  <dcterms:modified xsi:type="dcterms:W3CDTF">2024-04-17T15:59:02Z</dcterms:modified>
  <cp:category/>
  <cp:contentStatus/>
</cp:coreProperties>
</file>