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activeTab="3"/>
  </bookViews>
  <sheets>
    <sheet name="Undead" sheetId="1" r:id="rId1"/>
    <sheet name="Night Elf" sheetId="2" r:id="rId2"/>
    <sheet name="Human" sheetId="3" r:id="rId3"/>
    <sheet name="Orc" sheetId="4" r:id="rId4"/>
  </sheets>
  <calcPr calcId="145621" iterateDelta="1E-4"/>
</workbook>
</file>

<file path=xl/calcChain.xml><?xml version="1.0" encoding="utf-8"?>
<calcChain xmlns="http://schemas.openxmlformats.org/spreadsheetml/2006/main">
  <c r="D97" i="4" l="1"/>
  <c r="G97" i="4" s="1"/>
  <c r="G96" i="4"/>
  <c r="G95" i="4"/>
  <c r="G94" i="4"/>
  <c r="G93" i="4"/>
  <c r="C92" i="4"/>
  <c r="G39" i="4" s="1"/>
  <c r="G91" i="4"/>
  <c r="G90" i="4"/>
  <c r="G89" i="4"/>
  <c r="G88" i="4"/>
  <c r="G87" i="4"/>
  <c r="G86" i="4"/>
  <c r="G85" i="4"/>
  <c r="G84" i="4"/>
  <c r="G83" i="4"/>
  <c r="G82" i="4"/>
  <c r="G81" i="4"/>
  <c r="G80" i="4"/>
  <c r="G79" i="4"/>
  <c r="G78" i="4"/>
  <c r="G77" i="4"/>
  <c r="G76" i="4"/>
  <c r="G75" i="4"/>
  <c r="G74" i="4"/>
  <c r="G73" i="4"/>
  <c r="G72" i="4"/>
  <c r="G71" i="4"/>
  <c r="G70" i="4"/>
  <c r="G69" i="4"/>
  <c r="G68" i="4"/>
  <c r="G67" i="4"/>
  <c r="D67" i="4"/>
  <c r="G66" i="4"/>
  <c r="G65" i="4"/>
  <c r="G64" i="4"/>
  <c r="G63" i="4"/>
  <c r="G62" i="4"/>
  <c r="G61" i="4"/>
  <c r="G60" i="4"/>
  <c r="G59" i="4"/>
  <c r="G58" i="4"/>
  <c r="G55" i="4"/>
  <c r="G54" i="4"/>
  <c r="G53" i="4"/>
  <c r="G52" i="4"/>
  <c r="G51" i="4"/>
  <c r="G50" i="4"/>
  <c r="G49" i="4"/>
  <c r="G48" i="4"/>
  <c r="G47" i="4"/>
  <c r="G46" i="4"/>
  <c r="G43" i="4"/>
  <c r="E43" i="4"/>
  <c r="G42" i="4"/>
  <c r="E42" i="4"/>
  <c r="G41" i="4"/>
  <c r="E41" i="4"/>
  <c r="G40" i="4"/>
  <c r="E40" i="4"/>
  <c r="E39" i="4"/>
  <c r="G38" i="4"/>
  <c r="F38" i="4"/>
  <c r="E38" i="4"/>
  <c r="G37" i="4"/>
  <c r="E37" i="4"/>
  <c r="G36" i="4"/>
  <c r="F36" i="4"/>
  <c r="E36" i="4"/>
  <c r="G35" i="4"/>
  <c r="F35" i="4"/>
  <c r="E35" i="4"/>
  <c r="G34" i="4"/>
  <c r="E34" i="4"/>
  <c r="G33" i="4"/>
  <c r="F33" i="4"/>
  <c r="E33" i="4"/>
  <c r="G32" i="4"/>
  <c r="E32" i="4"/>
  <c r="G29" i="4"/>
  <c r="G28" i="4"/>
  <c r="G27" i="4"/>
  <c r="G26" i="4"/>
  <c r="F40" i="4" s="1"/>
  <c r="G25" i="4"/>
  <c r="F42" i="4" s="1"/>
  <c r="G24" i="4"/>
  <c r="F41" i="4" s="1"/>
  <c r="G23" i="4"/>
  <c r="G22" i="4"/>
  <c r="F37" i="4" s="1"/>
  <c r="G21" i="4"/>
  <c r="F34" i="4" s="1"/>
  <c r="G20" i="4"/>
  <c r="G19" i="4"/>
  <c r="F32" i="4" s="1"/>
  <c r="G18" i="4"/>
  <c r="F39" i="4" s="1"/>
  <c r="G86" i="3"/>
  <c r="D86" i="3"/>
  <c r="G85" i="3"/>
  <c r="G84" i="3"/>
  <c r="G83" i="3"/>
  <c r="G82" i="3"/>
  <c r="G81" i="3"/>
  <c r="G80" i="3"/>
  <c r="G79" i="3"/>
  <c r="G78" i="3"/>
  <c r="G77" i="3"/>
  <c r="G76" i="3"/>
  <c r="G75" i="3"/>
  <c r="G74" i="3"/>
  <c r="G73" i="3"/>
  <c r="G72" i="3"/>
  <c r="G71" i="3"/>
  <c r="G70" i="3"/>
  <c r="G69" i="3"/>
  <c r="G68" i="3"/>
  <c r="D67" i="3"/>
  <c r="G67" i="3" s="1"/>
  <c r="G66" i="3"/>
  <c r="G65" i="3"/>
  <c r="G64" i="3"/>
  <c r="G63" i="3"/>
  <c r="G62" i="3"/>
  <c r="G61" i="3"/>
  <c r="G60" i="3"/>
  <c r="G59" i="3"/>
  <c r="G58" i="3"/>
  <c r="G55" i="3"/>
  <c r="G54" i="3"/>
  <c r="G53" i="3"/>
  <c r="G52" i="3"/>
  <c r="G51" i="3"/>
  <c r="G50" i="3"/>
  <c r="G49" i="3"/>
  <c r="G48" i="3"/>
  <c r="G47" i="3"/>
  <c r="G46" i="3"/>
  <c r="G42" i="3"/>
  <c r="E42" i="3"/>
  <c r="G41" i="3"/>
  <c r="E41" i="3"/>
  <c r="G40" i="3"/>
  <c r="E40" i="3"/>
  <c r="G39" i="3"/>
  <c r="E39" i="3"/>
  <c r="G38" i="3"/>
  <c r="F38" i="3"/>
  <c r="E38" i="3"/>
  <c r="G37" i="3"/>
  <c r="E37" i="3"/>
  <c r="G36" i="3"/>
  <c r="E36" i="3"/>
  <c r="G35" i="3"/>
  <c r="F35" i="3"/>
  <c r="E35" i="3"/>
  <c r="G34" i="3"/>
  <c r="E34" i="3"/>
  <c r="G33" i="3"/>
  <c r="E33" i="3"/>
  <c r="G32" i="3"/>
  <c r="F32" i="3"/>
  <c r="E32" i="3"/>
  <c r="G31" i="3"/>
  <c r="E31" i="3"/>
  <c r="G28" i="3"/>
  <c r="G27" i="3"/>
  <c r="F41" i="3" s="1"/>
  <c r="G26" i="3"/>
  <c r="G25" i="3"/>
  <c r="F39" i="3" s="1"/>
  <c r="G24" i="3"/>
  <c r="G23" i="3"/>
  <c r="G22" i="3"/>
  <c r="F37" i="3" s="1"/>
  <c r="G21" i="3"/>
  <c r="G20" i="3"/>
  <c r="F42" i="3" s="1"/>
  <c r="G19" i="3"/>
  <c r="F33" i="3" s="1"/>
  <c r="G18" i="3"/>
  <c r="F31" i="3" s="1"/>
  <c r="G17" i="3"/>
  <c r="F34" i="3" s="1"/>
  <c r="D77" i="2"/>
  <c r="G77" i="2" s="1"/>
  <c r="G76" i="2"/>
  <c r="G75" i="2"/>
  <c r="G74" i="2"/>
  <c r="G73" i="2"/>
  <c r="G72" i="2"/>
  <c r="G71" i="2"/>
  <c r="G70" i="2"/>
  <c r="G69" i="2"/>
  <c r="G68" i="2"/>
  <c r="G67" i="2"/>
  <c r="G66" i="2"/>
  <c r="G65" i="2"/>
  <c r="G64" i="2"/>
  <c r="G63" i="2"/>
  <c r="D63" i="2"/>
  <c r="G62" i="2"/>
  <c r="G61" i="2"/>
  <c r="G60" i="2"/>
  <c r="G59" i="2"/>
  <c r="G58" i="2"/>
  <c r="G57" i="2"/>
  <c r="G54" i="2"/>
  <c r="G53" i="2"/>
  <c r="G52" i="2"/>
  <c r="G51" i="2"/>
  <c r="G50" i="2"/>
  <c r="G49" i="2"/>
  <c r="G48" i="2"/>
  <c r="G47" i="2"/>
  <c r="G46" i="2"/>
  <c r="G45" i="2"/>
  <c r="G42" i="2"/>
  <c r="G41" i="2"/>
  <c r="E41" i="2"/>
  <c r="G40" i="2"/>
  <c r="E40" i="2"/>
  <c r="G39" i="2"/>
  <c r="E39" i="2"/>
  <c r="G38" i="2"/>
  <c r="E38" i="2"/>
  <c r="G37" i="2"/>
  <c r="E37" i="2"/>
  <c r="G36" i="2"/>
  <c r="F36" i="2"/>
  <c r="E36" i="2"/>
  <c r="G35" i="2"/>
  <c r="F35" i="2"/>
  <c r="E35" i="2"/>
  <c r="G34" i="2"/>
  <c r="E34" i="2"/>
  <c r="G33" i="2"/>
  <c r="E33" i="2"/>
  <c r="G32" i="2"/>
  <c r="F32" i="2"/>
  <c r="E32" i="2"/>
  <c r="G31" i="2"/>
  <c r="E31" i="2"/>
  <c r="G28" i="2"/>
  <c r="G27" i="2"/>
  <c r="F42" i="2" s="1"/>
  <c r="G26" i="2"/>
  <c r="F41" i="2" s="1"/>
  <c r="G25" i="2"/>
  <c r="F39" i="2" s="1"/>
  <c r="G24" i="2"/>
  <c r="G23" i="2"/>
  <c r="G22" i="2"/>
  <c r="G21" i="2"/>
  <c r="F37" i="2" s="1"/>
  <c r="G20" i="2"/>
  <c r="G19" i="2"/>
  <c r="F34" i="2" s="1"/>
  <c r="G18" i="2"/>
  <c r="F33" i="2" s="1"/>
  <c r="G17" i="2"/>
  <c r="F31" i="2" s="1"/>
  <c r="G71" i="1"/>
  <c r="G70" i="1"/>
  <c r="G69" i="1"/>
  <c r="G68" i="1"/>
  <c r="G67" i="1"/>
  <c r="G66" i="1"/>
  <c r="D65" i="1"/>
  <c r="G65" i="1" s="1"/>
  <c r="G64" i="1"/>
  <c r="G63" i="1"/>
  <c r="G62" i="1"/>
  <c r="G61" i="1"/>
  <c r="G60" i="1"/>
  <c r="G56" i="1"/>
  <c r="G55" i="1"/>
  <c r="G54" i="1"/>
  <c r="G53" i="1"/>
  <c r="G52" i="1"/>
  <c r="G51" i="1"/>
  <c r="G50" i="1"/>
  <c r="G49" i="1"/>
  <c r="G48" i="1"/>
  <c r="G47" i="1"/>
  <c r="G44" i="1"/>
  <c r="F44" i="1"/>
  <c r="E44" i="1"/>
  <c r="G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19" i="1"/>
  <c r="F43" i="1" s="1"/>
  <c r="F40" i="3" l="1"/>
  <c r="F36" i="3"/>
  <c r="F43" i="4"/>
  <c r="G92" i="4"/>
  <c r="F40" i="2"/>
  <c r="F38" i="2"/>
</calcChain>
</file>

<file path=xl/sharedStrings.xml><?xml version="1.0" encoding="utf-8"?>
<sst xmlns="http://schemas.openxmlformats.org/spreadsheetml/2006/main" count="614" uniqueCount="376">
  <si>
    <t>Name</t>
  </si>
  <si>
    <t>Bonus</t>
  </si>
  <si>
    <t>Price</t>
  </si>
  <si>
    <t>Description</t>
  </si>
  <si>
    <t>Healing Potion</t>
  </si>
  <si>
    <t>+100 HP Regeneration</t>
  </si>
  <si>
    <t>Regenerate 100 hit points when used. When drunk, the magic quickly heals the body, but wears off fast.</t>
  </si>
  <si>
    <t>Mana Potion</t>
  </si>
  <si>
    <t>+75 Mana Regeneration</t>
  </si>
  <si>
    <t>Restores 75 Mana when used. Nothing more than water infused with magic, this drink can restore small portions of mana in crucial moments.</t>
  </si>
  <si>
    <t>Healing Elexir</t>
  </si>
  <si>
    <t>+500 HP Regeneration over 30s</t>
  </si>
  <si>
    <t>Regenerates 500 hit points over 30 seconds. Effect is cancelled when taking damage. Like any medicine, this potion can do much good, but only if one avoids stress.</t>
  </si>
  <si>
    <t>Mana Elixir</t>
  </si>
  <si>
    <t>+400 Mana Regeneration over 30s</t>
  </si>
  <si>
    <t>Restores 400 Mana over 30 seconds. Effect is cancelled when under attack. The magic particles filter energy out of the air and convert them to mana, but only as long as they can work undisturbed.</t>
  </si>
  <si>
    <t>Antimagic Potion</t>
  </si>
  <si>
    <t>+20s Spell Immunity</t>
  </si>
  <si>
    <t>Gives the Hero immunity to magical spells for 20 seconds.</t>
  </si>
  <si>
    <t>Invulnerability Potion</t>
  </si>
  <si>
    <t>+15s invulnerable</t>
  </si>
  <si>
    <t>Makes the Hero invulnerable to damage for 15 seconds when used. An invulnerable Hero may not be the target of spells or effects.</t>
  </si>
  <si>
    <t>Potion of Invisibility</t>
  </si>
  <si>
    <t>+60s invisible</t>
  </si>
  <si>
    <t>Renders the Hero invisible for 60 seconds when used. An invisible Hero is untargetable by the enemy unless detected. If the Hero attacks, uses an ability, or casts a spell, the invisibility effect is lost.</t>
  </si>
  <si>
    <t>Speed Up Potion</t>
  </si>
  <si>
    <t>increases movement speed for 10s</t>
  </si>
  <si>
    <t>This little bottle increases the movement speed of the Hero for 10 seconds.</t>
  </si>
  <si>
    <t>Bone Helmet</t>
  </si>
  <si>
    <t>+250 HP</t>
  </si>
  <si>
    <t>Since many Undead had experienced severe head trauma bevor being revived, an additional layer of bone is often needed.</t>
  </si>
  <si>
    <t>Belt of Giant Strength</t>
  </si>
  <si>
    <t>+8 Strength</t>
  </si>
  <si>
    <t>The lifedrinking gem in this belt can extend the "life" span of an Undead by a tenfold.</t>
  </si>
  <si>
    <t>Dark Plates</t>
  </si>
  <si>
    <t>+5 Armor</t>
  </si>
  <si>
    <t>Reforged from salvaged armor, the featureless plates can withstand great punishment.</t>
  </si>
  <si>
    <t>Plate Glove</t>
  </si>
  <si>
    <t>+10% Evasion</t>
  </si>
  <si>
    <t>A quick grab with this glove can prevent unlucky strikes and shots, but can't deflect well-placed thrusts.</t>
  </si>
  <si>
    <t>Blood Blade</t>
  </si>
  <si>
    <t>+15 Damage</t>
  </si>
  <si>
    <t>A weapon so simple and effective that only the decaying imagination of an Undead could have created it.</t>
  </si>
  <si>
    <t>Spider Bracelet</t>
  </si>
  <si>
    <t>+6 Agility</t>
  </si>
  <si>
    <t>Clearly of Nerubian design, this magic item serves as counterweight for the often unbalanced Undead weapons.</t>
  </si>
  <si>
    <t>Twin Axe</t>
  </si>
  <si>
    <t>+15% Attack Speed</t>
  </si>
  <si>
    <t>The second edge of this weapon allows the wielder to cut again during the backswing.</t>
  </si>
  <si>
    <t>Frenzy Boots</t>
  </si>
  <si>
    <t>+40 Movement Speed</t>
  </si>
  <si>
    <t>Based on High Elf design, these boots are cheap, but do not decay faster than the average wearer.</t>
  </si>
  <si>
    <t>Runic Charm</t>
  </si>
  <si>
    <t>+100 Mana</t>
  </si>
  <si>
    <t>This simple charm can store only small amounts of mana, but can be mass-produced and handed out to entire armies.</t>
  </si>
  <si>
    <t>Cursed Robe</t>
  </si>
  <si>
    <t>+7 Intelligence</t>
  </si>
  <si>
    <t>The robes of Necromancers are actually cursed, but only against any living that would try to wear it.</t>
  </si>
  <si>
    <t>Unholy Icon</t>
  </si>
  <si>
    <t>Unholy Aura (+15% MOV, + 0.25 HP/sec)</t>
  </si>
  <si>
    <t>This ram skull is so corrupted by the Darkness that it emanates a constant malice, inspiring all Undead.</t>
  </si>
  <si>
    <t>Skull Rod</t>
  </si>
  <si>
    <t>Necromancy (2 Skeletons, 30 sec. CD, 80 sec. Dur)</t>
  </si>
  <si>
    <t>The quality of 'wand-produced' Undead is low, but makes the job easier for the overworked Necromancers.</t>
  </si>
  <si>
    <t>Ingred. Price</t>
  </si>
  <si>
    <t>Blood Plate Armor</t>
  </si>
  <si>
    <t>+20 Strength|+18 Armor|+15 Damage Reduction</t>
  </si>
  <si>
    <t>One of the most massive armor designs. It is rumored that the alloy it is made of is the one used by Deathwing for his armor.</t>
  </si>
  <si>
    <t>Demonic Amulet</t>
  </si>
  <si>
    <r>
      <t xml:space="preserve">+17 Strength|+300 Mana | </t>
    </r>
    <r>
      <rPr>
        <sz val="11"/>
        <color rgb="FFFF0000"/>
        <rFont val="Calibri"/>
        <family val="2"/>
        <charset val="1"/>
      </rPr>
      <t>35% chance to cast Meteor on Hero Kill</t>
    </r>
  </si>
  <si>
    <t>The Felguard were warriors and mages and tried to enhance both skills with these amulets.</t>
  </si>
  <si>
    <t>Metal Hand</t>
  </si>
  <si>
    <r>
      <t xml:space="preserve">+35% Evasion|+26 Agility | </t>
    </r>
    <r>
      <rPr>
        <sz val="11"/>
        <color rgb="FFFF0000"/>
        <rFont val="Calibri"/>
        <family val="2"/>
        <charset val="1"/>
      </rPr>
      <t>3% chance to cast Fully Heal Self over 12s when Hero get hit</t>
    </r>
  </si>
  <si>
    <t>When it comes to replacing body parts, Undead have no moral issues with replacing what they need with magic items.</t>
  </si>
  <si>
    <t>Corrupted Icon</t>
  </si>
  <si>
    <r>
      <t xml:space="preserve">+15% Evasion|+23 Armor | </t>
    </r>
    <r>
      <rPr>
        <sz val="11"/>
        <color rgb="FFFF0000"/>
        <rFont val="Calibri"/>
        <family val="2"/>
        <charset val="1"/>
      </rPr>
      <t>Possession</t>
    </r>
  </si>
  <si>
    <t>To see their own religious symbols turned into weapons can weaken the morale of every enemy.</t>
  </si>
  <si>
    <t>Spear of Vengeance</t>
  </si>
  <si>
    <t>+47 Damage|+16 Agility|Critical (0,75x, 5%)</t>
  </si>
  <si>
    <t>The perfect balance and sharpness of this weapon is surprising. Untrained wielders often cut themselves in the first fight.</t>
  </si>
  <si>
    <t>Morning Star</t>
  </si>
  <si>
    <r>
      <t>+150HP|</t>
    </r>
    <r>
      <rPr>
        <sz val="11"/>
        <color rgb="FFFF0000"/>
        <rFont val="Calibri"/>
        <family val="2"/>
        <charset val="1"/>
      </rPr>
      <t>B</t>
    </r>
    <r>
      <rPr>
        <sz val="11"/>
        <color rgb="FF000000"/>
        <rFont val="Calibri"/>
        <family val="2"/>
        <charset val="1"/>
      </rPr>
      <t>erserk (+80% Attack Speed, +60% Damage taken + 35% Movement Speed)</t>
    </r>
  </si>
  <si>
    <t>Made for a brutal fighting style, this weapon is best used with both hands and no concerns about safety.</t>
  </si>
  <si>
    <t>Magic Axe</t>
  </si>
  <si>
    <r>
      <t xml:space="preserve">+62 Damage|+31 Intelligence | </t>
    </r>
    <r>
      <rPr>
        <sz val="11"/>
        <color rgb="FFFF0000"/>
        <rFont val="Calibri"/>
        <family val="2"/>
        <charset val="1"/>
      </rPr>
      <t>Experience rate increased by 32%</t>
    </r>
  </si>
  <si>
    <t>Made from ore with high magical density, this axe is rumored to randomly discharge arcane energy that gives its attacks an edge.</t>
  </si>
  <si>
    <t>Raving Sword</t>
  </si>
  <si>
    <r>
      <t xml:space="preserve">+12% Attack Speed|+95 Damage|+35 Movement Speed | </t>
    </r>
    <r>
      <rPr>
        <sz val="11"/>
        <color rgb="FFFF0000"/>
        <rFont val="Calibri"/>
        <family val="2"/>
        <charset val="1"/>
      </rPr>
      <t>Bash (8% 2s/1s)</t>
    </r>
  </si>
  <si>
    <t>Originally an Elfish design, the sword shows clear signs of its adaptation by Undead, but is incredibly fast nonetheless.</t>
  </si>
  <si>
    <t>Arcane Flare</t>
  </si>
  <si>
    <r>
      <t>+400 Mana|</t>
    </r>
    <r>
      <rPr>
        <sz val="11"/>
        <color rgb="FFFF0000"/>
        <rFont val="Calibri"/>
        <family val="2"/>
        <charset val="1"/>
      </rPr>
      <t>M</t>
    </r>
    <r>
      <rPr>
        <sz val="11"/>
        <color rgb="FF000000"/>
        <rFont val="Calibri"/>
        <family val="2"/>
        <charset val="1"/>
      </rPr>
      <t>ana Flare (+165 Mana restored in 600 AoE, CD 45s)</t>
    </r>
  </si>
  <si>
    <t>The runes on this amulet can not only store magic energy, but also release it into the environment to help other mages.</t>
  </si>
  <si>
    <t>Necromancer's Robe</t>
  </si>
  <si>
    <r>
      <t xml:space="preserve">+21 Intelligence|+300 HP|+150 Mana | </t>
    </r>
    <r>
      <rPr>
        <sz val="11"/>
        <color rgb="FFFF0000"/>
        <rFont val="Calibri"/>
        <family val="2"/>
        <charset val="1"/>
      </rPr>
      <t>Experience rate for enemy Heroes is decreased by 10%</t>
    </r>
  </si>
  <si>
    <t>Made of pelt of questionable origin, this robe serves not only as a magic catalyst, but also as protection against blows.</t>
  </si>
  <si>
    <t>Bone Charm</t>
  </si>
  <si>
    <r>
      <t>+200 HP|+31 Armor |</t>
    </r>
    <r>
      <rPr>
        <sz val="11"/>
        <color rgb="FF00B050"/>
        <rFont val="Calibri"/>
        <family val="2"/>
        <charset val="1"/>
      </rPr>
      <t>S</t>
    </r>
    <r>
      <rPr>
        <sz val="11"/>
        <color rgb="FF000000"/>
        <rFont val="Calibri"/>
        <family val="2"/>
        <charset val="1"/>
      </rPr>
      <t>pell Shield(30s)</t>
    </r>
  </si>
  <si>
    <t>This literal exoskeleton is magically enhanced to protect the wearer against enemy spells.</t>
  </si>
  <si>
    <t>Tempest Skull</t>
  </si>
  <si>
    <r>
      <t>+60 Movement Speed|</t>
    </r>
    <r>
      <rPr>
        <sz val="11"/>
        <color rgb="FFFF0000"/>
        <rFont val="Calibri"/>
        <family val="2"/>
        <charset val="1"/>
      </rPr>
      <t>D</t>
    </r>
    <r>
      <rPr>
        <sz val="11"/>
        <color rgb="FF000000"/>
        <rFont val="Calibri"/>
        <family val="2"/>
        <charset val="1"/>
      </rPr>
      <t>ash (Max. Movement Speed, 5s Duration, 45s Cooldown)</t>
    </r>
  </si>
  <si>
    <t>This skull gathers free time to release it when neccessary, giving the wielder more time to walk to his destination.</t>
  </si>
  <si>
    <t>Gold/Wert</t>
  </si>
  <si>
    <t>Value</t>
  </si>
  <si>
    <t>Gold</t>
  </si>
  <si>
    <t>Ancient Boni</t>
  </si>
  <si>
    <t>STR</t>
  </si>
  <si>
    <t>AGI</t>
  </si>
  <si>
    <t>INT</t>
  </si>
  <si>
    <t>HP</t>
  </si>
  <si>
    <t>MANA</t>
  </si>
  <si>
    <t>ARMOR</t>
  </si>
  <si>
    <t>EVASION</t>
  </si>
  <si>
    <t>DAMAGE</t>
  </si>
  <si>
    <t>ATTACK SPEED</t>
  </si>
  <si>
    <t>MOVEMENT SPEED</t>
  </si>
  <si>
    <t>*** ABILITIES ***</t>
  </si>
  <si>
    <t>Gold/Wert/Chance</t>
  </si>
  <si>
    <t>Value/Chance</t>
  </si>
  <si>
    <t>DAMAGE REDUCTION</t>
  </si>
  <si>
    <t>METEOR</t>
  </si>
  <si>
    <t>SELF HEAL</t>
  </si>
  <si>
    <t>POSSESSION</t>
  </si>
  <si>
    <t>CRITICAL STRIKE</t>
  </si>
  <si>
    <t>BERSERK</t>
  </si>
  <si>
    <t>POS. EXPERIENCE RATE</t>
  </si>
  <si>
    <t>BASH</t>
  </si>
  <si>
    <t>ARCANE FLARE</t>
  </si>
  <si>
    <t>NEG. EXPERIENCE RATE</t>
  </si>
  <si>
    <t>SPELL SHIELD</t>
  </si>
  <si>
    <t>DASH</t>
  </si>
  <si>
    <t>Bark Skin</t>
  </si>
  <si>
    <t>+175 HP</t>
  </si>
  <si>
    <t>Some plants can be transformed into a living armor with a small spell.</t>
  </si>
  <si>
    <t>Treant Root</t>
  </si>
  <si>
    <t>+7 Strength</t>
  </si>
  <si>
    <t>Enchanted by novice druids, the life force of the roots strengthens anyone who wields it.</t>
  </si>
  <si>
    <t>Ancient Shield</t>
  </si>
  <si>
    <t>The mobile Night Elf troops prefer light armor to heavy shields, but nonetheless know how to forge them.</t>
  </si>
  <si>
    <t>Reinforced Glove</t>
  </si>
  <si>
    <t>+13% Evasion</t>
  </si>
  <si>
    <t>The metal plate on the back of the glove is hard enough to deflect strikes, but is difficult to use.</t>
  </si>
  <si>
    <t>Suramar Blade</t>
  </si>
  <si>
    <t>+10 Damage</t>
  </si>
  <si>
    <t>The knowledge to forge these swords was lost with the Well of Eternity.</t>
  </si>
  <si>
    <t>Sun Bow</t>
  </si>
  <si>
    <t>+8 Agility</t>
  </si>
  <si>
    <t>Designed to be easily carried, quickly strung and effortlessly drawn, this bow is favored by scouts and saboteurs.</t>
  </si>
  <si>
    <t>Huntress Steel</t>
  </si>
  <si>
    <t>+13% Attack Speed</t>
  </si>
  <si>
    <t>The perfectly balanced Elfish short swords allow the wielder to fight fast and precise.</t>
  </si>
  <si>
    <t>Scout Boots</t>
  </si>
  <si>
    <t>+50 Movement Speed</t>
  </si>
  <si>
    <t>The light weight and high durability  of the Elf boots is still unmatched by those of other Alliance races.</t>
  </si>
  <si>
    <t>Bound Wisp</t>
  </si>
  <si>
    <t>+115 Mana</t>
  </si>
  <si>
    <t>Pet Wisps are sometimes used by Night Elf Druids as mobile mana stores.</t>
  </si>
  <si>
    <t>Druid Staff</t>
  </si>
  <si>
    <t>+8 Intelligence</t>
  </si>
  <si>
    <t>Magically enhanced wood helps to wielder to link with the nature, increasing his power.</t>
  </si>
  <si>
    <t>Moon Blossom</t>
  </si>
  <si>
    <t>Trueshot Aura (+15% Damage)</t>
  </si>
  <si>
    <t>Considered as lucky among Night Elves, archers often stick one of these flowers into their quivers.</t>
  </si>
  <si>
    <t>Cyclone Wand</t>
  </si>
  <si>
    <t>Cyclone (25s)</t>
  </si>
  <si>
    <t>The Druids of the Talon crafted these wands to help the troops they could not protect personally.</t>
  </si>
  <si>
    <t>Extra Ability</t>
  </si>
  <si>
    <t>Twilight Armor</t>
  </si>
  <si>
    <t>+150 HP|+14 Armor|+32 Damage Reduction</t>
  </si>
  <si>
    <t>When facing Legion Warlocks, Demon Hunters often use this massive armor, as usual plating fails against Hellfire.</t>
  </si>
  <si>
    <t>Moon Guard Robe</t>
  </si>
  <si>
    <r>
      <t xml:space="preserve">+21 Strength|+20 Agility|+9 Intelligence | </t>
    </r>
    <r>
      <rPr>
        <sz val="11"/>
        <color rgb="FFFF0000"/>
        <rFont val="Calibri"/>
        <family val="2"/>
        <charset val="1"/>
      </rPr>
      <t>Poison Marker</t>
    </r>
  </si>
  <si>
    <t>While the Moon Guard was disbanded after the War of the Ancients, their magic items were stored for future battles.</t>
  </si>
  <si>
    <t>Midnight Armor</t>
  </si>
  <si>
    <r>
      <t xml:space="preserve">+18 Strength|+15% Evasion | </t>
    </r>
    <r>
      <rPr>
        <sz val="11"/>
        <color rgb="FFFF0000"/>
        <rFont val="Calibri"/>
        <family val="2"/>
        <charset val="1"/>
      </rPr>
      <t>5% chance to cast Fully Heal Self on kill</t>
    </r>
  </si>
  <si>
    <t>Preferred by many Night Elves, this chainmail doesn't hinder the mobility of the wearer in the least while offering good protection.</t>
  </si>
  <si>
    <t>Chimera Boots</t>
  </si>
  <si>
    <t>+28 Armor|+85 Movement Speed</t>
  </si>
  <si>
    <t>Chimera scales make sturdy leather, but are rather heavy - by Night Elf standards.</t>
  </si>
  <si>
    <t>Dawn Bow</t>
  </si>
  <si>
    <t>+55 Damage|+15 Agility|Critical (0,75x,5%)</t>
  </si>
  <si>
    <t>The Night Elves quickly learned to use the bowmaking skills of the High Elves alongside their own after the Battle of Mount Hyjal.</t>
  </si>
  <si>
    <t>Emerald Sword</t>
  </si>
  <si>
    <t>+30% Attack Speed|+21% Evasion</t>
  </si>
  <si>
    <t>This sword was named after Ysera, as the blacksmith who made it imagined the design of the blade during a dream.</t>
  </si>
  <si>
    <t>Demonslayer</t>
  </si>
  <si>
    <r>
      <t>+75 Damage|</t>
    </r>
    <r>
      <rPr>
        <sz val="11"/>
        <color rgb="FF00B050"/>
        <rFont val="Calibri"/>
        <family val="2"/>
        <charset val="1"/>
      </rPr>
      <t>I</t>
    </r>
    <r>
      <rPr>
        <sz val="11"/>
        <color rgb="FF000000"/>
        <rFont val="Calibri"/>
        <family val="2"/>
        <charset val="1"/>
      </rPr>
      <t>mmolation (25 Dps)</t>
    </r>
  </si>
  <si>
    <t>Despite being incredibly sharp and overflowing with magic, these swords are considered 'ligh armament' by Demon Hunters.</t>
  </si>
  <si>
    <t>Warden Chakram</t>
  </si>
  <si>
    <r>
      <t>+50 % Attack Speed|</t>
    </r>
    <r>
      <rPr>
        <sz val="11"/>
        <color rgb="FFFF0000"/>
        <rFont val="Calibri"/>
        <family val="2"/>
        <charset val="1"/>
      </rPr>
      <t>F</t>
    </r>
    <r>
      <rPr>
        <sz val="11"/>
        <color rgb="FF000000"/>
        <rFont val="Calibri"/>
        <family val="2"/>
        <charset val="1"/>
      </rPr>
      <t>an of Knives (25 Damage, 400 AoE, 18s)</t>
    </r>
  </si>
  <si>
    <t>The weaponry of the Wardens is deadly in many ways, but requires much skill to use.</t>
  </si>
  <si>
    <t>Keeper Staff</t>
  </si>
  <si>
    <r>
      <t xml:space="preserve">+245 Mana|+35 Intelligence | </t>
    </r>
    <r>
      <rPr>
        <sz val="11"/>
        <color rgb="FFFF0000"/>
        <rFont val="Calibri"/>
        <family val="2"/>
        <charset val="1"/>
      </rPr>
      <t>Experience rate increased by 20%</t>
    </r>
  </si>
  <si>
    <t>Since the death of Cenarius, many Keepers tend to the woods and try to uphold the serenity the halfgod created.</t>
  </si>
  <si>
    <t>Everyoung Leaf</t>
  </si>
  <si>
    <r>
      <t>+350 HP|+165 Mana |</t>
    </r>
    <r>
      <rPr>
        <sz val="11"/>
        <color rgb="FFFF0000"/>
        <rFont val="Calibri"/>
        <family val="2"/>
        <charset val="1"/>
      </rPr>
      <t xml:space="preserve"> Entangle the nearest opponent (9% 6.5s/2.25s)</t>
    </r>
  </si>
  <si>
    <t>Taken from the sacred grove of Cenarius, these plants can bring strength and endurance to anyone who carries them.</t>
  </si>
  <si>
    <t>Druid Boots</t>
  </si>
  <si>
    <r>
      <t xml:space="preserve">+80 Movement Speed|+20 Intelligence | </t>
    </r>
    <r>
      <rPr>
        <sz val="11"/>
        <color rgb="FFFF0000"/>
        <rFont val="Calibri"/>
        <family val="2"/>
        <charset val="1"/>
      </rPr>
      <t>Rocket Boots</t>
    </r>
  </si>
  <si>
    <t>Druid Boots are incredibly durable. They do not only survive hundreds of miles of forced marching, but also shapeshifting.</t>
  </si>
  <si>
    <t>Anti-Magic Staff</t>
  </si>
  <si>
    <r>
      <t xml:space="preserve">Scroll of SpellShield (20s, 200 AoE) | </t>
    </r>
    <r>
      <rPr>
        <sz val="11"/>
        <color rgb="FFFF0000"/>
        <rFont val="Calibri"/>
        <family val="2"/>
        <charset val="1"/>
      </rPr>
      <t>Nether Charge (10%)</t>
    </r>
  </si>
  <si>
    <t>After the War of the Ancients, the Night Elves learned ways to protect themselves against magic backlashes.</t>
  </si>
  <si>
    <t>SELF HEAL ( HERO KILL )</t>
  </si>
  <si>
    <t>SELF HEAL ( ALL KILL )</t>
  </si>
  <si>
    <t>CRITICAL STRIKE</t>
  </si>
  <si>
    <t>TRUE SHOT AURA</t>
  </si>
  <si>
    <t>POISON MARKER</t>
  </si>
  <si>
    <t>IMMOLATION</t>
  </si>
  <si>
    <t>FAN OF KNIVES</t>
  </si>
  <si>
    <t>ENTANGLE</t>
  </si>
  <si>
    <t>ROCKET BOOTS</t>
  </si>
  <si>
    <t>NETHER CHARGE</t>
  </si>
  <si>
    <t>CYCLONE</t>
  </si>
  <si>
    <t>Silvermoon Shield</t>
  </si>
  <si>
    <t>+200 HP</t>
  </si>
  <si>
    <t>The Blood Elves no longer create these shields, and only a handful remains, given to most trusted commanders.</t>
  </si>
  <si>
    <t>Guardian Helmet</t>
  </si>
  <si>
    <t>+10 Strength</t>
  </si>
  <si>
    <t>Dwarf Guardians are not only body guards for kings and nobility, but also fearsome shock troops.</t>
  </si>
  <si>
    <t>Chainmail</t>
  </si>
  <si>
    <t>+4 Armor</t>
  </si>
  <si>
    <t>Unlike heavy plate armor, chainmail leaves the wearer fully mobile, but offers also less protection.</t>
  </si>
  <si>
    <t>Sunray Blossom</t>
  </si>
  <si>
    <t>+9% Evasion</t>
  </si>
  <si>
    <t>Growing around the site of the Sun Well, these flowers are not only believed to be lucky - experiments confirmed it.</t>
  </si>
  <si>
    <t>Dwarven Hammer</t>
  </si>
  <si>
    <t>+12 Damage</t>
  </si>
  <si>
    <t>The Dwarves of Khaz Modan prefer the raw strength of a hammer over the human finesse with the sword.</t>
  </si>
  <si>
    <t>Fencing Sword</t>
  </si>
  <si>
    <t>+7 Agility</t>
  </si>
  <si>
    <t>Perfected over centuries, the human blacksmiths produce swords perfecty balanced, envied even by the High Elves.</t>
  </si>
  <si>
    <t>Time Amulet</t>
  </si>
  <si>
    <t>+10% Attack Speed</t>
  </si>
  <si>
    <t>This amulet can bend the time slightly in favor of the wearer, giving him an edge in combat.</t>
  </si>
  <si>
    <t>Boots of Quel'Thalas</t>
  </si>
  <si>
    <t>+30 Movement</t>
  </si>
  <si>
    <t>Like most of the Elfish equipment, these boots require magic to be crafted, and rose in price after the destruction of Silvermoon.</t>
  </si>
  <si>
    <t>Tiger's-Eye</t>
  </si>
  <si>
    <t>+120 Mana</t>
  </si>
  <si>
    <t>These semiprecious stones are surprisingly affectable by magic and even unprocessed specimens can be used as mana stores.</t>
  </si>
  <si>
    <t>Pointy Hat</t>
  </si>
  <si>
    <t>+6 Intelligence</t>
  </si>
  <si>
    <t>While not mandatory, many mages wear these out of a sense of tradition, although no one remembers what they stand for.</t>
  </si>
  <si>
    <t>Arcane Circlet</t>
  </si>
  <si>
    <t>Brilliance Aura (+0.50 MP/s)</t>
  </si>
  <si>
    <t>The gems inlaid in this diadem are magically enhanced to filter raw magic out of the air and to distribute it to nearby mages.</t>
  </si>
  <si>
    <t>Anti-Magic Wand</t>
  </si>
  <si>
    <t>Neutralization (6 Targets, 30s)</t>
  </si>
  <si>
    <t>If the Blood Elves are short on trained Priests, they often give these items to the Alliance armies to partially replace the lack.</t>
  </si>
  <si>
    <t>Ingredients Price</t>
  </si>
  <si>
    <t>Knight Helmet</t>
  </si>
  <si>
    <t>+20 Armor|+20 Strength|+35 Damage Reduction</t>
  </si>
  <si>
    <t>Made of the best steel and created in tandem by Humans and Dwarfs, this helmet is guaranteed to survive a drop into lava.</t>
  </si>
  <si>
    <t>Lucky Ring</t>
  </si>
  <si>
    <r>
      <t xml:space="preserve">+20% Evasion|+40% Attack Speed | </t>
    </r>
    <r>
      <rPr>
        <sz val="11"/>
        <color rgb="FFFF0000"/>
        <rFont val="Calibri"/>
        <family val="2"/>
        <charset val="1"/>
      </rPr>
      <t>9% chance on kill to regenerate 500 HP over 10s for nearby ally units</t>
    </r>
  </si>
  <si>
    <t>The amethyst in this ring seems to refract the light in an odd way, but it actually bends reality.</t>
  </si>
  <si>
    <t>Stormwind Shield</t>
  </si>
  <si>
    <r>
      <t>+40 Armor|</t>
    </r>
    <r>
      <rPr>
        <sz val="11"/>
        <color rgb="FFFF0000"/>
        <rFont val="Calibri"/>
        <family val="2"/>
        <charset val="1"/>
      </rPr>
      <t>Infliction ( 150HP, 25 HP-Reg., CD 30s )</t>
    </r>
  </si>
  <si>
    <t>The kingdom of Stormwind may have fallen, but many of its artifacts still remain, trophies of battles against the orcs.</t>
  </si>
  <si>
    <t>Holy Shield</t>
  </si>
  <si>
    <r>
      <t>+300 HP|</t>
    </r>
    <r>
      <rPr>
        <sz val="11"/>
        <color rgb="FFFF0000"/>
        <rFont val="Calibri"/>
        <family val="2"/>
        <charset val="1"/>
      </rPr>
      <t>Seed of Life</t>
    </r>
  </si>
  <si>
    <t>When Paladins march to fight corruption and destroy the wicked, they do not go without blessing their armor.</t>
  </si>
  <si>
    <t>War Flail</t>
  </si>
  <si>
    <t>+45 Damage|+25 Agility|Critical (0.75x, 5%)</t>
  </si>
  <si>
    <t>While considered a lowly weapon, not fit for nobility, this originally agricultural implement can wreak a lot of havoc.</t>
  </si>
  <si>
    <t>Volcano Hammer</t>
  </si>
  <si>
    <t>+38 Damage|+30 Strength | Storm Bolt (25% chance on hero kill)</t>
  </si>
  <si>
    <t>This design packs all of a Dwarven Berserker's rage and force into one weapon that can punch any armor into a pulpy mass.</t>
  </si>
  <si>
    <t>Crowbar</t>
  </si>
  <si>
    <r>
      <t xml:space="preserve">+18 Agility|+23 Intelligence | </t>
    </r>
    <r>
      <rPr>
        <sz val="11"/>
        <color rgb="FFFF0000"/>
        <rFont val="Calibri"/>
        <family val="2"/>
        <charset val="1"/>
      </rPr>
      <t>+75 Magic Damage on every third hit on the same unit and a 1.2s slow</t>
    </r>
  </si>
  <si>
    <t>Developed after the battle of Mount Hyjal, this weapon should give the wielder the nimbleness of the Druids of the Talon.</t>
  </si>
  <si>
    <t>Seven League Boots</t>
  </si>
  <si>
    <t>+20% Attack Speed|+60 Movement Speed</t>
  </si>
  <si>
    <t>The only type of boots that do not actually help the wearer to walk faster. Instead, they move the universe around him.</t>
  </si>
  <si>
    <t>Gryphon's-Eye</t>
  </si>
  <si>
    <t>+325 Mana|+35 Intelligence</t>
  </si>
  <si>
    <t>Cut and polished Tiger's-Eye, infused with magic, is an even better catalyst for casting than the raw gem.</t>
  </si>
  <si>
    <t>Runestone</t>
  </si>
  <si>
    <r>
      <t xml:space="preserve">+250 Mana|+250 HP | </t>
    </r>
    <r>
      <rPr>
        <sz val="11"/>
        <color rgb="FFFF0000"/>
        <rFont val="Calibri"/>
        <family val="2"/>
        <charset val="1"/>
      </rPr>
      <t>Experience rate increased by 25%</t>
    </r>
  </si>
  <si>
    <t>To create a store for either life or mana, one requires only one rune. But to fit both into one, a lot more are needed.</t>
  </si>
  <si>
    <t>Fire Wand</t>
  </si>
  <si>
    <r>
      <t>+70 Movement Speed|</t>
    </r>
    <r>
      <rPr>
        <sz val="11"/>
        <color rgb="FF00B050"/>
        <rFont val="Calibri"/>
        <family val="2"/>
        <charset val="1"/>
      </rPr>
      <t>D</t>
    </r>
    <r>
      <rPr>
        <sz val="11"/>
        <color rgb="FF000000"/>
        <rFont val="Calibri"/>
        <family val="2"/>
        <charset val="1"/>
      </rPr>
      <t>amage Return (+25%)</t>
    </r>
  </si>
  <si>
    <t>The eternal flame on top of this staff fills the wielder with renewed vigor and burns those unworthy to touch it.</t>
  </si>
  <si>
    <t>Seeing Staff</t>
  </si>
  <si>
    <r>
      <t>+15% Evasion|</t>
    </r>
    <r>
      <rPr>
        <sz val="11"/>
        <color rgb="FFFF0000"/>
        <rFont val="Calibri"/>
        <family val="2"/>
        <charset val="1"/>
      </rPr>
      <t>Confused Sight (30s)</t>
    </r>
  </si>
  <si>
    <t>The extra eye on top of the staff helps the wielder in combat when it is not used to see faraway lands.</t>
  </si>
  <si>
    <t>DAMAGE RETURN</t>
  </si>
  <si>
    <t>METEOR / STORM BOLT</t>
  </si>
  <si>
    <t>HEAL ( ALLIES )</t>
  </si>
  <si>
    <t>SEED OF HEAL</t>
  </si>
  <si>
    <t>BRILLIANCE AURA</t>
  </si>
  <si>
    <t>NEUTRALIZATION</t>
  </si>
  <si>
    <t>INFLICTION</t>
  </si>
  <si>
    <t>2,3… HIT ABILITY</t>
  </si>
  <si>
    <t>CONFUSED SIGHT</t>
  </si>
  <si>
    <t>Blood Stone</t>
  </si>
  <si>
    <t>+185 HP</t>
  </si>
  <si>
    <t>This gem was soaked in blood for several days, and now fills the wearer with new life force to survive the greatest wounds.</t>
  </si>
  <si>
    <t>Spiked Collar</t>
  </si>
  <si>
    <t>This small leather band is mostly of symbolic value - it stands for a lifestyle filled with hatred and violence.</t>
  </si>
  <si>
    <t>Ogrimmar Shield</t>
  </si>
  <si>
    <t>+6 Armor</t>
  </si>
  <si>
    <t>Made only from the best wood, the shields of Orcs are sturdy and cheaper than comparable human products.</t>
  </si>
  <si>
    <t>Darkspear Mask</t>
  </si>
  <si>
    <t>+11% Evasion</t>
  </si>
  <si>
    <t>This mask makes the opponent unable to guess what the other is looking at, making feint attacks less useful.</t>
  </si>
  <si>
    <t>Blackrock Axe</t>
  </si>
  <si>
    <t>Orc metalwork may be simple, but is horribly effective. What other races achieve through balance, they achieve with momentum.</t>
  </si>
  <si>
    <t>Troll Dagger</t>
  </si>
  <si>
    <t>+5 Agility</t>
  </si>
  <si>
    <t>The small weapons of the Trolls are often the target of jokes from Orcs - but only as long as no Troll has one nearby.</t>
  </si>
  <si>
    <t>Mace</t>
  </si>
  <si>
    <t>+12 % Attack Speed</t>
  </si>
  <si>
    <t>When Orcs need to hit faster, they take blunt weapons, as those do not have to be pulled out of the enemy again.</t>
  </si>
  <si>
    <t>Centaur Boots</t>
  </si>
  <si>
    <t>+40 Movement</t>
  </si>
  <si>
    <t>Centaurs eat Tauren. In return, Tauren use Centaur hide for leatherwork, and the results are certainly top quality.</t>
  </si>
  <si>
    <t>Pipe</t>
  </si>
  <si>
    <t>+105 Mana</t>
  </si>
  <si>
    <t>The magic ingredient is of course not the pipe, but the herbs smoked to broaden one's horizon.</t>
  </si>
  <si>
    <t>Shaman Glove</t>
  </si>
  <si>
    <t>The robe of a shaman is made from animal hides to show his connection with the Spirit of Nature.</t>
  </si>
  <si>
    <t>Warsong Drums</t>
  </si>
  <si>
    <t>Command Aura (+15% Bonus Damage)</t>
  </si>
  <si>
    <t>Before the Tauren entered the Horde, war drums were portable. Some of them are still around and are used when Kodos are rare.</t>
  </si>
  <si>
    <t>Thunder Ring</t>
  </si>
  <si>
    <t>Lightning Shield (+15 Dps, 20s Duration, 60s CD)</t>
  </si>
  <si>
    <t>The alloy used is a perfect conduit for electricity, making the lightning called with it even stronger.</t>
  </si>
  <si>
    <t>Recipe Price</t>
  </si>
  <si>
    <t>Blackrock Armor</t>
  </si>
  <si>
    <t>+15 Strength|+25 Armor|+23 Damage Reduction</t>
  </si>
  <si>
    <t>Based on the armor of Orgrim Doomhammer, these plates are light and yet strong enough to withstand even Orc weapons.</t>
  </si>
  <si>
    <t>Kodo Vest</t>
  </si>
  <si>
    <r>
      <t xml:space="preserve">+21 Armor|+16 Agility | </t>
    </r>
    <r>
      <rPr>
        <sz val="11"/>
        <color rgb="FFFF0000"/>
        <rFont val="Calibri"/>
        <family val="2"/>
        <charset val="1"/>
      </rPr>
      <t xml:space="preserve">Aura of Redemption </t>
    </r>
  </si>
  <si>
    <t>The Trolls began to use Kodo hides for their armor instead of the traditional wooden plates.</t>
  </si>
  <si>
    <t>Shaman Hood</t>
  </si>
  <si>
    <r>
      <t xml:space="preserve">+20% Evasion|+225 Mana | </t>
    </r>
    <r>
      <rPr>
        <sz val="11"/>
        <color rgb="FFFF0000"/>
        <rFont val="Calibri"/>
        <family val="2"/>
        <charset val="1"/>
      </rPr>
      <t>Anger of Thrall ( 15% chance )</t>
    </r>
  </si>
  <si>
    <t>Unlike the traditional wolf pelts, this headdress doesn't limit the wearer's field of view and has no teeth that could chafe.</t>
  </si>
  <si>
    <t>Defensive Charm</t>
  </si>
  <si>
    <t>+15% Evasion| Scroll of Armor (+15 Armor, 500 AoE, 20s Duration, 90s CD)</t>
  </si>
  <si>
    <t>The magic of this amulet hardens the skin of its wearer and those around it, but requires additional magic to function.</t>
  </si>
  <si>
    <t>Assassin's Dagger</t>
  </si>
  <si>
    <t>+80 Damage|+12 Agility|Critical (0.75x, 5%)</t>
  </si>
  <si>
    <t>The new Horde does not often hace the need to use assassins, but no race would dare to forget what the old achieved with them.</t>
  </si>
  <si>
    <t>Broad Axe</t>
  </si>
  <si>
    <r>
      <t>+58 Damage|</t>
    </r>
    <r>
      <rPr>
        <sz val="11"/>
        <color rgb="FF00B050"/>
        <rFont val="Calibri"/>
        <family val="2"/>
        <charset val="1"/>
      </rPr>
      <t>C</t>
    </r>
    <r>
      <rPr>
        <sz val="11"/>
        <color rgb="FF000000"/>
        <rFont val="Calibri"/>
        <family val="2"/>
        <charset val="1"/>
      </rPr>
      <t>leaving Attack (+25%)</t>
    </r>
  </si>
  <si>
    <t>This weapon is designed for Tauren strength, and even some Orcs struggle with the massive weight of this axe.</t>
  </si>
  <si>
    <t>Longsword</t>
  </si>
  <si>
    <r>
      <t>+37 Strength|+30% Attack Speed |</t>
    </r>
    <r>
      <rPr>
        <sz val="11"/>
        <color rgb="FFFF0000"/>
        <rFont val="Calibri"/>
        <family val="2"/>
        <charset val="1"/>
      </rPr>
      <t xml:space="preserve"> Orb of Fire (+15)</t>
    </r>
  </si>
  <si>
    <t>While in favor of axes, the art of making balanced weapons like swords is not unknown to Orcs, and the results are rather effective.</t>
  </si>
  <si>
    <t>Kodo Boots</t>
  </si>
  <si>
    <r>
      <t xml:space="preserve">+375 HP| </t>
    </r>
    <r>
      <rPr>
        <sz val="11"/>
        <color rgb="FFFF0000"/>
        <rFont val="Calibri"/>
        <family val="2"/>
        <charset val="1"/>
      </rPr>
      <t>Speed Boost (100%, 25s) | War Drums Aura ( +40% )</t>
    </r>
  </si>
  <si>
    <t>Kodo leather is one of the favourite materials for boots and light armor since the Horde's landing on Kalimdor.</t>
  </si>
  <si>
    <t>Stone Amulet</t>
  </si>
  <si>
    <r>
      <t xml:space="preserve">+175 Mana|+30 Intelligence | </t>
    </r>
    <r>
      <rPr>
        <sz val="11"/>
        <color rgb="FFFF0000"/>
        <rFont val="Calibri"/>
        <family val="2"/>
        <charset val="1"/>
      </rPr>
      <t>Experience rate increased by 18%</t>
    </r>
  </si>
  <si>
    <t>In comparison to the complex shamanism of the Orcs, Tauren magic may seem simple, but it is nonetheless deadly.</t>
  </si>
  <si>
    <t>Frenzy Ring</t>
  </si>
  <si>
    <t>+27% Attack Speed|+35 Intelligence</t>
  </si>
  <si>
    <t>This ring is used by Shamans to boost their combat prowess, both with claws and with spells.</t>
  </si>
  <si>
    <t>Tauren Totem</t>
  </si>
  <si>
    <t>No Orc could stand the shame of falling behind when the leader rushed ahead while carrying a heavy totem.</t>
  </si>
  <si>
    <t>Dragon Ring</t>
  </si>
  <si>
    <r>
      <t>+230 HP|</t>
    </r>
    <r>
      <rPr>
        <sz val="11"/>
        <color rgb="FFFF0000"/>
        <rFont val="Calibri"/>
        <family val="2"/>
        <charset val="1"/>
      </rPr>
      <t>F</t>
    </r>
    <r>
      <rPr>
        <sz val="11"/>
        <color rgb="FF000000"/>
        <rFont val="Calibri"/>
        <family val="2"/>
        <charset val="1"/>
      </rPr>
      <t>ire Bolt (+160 Damage, 2/1s Stun, 30s CD, 75 Mana)</t>
    </r>
  </si>
  <si>
    <t>Some say these rings were forged with the blood of Alexstraza, but it was probably a lesser Red Dragon.</t>
  </si>
  <si>
    <t>COMMAND AURA</t>
  </si>
  <si>
    <t>LIGHTNING SHIELD</t>
  </si>
  <si>
    <t>AURA OF REDEMPTION</t>
  </si>
  <si>
    <t>ANGER OF THRALL</t>
  </si>
  <si>
    <t>CLEAVING_ATTACK</t>
  </si>
  <si>
    <t>ORB OF FIRE</t>
  </si>
  <si>
    <t>BOOST</t>
  </si>
  <si>
    <t>WAR DRUMS AURA</t>
  </si>
  <si>
    <t>ENDURANCE AURA</t>
  </si>
  <si>
    <t>FIRE BOLT</t>
  </si>
  <si>
    <t>SCROLL OF ARMOR</t>
  </si>
  <si>
    <r>
      <t>+55 Movement Speed|</t>
    </r>
    <r>
      <rPr>
        <sz val="11"/>
        <color rgb="FF00B050"/>
        <rFont val="Calibri"/>
        <family val="2"/>
        <charset val="1"/>
      </rPr>
      <t>E</t>
    </r>
    <r>
      <rPr>
        <sz val="11"/>
        <color rgb="FF000000"/>
        <rFont val="Calibri"/>
        <family val="2"/>
        <charset val="1"/>
      </rPr>
      <t>ndurance Aura (+30% Attack Speed)</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</si>
</sst>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b/>
      <sz val="14"/>
      <color rgb="FF262626"/>
      <name val="Calibri"/>
      <family val="2"/>
      <charset val="1"/>
    </font>
    <font>
      <sz val="11"/>
      <color rgb="FFFF0000"/>
      <name val="Calibri"/>
      <family val="2"/>
      <charset val="1"/>
    </font>
    <font>
      <sz val="11"/>
      <color rgb="FF00B050"/>
      <name val="Calibri"/>
      <family val="2"/>
      <charset val="1"/>
    </font>
    <font>
      <b/>
      <sz val="11"/>
      <color rgb="FFFF0000"/>
      <name val="Calibri"/>
      <family val="2"/>
      <charset val="1"/>
    </font>
    <font>
      <sz val="11"/>
      <color rgb="FF000000"/>
      <name val="Calibri"/>
      <family val="2"/>
    </font>
    <font>
      <sz val="11"/>
      <color rgb="FF000000"/>
      <name val="Calibri"/>
      <family val="2"/>
      <charset val="1"/>
    </font>
  </fonts>
  <fills count="9">
    <fill>
      <patternFill patternType="none"/>
    </fill>
    <fill>
      <patternFill patternType="gray125"/>
    </fill>
    <fill>
      <patternFill patternType="solid">
        <fgColor rgb="FF8EB4E3"/>
        <bgColor rgb="FF9999FF"/>
      </patternFill>
    </fill>
    <fill>
      <patternFill patternType="solid">
        <fgColor rgb="FFFF3366"/>
        <bgColor rgb="FFFF0000"/>
      </patternFill>
    </fill>
    <fill>
      <patternFill patternType="solid">
        <fgColor rgb="FFC3D69B"/>
        <bgColor rgb="FFDDD9C3"/>
      </patternFill>
    </fill>
    <fill>
      <patternFill patternType="solid">
        <fgColor rgb="FFDDD9C3"/>
        <bgColor rgb="FFFCD5B5"/>
      </patternFill>
    </fill>
    <fill>
      <patternFill patternType="solid">
        <fgColor rgb="FFB9CDE5"/>
        <bgColor rgb="FFDDD9C3"/>
      </patternFill>
    </fill>
    <fill>
      <patternFill patternType="solid">
        <fgColor rgb="FFFCD5B5"/>
        <bgColor rgb="FFDDD9C3"/>
      </patternFill>
    </fill>
    <fill>
      <patternFill patternType="solid">
        <fgColor rgb="FFFAC090"/>
        <bgColor rgb="FFFCD5B5"/>
      </patternFill>
    </fill>
  </fills>
  <borders count="14">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right style="thick">
        <color auto="1"/>
      </right>
      <top/>
      <bottom style="thick">
        <color auto="1"/>
      </bottom>
      <diagonal/>
    </border>
    <border>
      <left style="thick">
        <color auto="1"/>
      </left>
      <right style="thick">
        <color auto="1"/>
      </right>
      <top/>
      <bottom style="thick">
        <color auto="1"/>
      </bottom>
      <diagonal/>
    </border>
    <border>
      <left style="thick">
        <color auto="1"/>
      </left>
      <right style="thick">
        <color auto="1"/>
      </right>
      <top/>
      <bottom/>
      <diagonal/>
    </border>
  </borders>
  <cellStyleXfs count="2">
    <xf numFmtId="0" fontId="0" fillId="0" borderId="0"/>
    <xf numFmtId="9" fontId="6" fillId="0" borderId="0"/>
  </cellStyleXfs>
  <cellXfs count="6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2" borderId="1" xfId="0" applyFill="1" applyBorder="1" applyAlignment="1">
      <alignment horizontal="center"/>
    </xf>
    <xf numFmtId="0" fontId="0" fillId="3" borderId="4" xfId="0" applyFont="1" applyFill="1" applyBorder="1"/>
    <xf numFmtId="0" fontId="0" fillId="4" borderId="4" xfId="0" applyFont="1" applyFill="1" applyBorder="1" applyAlignment="1">
      <alignment wrapText="1"/>
    </xf>
    <xf numFmtId="0" fontId="0" fillId="0" borderId="4" xfId="0" applyBorder="1" applyAlignment="1">
      <alignment horizontal="center"/>
    </xf>
    <xf numFmtId="0" fontId="0" fillId="0" borderId="4" xfId="0" applyFont="1" applyBorder="1"/>
    <xf numFmtId="0" fontId="0" fillId="0" borderId="4" xfId="0" applyBorder="1"/>
    <xf numFmtId="0" fontId="0" fillId="2" borderId="5" xfId="0" applyFill="1" applyBorder="1" applyAlignment="1">
      <alignment horizontal="center"/>
    </xf>
    <xf numFmtId="0" fontId="0" fillId="0" borderId="4" xfId="0" applyFont="1" applyBorder="1" applyAlignment="1">
      <alignment wrapText="1"/>
    </xf>
    <xf numFmtId="0" fontId="0" fillId="0" borderId="4" xfId="0" applyBorder="1" applyAlignment="1">
      <alignment wrapText="1"/>
    </xf>
    <xf numFmtId="0" fontId="0" fillId="2" borderId="6" xfId="0" applyFill="1" applyBorder="1" applyAlignment="1">
      <alignment horizontal="center"/>
    </xf>
    <xf numFmtId="0" fontId="0" fillId="0" borderId="0" xfId="0"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2" borderId="10" xfId="0" applyFill="1" applyBorder="1" applyAlignment="1">
      <alignment horizontal="center"/>
    </xf>
    <xf numFmtId="0" fontId="0" fillId="3" borderId="11" xfId="0" applyFont="1" applyFill="1" applyBorder="1"/>
    <xf numFmtId="0" fontId="0" fillId="0" borderId="12" xfId="0" applyFont="1" applyBorder="1"/>
    <xf numFmtId="0" fontId="0" fillId="0" borderId="12" xfId="0" applyBorder="1" applyAlignment="1">
      <alignment horizontal="center"/>
    </xf>
    <xf numFmtId="0" fontId="0" fillId="2" borderId="13" xfId="0" applyFill="1" applyBorder="1" applyAlignment="1">
      <alignment horizontal="center"/>
    </xf>
    <xf numFmtId="0" fontId="0" fillId="3" borderId="9" xfId="0" applyFont="1" applyFill="1" applyBorder="1"/>
    <xf numFmtId="0" fontId="0" fillId="0" borderId="4" xfId="0" applyFont="1" applyBorder="1"/>
    <xf numFmtId="0" fontId="0" fillId="0" borderId="4" xfId="0" applyBorder="1" applyAlignment="1">
      <alignment horizontal="center"/>
    </xf>
    <xf numFmtId="0" fontId="0" fillId="2" borderId="12" xfId="0" applyFill="1" applyBorder="1" applyAlignment="1">
      <alignment horizontal="center"/>
    </xf>
    <xf numFmtId="0" fontId="0" fillId="0" borderId="0" xfId="0"/>
    <xf numFmtId="0" fontId="0" fillId="0" borderId="0" xfId="0" applyAlignment="1">
      <alignment horizontal="center"/>
    </xf>
    <xf numFmtId="0" fontId="1" fillId="0" borderId="2" xfId="0" applyFont="1" applyBorder="1" applyAlignment="1">
      <alignment horizontal="center"/>
    </xf>
    <xf numFmtId="1" fontId="0" fillId="0" borderId="4" xfId="0" applyNumberFormat="1" applyFont="1" applyBorder="1" applyAlignment="1">
      <alignment horizontal="center"/>
    </xf>
    <xf numFmtId="0" fontId="0" fillId="0" borderId="4" xfId="0" applyFont="1" applyBorder="1" applyAlignment="1">
      <alignment horizontal="center"/>
    </xf>
    <xf numFmtId="0" fontId="0" fillId="5" borderId="4" xfId="0" applyFont="1" applyFill="1" applyBorder="1"/>
    <xf numFmtId="0" fontId="0" fillId="0" borderId="4" xfId="0" applyBorder="1" applyAlignment="1">
      <alignment horizontal="left"/>
    </xf>
    <xf numFmtId="0" fontId="0" fillId="0" borderId="7" xfId="0" applyFont="1" applyBorder="1" applyAlignment="1">
      <alignment horizontal="left"/>
    </xf>
    <xf numFmtId="0" fontId="0" fillId="6" borderId="4" xfId="0" applyFont="1" applyFill="1" applyBorder="1" applyAlignment="1">
      <alignment horizontal="center"/>
    </xf>
    <xf numFmtId="0" fontId="0" fillId="6" borderId="4" xfId="0" applyFill="1" applyBorder="1" applyAlignment="1">
      <alignment horizontal="center"/>
    </xf>
    <xf numFmtId="0" fontId="4" fillId="7" borderId="4" xfId="0" applyFont="1" applyFill="1" applyBorder="1" applyAlignment="1">
      <alignment horizontal="center"/>
    </xf>
    <xf numFmtId="0" fontId="0" fillId="0" borderId="0" xfId="0" applyFont="1" applyBorder="1" applyAlignment="1">
      <alignment horizontal="center"/>
    </xf>
    <xf numFmtId="0" fontId="0" fillId="5" borderId="4" xfId="0" applyFont="1" applyFill="1" applyBorder="1" applyAlignment="1">
      <alignment horizontal="left"/>
    </xf>
    <xf numFmtId="2" fontId="0" fillId="0" borderId="7" xfId="0" applyNumberFormat="1" applyBorder="1" applyAlignment="1">
      <alignment horizontal="left"/>
    </xf>
    <xf numFmtId="1" fontId="0" fillId="6" borderId="4" xfId="0" applyNumberFormat="1" applyFill="1" applyBorder="1" applyAlignment="1">
      <alignment horizontal="center"/>
    </xf>
    <xf numFmtId="9" fontId="4" fillId="7" borderId="4" xfId="1" applyFont="1" applyFill="1" applyBorder="1" applyAlignment="1" applyProtection="1">
      <alignment horizontal="center"/>
    </xf>
    <xf numFmtId="0" fontId="0" fillId="0" borderId="0" xfId="0" applyBorder="1"/>
    <xf numFmtId="2" fontId="0" fillId="0" borderId="0" xfId="0" applyNumberFormat="1" applyBorder="1" applyAlignment="1">
      <alignment horizontal="center"/>
    </xf>
    <xf numFmtId="0" fontId="0" fillId="0" borderId="7" xfId="0" applyFont="1" applyBorder="1"/>
    <xf numFmtId="0" fontId="0" fillId="8" borderId="4" xfId="0" applyFont="1" applyFill="1" applyBorder="1" applyAlignment="1">
      <alignment horizontal="center"/>
    </xf>
    <xf numFmtId="0" fontId="0" fillId="8" borderId="4" xfId="0" applyFill="1" applyBorder="1" applyAlignment="1">
      <alignment horizontal="center"/>
    </xf>
    <xf numFmtId="2" fontId="0" fillId="8" borderId="4" xfId="0" applyNumberFormat="1" applyFill="1" applyBorder="1" applyAlignment="1">
      <alignment horizontal="center"/>
    </xf>
    <xf numFmtId="1" fontId="0" fillId="8" borderId="4" xfId="0" applyNumberFormat="1" applyFill="1" applyBorder="1" applyAlignment="1">
      <alignment horizontal="center"/>
    </xf>
    <xf numFmtId="0" fontId="0" fillId="0" borderId="0" xfId="0" applyBorder="1" applyAlignment="1">
      <alignment horizontal="center"/>
    </xf>
    <xf numFmtId="0" fontId="0" fillId="5" borderId="10" xfId="0" applyFont="1" applyFill="1" applyBorder="1" applyAlignment="1">
      <alignment horizontal="left"/>
    </xf>
    <xf numFmtId="2" fontId="0" fillId="0" borderId="1" xfId="0" applyNumberFormat="1" applyBorder="1" applyAlignment="1">
      <alignment horizontal="left"/>
    </xf>
    <xf numFmtId="2" fontId="0" fillId="8" borderId="10" xfId="0" applyNumberFormat="1" applyFill="1" applyBorder="1" applyAlignment="1">
      <alignment horizontal="center"/>
    </xf>
    <xf numFmtId="0" fontId="0" fillId="8" borderId="10" xfId="0" applyFill="1" applyBorder="1" applyAlignment="1">
      <alignment horizontal="center"/>
    </xf>
    <xf numFmtId="1" fontId="0" fillId="8" borderId="10" xfId="0" applyNumberFormat="1" applyFill="1" applyBorder="1" applyAlignment="1">
      <alignment horizontal="center"/>
    </xf>
    <xf numFmtId="1" fontId="0" fillId="0" borderId="4" xfId="0" applyNumberFormat="1" applyBorder="1"/>
    <xf numFmtId="0" fontId="0" fillId="0" borderId="4" xfId="0" applyBorder="1"/>
    <xf numFmtId="0" fontId="4" fillId="7" borderId="10" xfId="0" applyFont="1" applyFill="1" applyBorder="1" applyAlignment="1">
      <alignment horizontal="center"/>
    </xf>
    <xf numFmtId="9" fontId="4" fillId="7" borderId="12" xfId="1" applyFont="1" applyFill="1" applyBorder="1" applyAlignment="1" applyProtection="1">
      <alignment horizontal="center"/>
    </xf>
    <xf numFmtId="2" fontId="5" fillId="0" borderId="7" xfId="0" applyNumberFormat="1" applyFont="1" applyBorder="1" applyAlignment="1">
      <alignment horizontal="left"/>
    </xf>
    <xf numFmtId="1" fontId="0" fillId="0" borderId="4" xfId="0" applyNumberFormat="1" applyFont="1" applyFill="1" applyBorder="1" applyAlignment="1">
      <alignment horizontal="center"/>
    </xf>
    <xf numFmtId="0" fontId="0" fillId="0" borderId="4" xfId="0" applyFont="1" applyFill="1" applyBorder="1" applyAlignment="1">
      <alignment horizontal="center"/>
    </xf>
    <xf numFmtId="0" fontId="0" fillId="0" borderId="4" xfId="0" applyFont="1" applyBorder="1" applyAlignment="1"/>
    <xf numFmtId="0" fontId="1" fillId="2" borderId="3" xfId="0" applyFont="1" applyFill="1" applyBorder="1" applyAlignment="1">
      <alignment horizontal="center"/>
    </xf>
    <xf numFmtId="0" fontId="1" fillId="2" borderId="9" xfId="0" applyFont="1" applyFill="1" applyBorder="1" applyAlignment="1">
      <alignment horizontal="center"/>
    </xf>
    <xf numFmtId="0" fontId="0" fillId="0" borderId="12" xfId="0" applyFont="1" applyBorder="1" applyAlignment="1"/>
    <xf numFmtId="0" fontId="0" fillId="0" borderId="4" xfId="0" quotePrefix="1" applyFont="1" applyBorder="1"/>
  </cellXfs>
  <cellStyles count="2">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CD5B5"/>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DD9C3"/>
      <rgbColor rgb="FFFFFF99"/>
      <rgbColor rgb="FF8EB4E3"/>
      <rgbColor rgb="FFFF99CC"/>
      <rgbColor rgb="FFCC99FF"/>
      <rgbColor rgb="FFFAC090"/>
      <rgbColor rgb="FF3366FF"/>
      <rgbColor rgb="FF33CCCC"/>
      <rgbColor rgb="FF99CC00"/>
      <rgbColor rgb="FFFFCC00"/>
      <rgbColor rgb="FFFF9900"/>
      <rgbColor rgb="FFFF3366"/>
      <rgbColor rgb="FF666699"/>
      <rgbColor rgb="FF969696"/>
      <rgbColor rgb="FF003366"/>
      <rgbColor rgb="FF00B050"/>
      <rgbColor rgb="FF003300"/>
      <rgbColor rgb="FF66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opLeftCell="A19" zoomScaleNormal="100" workbookViewId="0">
      <selection activeCell="D33" sqref="D33"/>
    </sheetView>
  </sheetViews>
  <sheetFormatPr baseColWidth="10" defaultColWidth="9.140625" defaultRowHeight="15" x14ac:dyDescent="0.25"/>
  <cols>
    <col min="1" max="1" width="3"/>
    <col min="2" max="2" width="22.28515625"/>
    <col min="3" max="3" width="85.140625"/>
    <col min="4" max="4" width="15.7109375"/>
    <col min="5" max="6" width="0" hidden="1"/>
    <col min="7" max="7" width="16.42578125"/>
    <col min="8" max="8" width="12.85546875"/>
    <col min="9" max="9" width="12.5703125"/>
    <col min="10" max="10" width="12.7109375"/>
    <col min="11" max="1025" width="10.7109375"/>
  </cols>
  <sheetData>
    <row r="1" spans="1:17" ht="15.75" customHeight="1" x14ac:dyDescent="0.25"/>
    <row r="2" spans="1:17" ht="19.5" customHeight="1" x14ac:dyDescent="0.3">
      <c r="B2" s="1" t="s">
        <v>0</v>
      </c>
      <c r="C2" s="2" t="s">
        <v>1</v>
      </c>
      <c r="D2" s="2"/>
      <c r="E2" s="2"/>
      <c r="F2" s="2"/>
      <c r="G2" s="2" t="s">
        <v>2</v>
      </c>
      <c r="H2" s="62" t="s">
        <v>3</v>
      </c>
      <c r="I2" s="62"/>
      <c r="J2" s="62"/>
      <c r="K2" s="62"/>
      <c r="L2" s="62"/>
      <c r="M2" s="62"/>
      <c r="N2" s="62"/>
      <c r="O2" s="62"/>
      <c r="P2" s="62"/>
      <c r="Q2" s="62"/>
    </row>
    <row r="3" spans="1:17" ht="15" customHeight="1" x14ac:dyDescent="0.25">
      <c r="A3" s="3">
        <v>1</v>
      </c>
      <c r="B3" s="4" t="s">
        <v>4</v>
      </c>
      <c r="C3" s="5" t="s">
        <v>5</v>
      </c>
      <c r="D3" s="6"/>
      <c r="E3" s="6"/>
      <c r="F3" s="6"/>
      <c r="G3" s="6">
        <v>30</v>
      </c>
      <c r="H3" s="7" t="s">
        <v>6</v>
      </c>
      <c r="I3" s="8"/>
      <c r="J3" s="8"/>
      <c r="K3" s="8"/>
      <c r="L3" s="8"/>
      <c r="M3" s="8"/>
      <c r="N3" s="8"/>
      <c r="O3" s="8"/>
      <c r="P3" s="8"/>
      <c r="Q3" s="8"/>
    </row>
    <row r="4" spans="1:17" ht="15" customHeight="1" x14ac:dyDescent="0.25">
      <c r="A4" s="9">
        <v>2</v>
      </c>
      <c r="B4" s="4" t="s">
        <v>7</v>
      </c>
      <c r="C4" s="5" t="s">
        <v>8</v>
      </c>
      <c r="D4" s="6"/>
      <c r="E4" s="6"/>
      <c r="F4" s="6"/>
      <c r="G4" s="6">
        <v>30</v>
      </c>
      <c r="H4" s="7" t="s">
        <v>9</v>
      </c>
      <c r="I4" s="8"/>
      <c r="J4" s="8"/>
      <c r="K4" s="8"/>
      <c r="L4" s="8"/>
      <c r="M4" s="8"/>
      <c r="N4" s="8"/>
      <c r="O4" s="8"/>
      <c r="P4" s="8"/>
      <c r="Q4" s="8"/>
    </row>
    <row r="5" spans="1:17" ht="15" customHeight="1" x14ac:dyDescent="0.25">
      <c r="A5" s="9">
        <v>3</v>
      </c>
      <c r="B5" s="4" t="s">
        <v>10</v>
      </c>
      <c r="C5" s="5" t="s">
        <v>11</v>
      </c>
      <c r="D5" s="6"/>
      <c r="E5" s="6"/>
      <c r="F5" s="6"/>
      <c r="G5" s="6">
        <v>100</v>
      </c>
      <c r="H5" s="7" t="s">
        <v>12</v>
      </c>
      <c r="I5" s="8"/>
      <c r="J5" s="8"/>
      <c r="K5" s="8"/>
      <c r="L5" s="8"/>
      <c r="M5" s="8"/>
      <c r="N5" s="8"/>
      <c r="O5" s="8"/>
      <c r="P5" s="8"/>
      <c r="Q5" s="8"/>
    </row>
    <row r="6" spans="1:17" ht="15" customHeight="1" x14ac:dyDescent="0.25">
      <c r="A6" s="9">
        <v>4</v>
      </c>
      <c r="B6" s="4" t="s">
        <v>13</v>
      </c>
      <c r="C6" s="5" t="s">
        <v>14</v>
      </c>
      <c r="D6" s="6"/>
      <c r="E6" s="6"/>
      <c r="F6" s="6"/>
      <c r="G6" s="6">
        <v>100</v>
      </c>
      <c r="H6" s="7" t="s">
        <v>15</v>
      </c>
      <c r="I6" s="8"/>
      <c r="J6" s="8"/>
      <c r="K6" s="8"/>
      <c r="L6" s="8"/>
      <c r="M6" s="8"/>
      <c r="N6" s="8"/>
      <c r="O6" s="8"/>
      <c r="P6" s="8"/>
      <c r="Q6" s="8"/>
    </row>
    <row r="7" spans="1:17" ht="15" customHeight="1" x14ac:dyDescent="0.25">
      <c r="A7" s="9">
        <v>5</v>
      </c>
      <c r="B7" s="4" t="s">
        <v>16</v>
      </c>
      <c r="C7" s="5" t="s">
        <v>17</v>
      </c>
      <c r="D7" s="6"/>
      <c r="E7" s="6"/>
      <c r="F7" s="6"/>
      <c r="G7" s="6">
        <v>80</v>
      </c>
      <c r="H7" s="7" t="s">
        <v>18</v>
      </c>
      <c r="I7" s="8"/>
      <c r="J7" s="8"/>
      <c r="K7" s="8"/>
      <c r="L7" s="8"/>
      <c r="M7" s="8"/>
      <c r="N7" s="8"/>
      <c r="O7" s="8"/>
      <c r="P7" s="8"/>
      <c r="Q7" s="8"/>
    </row>
    <row r="8" spans="1:17" ht="15" customHeight="1" x14ac:dyDescent="0.25">
      <c r="A8" s="9">
        <v>6</v>
      </c>
      <c r="B8" s="4" t="s">
        <v>19</v>
      </c>
      <c r="C8" s="5" t="s">
        <v>20</v>
      </c>
      <c r="D8" s="6"/>
      <c r="E8" s="6"/>
      <c r="F8" s="6"/>
      <c r="G8" s="6">
        <v>85</v>
      </c>
      <c r="H8" s="7" t="s">
        <v>21</v>
      </c>
      <c r="I8" s="8"/>
      <c r="J8" s="8"/>
      <c r="K8" s="8"/>
      <c r="L8" s="8"/>
      <c r="M8" s="8"/>
      <c r="N8" s="8"/>
      <c r="O8" s="8"/>
      <c r="P8" s="8"/>
      <c r="Q8" s="8"/>
    </row>
    <row r="9" spans="1:17" ht="15" customHeight="1" x14ac:dyDescent="0.25">
      <c r="A9" s="9">
        <v>7</v>
      </c>
      <c r="B9" s="4" t="s">
        <v>22</v>
      </c>
      <c r="C9" s="5" t="s">
        <v>23</v>
      </c>
      <c r="D9" s="6"/>
      <c r="E9" s="6"/>
      <c r="F9" s="6"/>
      <c r="G9" s="6">
        <v>60</v>
      </c>
      <c r="H9" s="7" t="s">
        <v>24</v>
      </c>
      <c r="I9" s="8"/>
      <c r="J9" s="8"/>
      <c r="K9" s="8"/>
      <c r="L9" s="8"/>
      <c r="M9" s="8"/>
      <c r="N9" s="8"/>
      <c r="O9" s="8"/>
      <c r="P9" s="8"/>
      <c r="Q9" s="8"/>
    </row>
    <row r="10" spans="1:17" ht="15" customHeight="1" x14ac:dyDescent="0.25">
      <c r="A10" s="9">
        <v>8</v>
      </c>
      <c r="B10" s="4" t="s">
        <v>25</v>
      </c>
      <c r="C10" s="5" t="s">
        <v>26</v>
      </c>
      <c r="D10" s="6"/>
      <c r="E10" s="6"/>
      <c r="F10" s="6"/>
      <c r="G10" s="6">
        <v>50</v>
      </c>
      <c r="H10" s="7" t="s">
        <v>27</v>
      </c>
      <c r="I10" s="8"/>
      <c r="J10" s="8"/>
      <c r="K10" s="8"/>
      <c r="L10" s="8"/>
      <c r="M10" s="8"/>
      <c r="N10" s="8"/>
      <c r="O10" s="8"/>
      <c r="P10" s="8"/>
      <c r="Q10" s="8"/>
    </row>
    <row r="11" spans="1:17" ht="15" customHeight="1" x14ac:dyDescent="0.25">
      <c r="A11" s="9">
        <v>9</v>
      </c>
      <c r="B11" s="7"/>
      <c r="C11" s="10"/>
      <c r="D11" s="6"/>
      <c r="E11" s="6"/>
      <c r="F11" s="6"/>
      <c r="G11" s="6"/>
      <c r="H11" s="7"/>
      <c r="I11" s="8"/>
      <c r="J11" s="8"/>
      <c r="K11" s="8"/>
      <c r="L11" s="8"/>
      <c r="M11" s="8"/>
      <c r="N11" s="8"/>
      <c r="O11" s="8"/>
      <c r="P11" s="8"/>
      <c r="Q11" s="8"/>
    </row>
    <row r="12" spans="1:17" ht="15" customHeight="1" x14ac:dyDescent="0.25">
      <c r="A12" s="9">
        <v>10</v>
      </c>
      <c r="B12" s="7"/>
      <c r="C12" s="10"/>
      <c r="D12" s="6"/>
      <c r="E12" s="6"/>
      <c r="F12" s="6"/>
      <c r="G12" s="6"/>
      <c r="H12" s="7"/>
      <c r="I12" s="8"/>
      <c r="J12" s="8"/>
      <c r="K12" s="8"/>
      <c r="L12" s="8"/>
      <c r="M12" s="8"/>
      <c r="N12" s="8"/>
      <c r="O12" s="8"/>
      <c r="P12" s="8"/>
      <c r="Q12" s="8"/>
    </row>
    <row r="13" spans="1:17" ht="15" customHeight="1" x14ac:dyDescent="0.25">
      <c r="A13" s="9">
        <v>11</v>
      </c>
      <c r="B13" s="8"/>
      <c r="C13" s="11"/>
      <c r="D13" s="6"/>
      <c r="E13" s="6"/>
      <c r="F13" s="6"/>
      <c r="G13" s="6"/>
      <c r="H13" s="8"/>
      <c r="I13" s="8"/>
      <c r="J13" s="8"/>
      <c r="K13" s="8"/>
      <c r="L13" s="8"/>
      <c r="M13" s="8"/>
      <c r="N13" s="8"/>
      <c r="O13" s="8"/>
      <c r="P13" s="8"/>
      <c r="Q13" s="8"/>
    </row>
    <row r="14" spans="1:17" ht="15.75" customHeight="1" x14ac:dyDescent="0.25">
      <c r="A14" s="12">
        <v>12</v>
      </c>
      <c r="B14" s="7"/>
      <c r="C14" s="10"/>
      <c r="D14" s="6"/>
      <c r="E14" s="6"/>
      <c r="F14" s="6"/>
      <c r="G14" s="6"/>
      <c r="H14" s="7"/>
      <c r="I14" s="8"/>
      <c r="J14" s="8"/>
      <c r="K14" s="8"/>
      <c r="L14" s="8"/>
      <c r="M14" s="8"/>
      <c r="N14" s="8"/>
      <c r="O14" s="8"/>
      <c r="P14" s="8"/>
      <c r="Q14" s="8"/>
    </row>
    <row r="15" spans="1:17" ht="15" customHeight="1" x14ac:dyDescent="0.25">
      <c r="D15" s="13"/>
      <c r="E15" s="13"/>
      <c r="F15" s="13"/>
      <c r="G15" s="13"/>
    </row>
    <row r="16" spans="1:17" ht="15" customHeight="1" x14ac:dyDescent="0.25">
      <c r="D16" s="13"/>
      <c r="E16" s="13"/>
      <c r="F16" s="13"/>
      <c r="G16" s="13"/>
    </row>
    <row r="17" spans="1:17" ht="15.75" customHeight="1" x14ac:dyDescent="0.25">
      <c r="D17" s="13"/>
      <c r="E17" s="13"/>
      <c r="F17" s="13"/>
      <c r="G17" s="13"/>
    </row>
    <row r="18" spans="1:17" ht="19.5" customHeight="1" x14ac:dyDescent="0.3">
      <c r="B18" s="14" t="s">
        <v>0</v>
      </c>
      <c r="C18" s="15" t="s">
        <v>1</v>
      </c>
      <c r="D18" s="15"/>
      <c r="E18" s="15"/>
      <c r="F18" s="15"/>
      <c r="G18" s="15" t="s">
        <v>2</v>
      </c>
      <c r="H18" s="63" t="s">
        <v>3</v>
      </c>
      <c r="I18" s="63"/>
      <c r="J18" s="63"/>
      <c r="K18" s="63"/>
      <c r="L18" s="63"/>
      <c r="M18" s="63"/>
      <c r="N18" s="63"/>
      <c r="O18" s="63"/>
      <c r="P18" s="63"/>
      <c r="Q18" s="63"/>
    </row>
    <row r="19" spans="1:17" ht="15" customHeight="1" x14ac:dyDescent="0.25">
      <c r="A19" s="16">
        <v>1</v>
      </c>
      <c r="B19" s="17" t="s">
        <v>28</v>
      </c>
      <c r="C19" s="18" t="s">
        <v>29</v>
      </c>
      <c r="D19" s="19"/>
      <c r="E19" s="19"/>
      <c r="F19" s="19"/>
      <c r="G19" s="19">
        <f>250*C50</f>
        <v>320</v>
      </c>
      <c r="H19" s="64" t="s">
        <v>30</v>
      </c>
      <c r="I19" s="64"/>
      <c r="J19" s="64"/>
      <c r="K19" s="64"/>
      <c r="L19" s="64"/>
      <c r="M19" s="64"/>
      <c r="N19" s="64"/>
      <c r="O19" s="64"/>
      <c r="P19" s="64"/>
      <c r="Q19" s="64"/>
    </row>
    <row r="20" spans="1:17" ht="15" customHeight="1" x14ac:dyDescent="0.25">
      <c r="A20" s="20">
        <v>2</v>
      </c>
      <c r="B20" s="21" t="s">
        <v>31</v>
      </c>
      <c r="C20" s="22" t="s">
        <v>32</v>
      </c>
      <c r="D20" s="23"/>
      <c r="E20" s="23"/>
      <c r="F20" s="23"/>
      <c r="G20" s="23">
        <v>260</v>
      </c>
      <c r="H20" s="61" t="s">
        <v>33</v>
      </c>
      <c r="I20" s="61"/>
      <c r="J20" s="61"/>
      <c r="K20" s="61"/>
      <c r="L20" s="61"/>
      <c r="M20" s="61"/>
      <c r="N20" s="61"/>
      <c r="O20" s="61"/>
      <c r="P20" s="61"/>
      <c r="Q20" s="61"/>
    </row>
    <row r="21" spans="1:17" ht="15" customHeight="1" x14ac:dyDescent="0.25">
      <c r="A21" s="20">
        <v>3</v>
      </c>
      <c r="B21" s="21" t="s">
        <v>34</v>
      </c>
      <c r="C21" s="22" t="s">
        <v>35</v>
      </c>
      <c r="D21" s="23"/>
      <c r="E21" s="23"/>
      <c r="F21" s="23"/>
      <c r="G21" s="23">
        <v>225</v>
      </c>
      <c r="H21" s="61" t="s">
        <v>36</v>
      </c>
      <c r="I21" s="61"/>
      <c r="J21" s="61"/>
      <c r="K21" s="61"/>
      <c r="L21" s="61"/>
      <c r="M21" s="61"/>
      <c r="N21" s="61"/>
      <c r="O21" s="61"/>
      <c r="P21" s="61"/>
      <c r="Q21" s="61"/>
    </row>
    <row r="22" spans="1:17" ht="15" customHeight="1" x14ac:dyDescent="0.25">
      <c r="A22" s="20">
        <v>4</v>
      </c>
      <c r="B22" s="21" t="s">
        <v>37</v>
      </c>
      <c r="C22" s="22" t="s">
        <v>38</v>
      </c>
      <c r="D22" s="23"/>
      <c r="E22" s="23"/>
      <c r="F22" s="23"/>
      <c r="G22" s="23">
        <v>310</v>
      </c>
      <c r="H22" s="61" t="s">
        <v>39</v>
      </c>
      <c r="I22" s="61"/>
      <c r="J22" s="61"/>
      <c r="K22" s="61"/>
      <c r="L22" s="61"/>
      <c r="M22" s="61"/>
      <c r="N22" s="61"/>
      <c r="O22" s="61"/>
      <c r="P22" s="61"/>
      <c r="Q22" s="61"/>
    </row>
    <row r="23" spans="1:17" ht="15" customHeight="1" x14ac:dyDescent="0.25">
      <c r="A23" s="20">
        <v>5</v>
      </c>
      <c r="B23" s="21" t="s">
        <v>40</v>
      </c>
      <c r="C23" s="22" t="s">
        <v>41</v>
      </c>
      <c r="D23" s="23"/>
      <c r="E23" s="23"/>
      <c r="F23" s="23"/>
      <c r="G23" s="23">
        <v>285</v>
      </c>
      <c r="H23" s="61" t="s">
        <v>42</v>
      </c>
      <c r="I23" s="61"/>
      <c r="J23" s="61"/>
      <c r="K23" s="61"/>
      <c r="L23" s="61"/>
      <c r="M23" s="61"/>
      <c r="N23" s="61"/>
      <c r="O23" s="61"/>
      <c r="P23" s="61"/>
      <c r="Q23" s="61"/>
    </row>
    <row r="24" spans="1:17" ht="15" customHeight="1" x14ac:dyDescent="0.25">
      <c r="A24" s="20">
        <v>6</v>
      </c>
      <c r="B24" s="21" t="s">
        <v>43</v>
      </c>
      <c r="C24" s="22" t="s">
        <v>44</v>
      </c>
      <c r="D24" s="23"/>
      <c r="E24" s="23"/>
      <c r="F24" s="23"/>
      <c r="G24" s="23">
        <v>270</v>
      </c>
      <c r="H24" s="61" t="s">
        <v>45</v>
      </c>
      <c r="I24" s="61"/>
      <c r="J24" s="61"/>
      <c r="K24" s="61"/>
      <c r="L24" s="61"/>
      <c r="M24" s="61"/>
      <c r="N24" s="61"/>
      <c r="O24" s="61"/>
      <c r="P24" s="61"/>
      <c r="Q24" s="61"/>
    </row>
    <row r="25" spans="1:17" ht="15" customHeight="1" x14ac:dyDescent="0.25">
      <c r="A25" s="20">
        <v>7</v>
      </c>
      <c r="B25" s="21" t="s">
        <v>46</v>
      </c>
      <c r="C25" s="22" t="s">
        <v>47</v>
      </c>
      <c r="D25" s="23"/>
      <c r="E25" s="23"/>
      <c r="F25" s="23"/>
      <c r="G25" s="23">
        <v>360</v>
      </c>
      <c r="H25" s="61" t="s">
        <v>48</v>
      </c>
      <c r="I25" s="61"/>
      <c r="J25" s="61"/>
      <c r="K25" s="61"/>
      <c r="L25" s="61"/>
      <c r="M25" s="61"/>
      <c r="N25" s="61"/>
      <c r="O25" s="61"/>
      <c r="P25" s="61"/>
      <c r="Q25" s="61"/>
    </row>
    <row r="26" spans="1:17" ht="15" customHeight="1" x14ac:dyDescent="0.25">
      <c r="A26" s="20">
        <v>8</v>
      </c>
      <c r="B26" s="21" t="s">
        <v>49</v>
      </c>
      <c r="C26" s="22" t="s">
        <v>50</v>
      </c>
      <c r="D26" s="23"/>
      <c r="E26" s="23"/>
      <c r="F26" s="23"/>
      <c r="G26" s="23">
        <v>215</v>
      </c>
      <c r="H26" s="61" t="s">
        <v>51</v>
      </c>
      <c r="I26" s="61"/>
      <c r="J26" s="61"/>
      <c r="K26" s="61"/>
      <c r="L26" s="61"/>
      <c r="M26" s="61"/>
      <c r="N26" s="61"/>
      <c r="O26" s="61"/>
      <c r="P26" s="61"/>
      <c r="Q26" s="61"/>
    </row>
    <row r="27" spans="1:17" ht="15" customHeight="1" x14ac:dyDescent="0.25">
      <c r="A27" s="20">
        <v>9</v>
      </c>
      <c r="B27" s="21" t="s">
        <v>52</v>
      </c>
      <c r="C27" s="22" t="s">
        <v>53</v>
      </c>
      <c r="D27" s="23"/>
      <c r="E27" s="23"/>
      <c r="F27" s="23"/>
      <c r="G27" s="23">
        <v>185</v>
      </c>
      <c r="H27" s="61" t="s">
        <v>54</v>
      </c>
      <c r="I27" s="61"/>
      <c r="J27" s="61"/>
      <c r="K27" s="61"/>
      <c r="L27" s="61"/>
      <c r="M27" s="61"/>
      <c r="N27" s="61"/>
      <c r="O27" s="61"/>
      <c r="P27" s="61"/>
      <c r="Q27" s="61"/>
    </row>
    <row r="28" spans="1:17" ht="15" customHeight="1" x14ac:dyDescent="0.25">
      <c r="A28" s="20">
        <v>10</v>
      </c>
      <c r="B28" s="21" t="s">
        <v>55</v>
      </c>
      <c r="C28" s="22" t="s">
        <v>56</v>
      </c>
      <c r="D28" s="23"/>
      <c r="E28" s="23"/>
      <c r="F28" s="23"/>
      <c r="G28" s="23">
        <v>210</v>
      </c>
      <c r="H28" s="61" t="s">
        <v>57</v>
      </c>
      <c r="I28" s="61"/>
      <c r="J28" s="61"/>
      <c r="K28" s="61"/>
      <c r="L28" s="61"/>
      <c r="M28" s="61"/>
      <c r="N28" s="61"/>
      <c r="O28" s="61"/>
      <c r="P28" s="61"/>
      <c r="Q28" s="61"/>
    </row>
    <row r="29" spans="1:17" ht="15" customHeight="1" x14ac:dyDescent="0.25">
      <c r="A29" s="20">
        <v>11</v>
      </c>
      <c r="B29" s="21" t="s">
        <v>58</v>
      </c>
      <c r="C29" s="22" t="s">
        <v>59</v>
      </c>
      <c r="D29" s="23"/>
      <c r="E29" s="23"/>
      <c r="F29" s="23"/>
      <c r="G29" s="23">
        <v>300</v>
      </c>
      <c r="H29" s="61" t="s">
        <v>60</v>
      </c>
      <c r="I29" s="61"/>
      <c r="J29" s="61"/>
      <c r="K29" s="61"/>
      <c r="L29" s="61"/>
      <c r="M29" s="61"/>
      <c r="N29" s="61"/>
      <c r="O29" s="61"/>
      <c r="P29" s="61"/>
      <c r="Q29" s="61"/>
    </row>
    <row r="30" spans="1:17" ht="15.75" customHeight="1" x14ac:dyDescent="0.25">
      <c r="A30" s="24">
        <v>12</v>
      </c>
      <c r="B30" s="21" t="s">
        <v>61</v>
      </c>
      <c r="C30" s="22" t="s">
        <v>62</v>
      </c>
      <c r="D30" s="23"/>
      <c r="E30" s="23"/>
      <c r="F30" s="23"/>
      <c r="G30" s="23">
        <v>265</v>
      </c>
      <c r="H30" s="61" t="s">
        <v>63</v>
      </c>
      <c r="I30" s="61"/>
      <c r="J30" s="61"/>
      <c r="K30" s="61"/>
      <c r="L30" s="61"/>
      <c r="M30" s="61"/>
      <c r="N30" s="61"/>
      <c r="O30" s="61"/>
      <c r="P30" s="61"/>
      <c r="Q30" s="61"/>
    </row>
    <row r="31" spans="1:17" ht="15.75" customHeight="1" x14ac:dyDescent="0.25">
      <c r="C31" s="25"/>
      <c r="D31" s="26"/>
      <c r="E31" s="26"/>
      <c r="F31" s="26"/>
      <c r="G31" s="26"/>
    </row>
    <row r="32" spans="1:17" ht="19.5" customHeight="1" x14ac:dyDescent="0.3">
      <c r="B32" s="1" t="s">
        <v>0</v>
      </c>
      <c r="C32" s="27" t="s">
        <v>1</v>
      </c>
      <c r="D32" s="27"/>
      <c r="E32" s="27" t="s">
        <v>2</v>
      </c>
      <c r="F32" s="27" t="s">
        <v>64</v>
      </c>
      <c r="G32" s="27" t="s">
        <v>2</v>
      </c>
      <c r="H32" s="62" t="s">
        <v>3</v>
      </c>
      <c r="I32" s="62"/>
      <c r="J32" s="62"/>
      <c r="K32" s="62"/>
      <c r="L32" s="62"/>
      <c r="M32" s="62"/>
      <c r="N32" s="62"/>
      <c r="O32" s="62"/>
      <c r="P32" s="62"/>
      <c r="Q32" s="62"/>
    </row>
    <row r="33" spans="1:17" ht="15" customHeight="1" x14ac:dyDescent="0.25">
      <c r="A33" s="3">
        <v>1</v>
      </c>
      <c r="B33" s="4" t="s">
        <v>65</v>
      </c>
      <c r="C33" s="22" t="s">
        <v>66</v>
      </c>
      <c r="D33" s="22"/>
      <c r="E33" s="22">
        <f>240+375+200</f>
        <v>815</v>
      </c>
      <c r="F33" s="22">
        <f>G20+G21</f>
        <v>485</v>
      </c>
      <c r="G33" s="28">
        <f>MROUND((20*C47+18*C52+15*C60)*I47,20)</f>
        <v>1520</v>
      </c>
      <c r="H33" s="8" t="s">
        <v>67</v>
      </c>
      <c r="I33" s="8"/>
      <c r="J33" s="8"/>
      <c r="K33" s="8"/>
      <c r="L33" s="8"/>
      <c r="M33" s="8"/>
      <c r="N33" s="8"/>
      <c r="O33" s="8"/>
      <c r="P33" s="8"/>
      <c r="Q33" s="8"/>
    </row>
    <row r="34" spans="1:17" ht="15" customHeight="1" x14ac:dyDescent="0.25">
      <c r="A34" s="9">
        <v>2</v>
      </c>
      <c r="B34" s="4" t="s">
        <v>68</v>
      </c>
      <c r="C34" s="22" t="s">
        <v>69</v>
      </c>
      <c r="D34" s="22"/>
      <c r="E34" s="22">
        <f>5*40 + 8*72</f>
        <v>776</v>
      </c>
      <c r="F34" s="22">
        <f>G20+G28</f>
        <v>470</v>
      </c>
      <c r="G34" s="29">
        <f>MROUND((17*C47+300*C51+35*C61)*I47,20)</f>
        <v>1260</v>
      </c>
      <c r="H34" s="8" t="s">
        <v>70</v>
      </c>
      <c r="I34" s="8"/>
      <c r="J34" s="8"/>
      <c r="K34" s="8"/>
      <c r="L34" s="8"/>
      <c r="M34" s="8"/>
      <c r="N34" s="8"/>
      <c r="O34" s="8"/>
      <c r="P34" s="8"/>
      <c r="Q34" s="8"/>
    </row>
    <row r="35" spans="1:17" ht="15" customHeight="1" x14ac:dyDescent="0.25">
      <c r="A35" s="9">
        <v>3</v>
      </c>
      <c r="B35" s="4" t="s">
        <v>71</v>
      </c>
      <c r="C35" s="22" t="s">
        <v>72</v>
      </c>
      <c r="D35" s="23"/>
      <c r="E35" s="23">
        <f>400+6*50</f>
        <v>700</v>
      </c>
      <c r="F35" s="23">
        <f>G22+G24</f>
        <v>580</v>
      </c>
      <c r="G35" s="29">
        <f>MROUND((35*C53+26*C48+3*C62)*I47,20)</f>
        <v>2240</v>
      </c>
      <c r="H35" s="8" t="s">
        <v>73</v>
      </c>
      <c r="I35" s="8"/>
      <c r="J35" s="8"/>
      <c r="K35" s="8"/>
      <c r="L35" s="8"/>
      <c r="M35" s="8"/>
      <c r="N35" s="8"/>
      <c r="O35" s="8"/>
      <c r="P35" s="8"/>
      <c r="Q35" s="8"/>
    </row>
    <row r="36" spans="1:17" ht="15" customHeight="1" x14ac:dyDescent="0.25">
      <c r="A36" s="9">
        <v>4</v>
      </c>
      <c r="B36" s="4" t="s">
        <v>74</v>
      </c>
      <c r="C36" s="22" t="s">
        <v>75</v>
      </c>
      <c r="D36" s="23"/>
      <c r="E36" s="23">
        <f>400+6*75</f>
        <v>850</v>
      </c>
      <c r="F36" s="23">
        <f>G21+G22</f>
        <v>535</v>
      </c>
      <c r="G36" s="29">
        <f>MROUND((15*C53+23*C52+10*C63)*I47,20)</f>
        <v>1680</v>
      </c>
      <c r="H36" s="8" t="s">
        <v>76</v>
      </c>
      <c r="I36" s="8"/>
      <c r="J36" s="8"/>
      <c r="K36" s="8"/>
      <c r="L36" s="8"/>
      <c r="M36" s="8"/>
      <c r="N36" s="8"/>
      <c r="O36" s="8"/>
      <c r="P36" s="8"/>
      <c r="Q36" s="8"/>
    </row>
    <row r="37" spans="1:17" ht="15" customHeight="1" x14ac:dyDescent="0.25">
      <c r="A37" s="9">
        <v>5</v>
      </c>
      <c r="B37" s="4" t="s">
        <v>77</v>
      </c>
      <c r="C37" s="22" t="s">
        <v>78</v>
      </c>
      <c r="D37" s="23"/>
      <c r="E37" s="23">
        <f>15*25 + 8*50 + 100</f>
        <v>875</v>
      </c>
      <c r="F37" s="23">
        <f>G23+G24</f>
        <v>555</v>
      </c>
      <c r="G37" s="60">
        <f>MROUND((47*C54+16*C48+0.75*C64)*I47,20)</f>
        <v>1900</v>
      </c>
      <c r="H37" s="8" t="s">
        <v>79</v>
      </c>
      <c r="I37" s="8"/>
      <c r="J37" s="8"/>
      <c r="K37" s="8"/>
      <c r="L37" s="8"/>
      <c r="M37" s="8"/>
      <c r="N37" s="8"/>
      <c r="O37" s="8"/>
      <c r="P37" s="8"/>
      <c r="Q37" s="8"/>
    </row>
    <row r="38" spans="1:17" ht="15" customHeight="1" x14ac:dyDescent="0.25">
      <c r="A38" s="9">
        <v>6</v>
      </c>
      <c r="B38" s="4" t="s">
        <v>80</v>
      </c>
      <c r="C38" s="22" t="s">
        <v>81</v>
      </c>
      <c r="D38" s="23"/>
      <c r="E38" s="23">
        <f>3*50+2*75+200</f>
        <v>500</v>
      </c>
      <c r="F38" s="23">
        <f>G30+G25</f>
        <v>625</v>
      </c>
      <c r="G38" s="29">
        <f>MROUND((150*C50+(80+60+35)*C65)*I47,20)</f>
        <v>1320</v>
      </c>
      <c r="H38" s="8" t="s">
        <v>82</v>
      </c>
      <c r="I38" s="8"/>
      <c r="J38" s="8"/>
      <c r="K38" s="8"/>
      <c r="L38" s="8"/>
      <c r="M38" s="8"/>
      <c r="N38" s="8"/>
      <c r="O38" s="8"/>
      <c r="P38" s="8"/>
      <c r="Q38" s="8"/>
    </row>
    <row r="39" spans="1:17" ht="15" customHeight="1" x14ac:dyDescent="0.25">
      <c r="A39" s="9">
        <v>7</v>
      </c>
      <c r="B39" s="4" t="s">
        <v>83</v>
      </c>
      <c r="C39" s="22" t="s">
        <v>84</v>
      </c>
      <c r="D39" s="23"/>
      <c r="E39" s="23">
        <f>15*25 + 7*40</f>
        <v>655</v>
      </c>
      <c r="F39" s="23">
        <f>G23+G28</f>
        <v>495</v>
      </c>
      <c r="G39" s="29">
        <f>MROUND((62*C54+31*C49+32*C66)*I47,20)</f>
        <v>2320</v>
      </c>
      <c r="H39" s="8" t="s">
        <v>85</v>
      </c>
      <c r="I39" s="8"/>
      <c r="J39" s="8"/>
      <c r="K39" s="8"/>
      <c r="L39" s="8"/>
      <c r="M39" s="8"/>
      <c r="N39" s="8"/>
      <c r="O39" s="8"/>
      <c r="P39" s="8"/>
      <c r="Q39" s="8"/>
    </row>
    <row r="40" spans="1:17" ht="15" customHeight="1" x14ac:dyDescent="0.25">
      <c r="A40" s="9">
        <v>8</v>
      </c>
      <c r="B40" s="4" t="s">
        <v>86</v>
      </c>
      <c r="C40" s="22" t="s">
        <v>87</v>
      </c>
      <c r="D40" s="23"/>
      <c r="E40" s="23">
        <f>3*50+75+10*25+200</f>
        <v>675</v>
      </c>
      <c r="F40" s="23">
        <f>G25+G26</f>
        <v>575</v>
      </c>
      <c r="G40" s="29">
        <f>MROUND((12*C55+95*C54+35*C56+8*C67)*I47,20)</f>
        <v>2440</v>
      </c>
      <c r="H40" s="8" t="s">
        <v>88</v>
      </c>
      <c r="I40" s="8"/>
      <c r="J40" s="8"/>
      <c r="K40" s="8"/>
      <c r="L40" s="8"/>
      <c r="M40" s="8"/>
      <c r="N40" s="8"/>
      <c r="O40" s="8"/>
      <c r="P40" s="8"/>
      <c r="Q40" s="8"/>
    </row>
    <row r="41" spans="1:17" ht="15" customHeight="1" x14ac:dyDescent="0.25">
      <c r="A41" s="9">
        <v>9</v>
      </c>
      <c r="B41" s="4" t="s">
        <v>89</v>
      </c>
      <c r="C41" s="22" t="s">
        <v>90</v>
      </c>
      <c r="D41" s="23"/>
      <c r="E41" s="23">
        <f>10*72 + 150</f>
        <v>870</v>
      </c>
      <c r="F41" s="23">
        <f>G27+G29</f>
        <v>485</v>
      </c>
      <c r="G41" s="29">
        <f>MROUND((400+C51+165*C68)*I47,20)</f>
        <v>980</v>
      </c>
      <c r="H41" s="8" t="s">
        <v>91</v>
      </c>
      <c r="I41" s="8"/>
      <c r="J41" s="8"/>
      <c r="K41" s="8"/>
      <c r="L41" s="8"/>
      <c r="M41" s="8"/>
      <c r="N41" s="8"/>
      <c r="O41" s="8"/>
      <c r="P41" s="8"/>
      <c r="Q41" s="8"/>
    </row>
    <row r="42" spans="1:17" ht="15" customHeight="1" x14ac:dyDescent="0.25">
      <c r="A42" s="9">
        <v>10</v>
      </c>
      <c r="B42" s="4" t="s">
        <v>92</v>
      </c>
      <c r="C42" s="22" t="s">
        <v>93</v>
      </c>
      <c r="D42" s="23"/>
      <c r="E42" s="23">
        <f>6*40 + 6*60+4*72</f>
        <v>888</v>
      </c>
      <c r="F42" s="23">
        <f>G19+G28</f>
        <v>530</v>
      </c>
      <c r="G42" s="29">
        <f>MROUND((21*C49+300*C50+150*C51+10*C69)*I47,20)</f>
        <v>1340</v>
      </c>
      <c r="H42" s="8" t="s">
        <v>94</v>
      </c>
      <c r="I42" s="8"/>
      <c r="J42" s="8"/>
      <c r="K42" s="8"/>
      <c r="L42" s="8"/>
      <c r="M42" s="8"/>
      <c r="N42" s="8"/>
      <c r="O42" s="8"/>
      <c r="P42" s="8"/>
      <c r="Q42" s="8"/>
    </row>
    <row r="43" spans="1:17" ht="15" customHeight="1" x14ac:dyDescent="0.25">
      <c r="A43" s="9">
        <v>11</v>
      </c>
      <c r="B43" s="4" t="s">
        <v>95</v>
      </c>
      <c r="C43" s="22" t="s">
        <v>96</v>
      </c>
      <c r="D43" s="23"/>
      <c r="E43" s="23">
        <f>8*60+2*72+200</f>
        <v>824</v>
      </c>
      <c r="F43" s="23">
        <f>G19+G29</f>
        <v>620</v>
      </c>
      <c r="G43" s="29">
        <f>MROUND((200*C50+31*C52+30*C70)*I47,20)</f>
        <v>1840</v>
      </c>
      <c r="H43" s="8" t="s">
        <v>97</v>
      </c>
      <c r="I43" s="8"/>
      <c r="J43" s="8"/>
      <c r="K43" s="8"/>
      <c r="L43" s="8"/>
      <c r="M43" s="8"/>
      <c r="N43" s="8"/>
      <c r="O43" s="8"/>
      <c r="P43" s="8"/>
      <c r="Q43" s="8"/>
    </row>
    <row r="44" spans="1:17" ht="15.75" customHeight="1" x14ac:dyDescent="0.25">
      <c r="A44" s="12">
        <v>12</v>
      </c>
      <c r="B44" s="30" t="s">
        <v>98</v>
      </c>
      <c r="C44" s="22" t="s">
        <v>99</v>
      </c>
      <c r="D44" s="23"/>
      <c r="E44" s="23">
        <f>240+250</f>
        <v>490</v>
      </c>
      <c r="F44" s="23">
        <f>G26+G29</f>
        <v>515</v>
      </c>
      <c r="G44" s="29">
        <f>MROUND((60*C56+5*C71)*I47,20)</f>
        <v>620</v>
      </c>
      <c r="H44" s="8" t="s">
        <v>100</v>
      </c>
      <c r="I44" s="8"/>
      <c r="J44" s="8"/>
      <c r="K44" s="8"/>
      <c r="L44" s="8"/>
      <c r="M44" s="8"/>
      <c r="N44" s="8"/>
      <c r="O44" s="8"/>
      <c r="P44" s="8"/>
      <c r="Q44" s="8"/>
    </row>
    <row r="45" spans="1:17" ht="15.75" customHeight="1" x14ac:dyDescent="0.25"/>
    <row r="46" spans="1:17" ht="15" customHeight="1" x14ac:dyDescent="0.25">
      <c r="B46" s="31"/>
      <c r="C46" s="32" t="s">
        <v>101</v>
      </c>
      <c r="D46" s="33" t="s">
        <v>102</v>
      </c>
      <c r="E46" s="34"/>
      <c r="F46" s="34"/>
      <c r="G46" s="33" t="s">
        <v>103</v>
      </c>
      <c r="I46" s="35" t="s">
        <v>104</v>
      </c>
      <c r="J46" s="36"/>
    </row>
    <row r="47" spans="1:17" ht="15.75" customHeight="1" x14ac:dyDescent="0.25">
      <c r="B47" s="37" t="s">
        <v>105</v>
      </c>
      <c r="C47" s="38">
        <v>32.5</v>
      </c>
      <c r="D47" s="34">
        <v>8</v>
      </c>
      <c r="E47" s="34"/>
      <c r="F47" s="34"/>
      <c r="G47" s="39">
        <f t="shared" ref="G47:G56" si="0">D47*C47</f>
        <v>260</v>
      </c>
      <c r="I47" s="40">
        <v>0.9</v>
      </c>
      <c r="J47" s="41"/>
    </row>
    <row r="48" spans="1:17" ht="15" customHeight="1" x14ac:dyDescent="0.25">
      <c r="B48" s="37" t="s">
        <v>106</v>
      </c>
      <c r="C48" s="38">
        <v>45</v>
      </c>
      <c r="D48" s="34">
        <v>6</v>
      </c>
      <c r="E48" s="34"/>
      <c r="F48" s="34"/>
      <c r="G48" s="39">
        <f t="shared" si="0"/>
        <v>270</v>
      </c>
      <c r="I48" s="42"/>
      <c r="J48" s="41"/>
    </row>
    <row r="49" spans="2:10" ht="15" customHeight="1" x14ac:dyDescent="0.25">
      <c r="B49" s="37" t="s">
        <v>107</v>
      </c>
      <c r="C49" s="38">
        <v>30</v>
      </c>
      <c r="D49" s="34">
        <v>7</v>
      </c>
      <c r="E49" s="34"/>
      <c r="F49" s="34"/>
      <c r="G49" s="39">
        <f t="shared" si="0"/>
        <v>210</v>
      </c>
      <c r="I49" s="42"/>
      <c r="J49" s="41"/>
    </row>
    <row r="50" spans="2:10" ht="15" customHeight="1" x14ac:dyDescent="0.25">
      <c r="B50" s="37" t="s">
        <v>108</v>
      </c>
      <c r="C50" s="38">
        <v>1.28</v>
      </c>
      <c r="D50" s="34">
        <v>250</v>
      </c>
      <c r="E50" s="34"/>
      <c r="F50" s="34"/>
      <c r="G50" s="39">
        <f t="shared" si="0"/>
        <v>320</v>
      </c>
      <c r="I50" s="42"/>
      <c r="J50" s="41"/>
    </row>
    <row r="51" spans="2:10" ht="15" customHeight="1" x14ac:dyDescent="0.25">
      <c r="B51" s="37" t="s">
        <v>109</v>
      </c>
      <c r="C51" s="38">
        <v>1.85</v>
      </c>
      <c r="D51" s="34">
        <v>100</v>
      </c>
      <c r="E51" s="34"/>
      <c r="F51" s="34"/>
      <c r="G51" s="39">
        <f t="shared" si="0"/>
        <v>185</v>
      </c>
      <c r="I51" s="42"/>
      <c r="J51" s="41"/>
    </row>
    <row r="52" spans="2:10" ht="15" customHeight="1" x14ac:dyDescent="0.25">
      <c r="B52" s="37" t="s">
        <v>110</v>
      </c>
      <c r="C52" s="38">
        <v>45</v>
      </c>
      <c r="D52" s="34">
        <v>5</v>
      </c>
      <c r="E52" s="34"/>
      <c r="F52" s="34"/>
      <c r="G52" s="39">
        <f t="shared" si="0"/>
        <v>225</v>
      </c>
      <c r="I52" s="42"/>
      <c r="J52" s="41"/>
    </row>
    <row r="53" spans="2:10" ht="15" customHeight="1" x14ac:dyDescent="0.25">
      <c r="B53" s="37" t="s">
        <v>111</v>
      </c>
      <c r="C53" s="38">
        <v>31</v>
      </c>
      <c r="D53" s="34">
        <v>10</v>
      </c>
      <c r="E53" s="34"/>
      <c r="F53" s="34"/>
      <c r="G53" s="39">
        <f t="shared" si="0"/>
        <v>310</v>
      </c>
      <c r="I53" s="42"/>
      <c r="J53" s="41"/>
    </row>
    <row r="54" spans="2:10" ht="15" customHeight="1" x14ac:dyDescent="0.25">
      <c r="B54" s="37" t="s">
        <v>112</v>
      </c>
      <c r="C54" s="38">
        <v>19</v>
      </c>
      <c r="D54" s="34">
        <v>15</v>
      </c>
      <c r="E54" s="34"/>
      <c r="F54" s="34"/>
      <c r="G54" s="39">
        <f t="shared" si="0"/>
        <v>285</v>
      </c>
      <c r="I54" s="42"/>
      <c r="J54" s="41"/>
    </row>
    <row r="55" spans="2:10" ht="15" customHeight="1" x14ac:dyDescent="0.25">
      <c r="B55" s="37" t="s">
        <v>113</v>
      </c>
      <c r="C55" s="38">
        <v>24</v>
      </c>
      <c r="D55" s="34">
        <v>15</v>
      </c>
      <c r="E55" s="34"/>
      <c r="F55" s="34"/>
      <c r="G55" s="39">
        <f t="shared" si="0"/>
        <v>360</v>
      </c>
      <c r="I55" s="42"/>
      <c r="J55" s="41"/>
    </row>
    <row r="56" spans="2:10" ht="15.75" customHeight="1" x14ac:dyDescent="0.25">
      <c r="B56" s="37" t="s">
        <v>114</v>
      </c>
      <c r="C56" s="38">
        <v>5.375</v>
      </c>
      <c r="D56" s="34">
        <v>40</v>
      </c>
      <c r="E56" s="34"/>
      <c r="F56" s="34"/>
      <c r="G56" s="39">
        <f t="shared" si="0"/>
        <v>215</v>
      </c>
      <c r="I56" s="42"/>
      <c r="J56" s="41"/>
    </row>
    <row r="58" spans="2:10" ht="15.75" customHeight="1" x14ac:dyDescent="0.25"/>
    <row r="59" spans="2:10" ht="15" customHeight="1" x14ac:dyDescent="0.25">
      <c r="B59" s="37" t="s">
        <v>115</v>
      </c>
      <c r="C59" s="43" t="s">
        <v>116</v>
      </c>
      <c r="D59" s="44" t="s">
        <v>117</v>
      </c>
      <c r="E59" s="45"/>
      <c r="F59" s="45"/>
      <c r="G59" s="44" t="s">
        <v>103</v>
      </c>
      <c r="H59" s="36"/>
    </row>
    <row r="60" spans="2:10" ht="15" customHeight="1" x14ac:dyDescent="0.25">
      <c r="B60" s="37" t="s">
        <v>118</v>
      </c>
      <c r="C60" s="38">
        <v>15</v>
      </c>
      <c r="D60" s="46">
        <v>15</v>
      </c>
      <c r="E60" s="45"/>
      <c r="F60" s="45"/>
      <c r="G60" s="47">
        <f t="shared" ref="G60:G71" si="1">D60*C60</f>
        <v>225</v>
      </c>
      <c r="H60" s="48"/>
    </row>
    <row r="61" spans="2:10" ht="15" customHeight="1" x14ac:dyDescent="0.25">
      <c r="B61" s="37" t="s">
        <v>119</v>
      </c>
      <c r="C61" s="38">
        <v>8.5</v>
      </c>
      <c r="D61" s="46">
        <v>35</v>
      </c>
      <c r="E61" s="45"/>
      <c r="F61" s="45"/>
      <c r="G61" s="47">
        <f t="shared" si="1"/>
        <v>297.5</v>
      </c>
      <c r="H61" s="48"/>
    </row>
    <row r="62" spans="2:10" ht="15" customHeight="1" x14ac:dyDescent="0.25">
      <c r="B62" s="37" t="s">
        <v>120</v>
      </c>
      <c r="C62" s="38">
        <v>75</v>
      </c>
      <c r="D62" s="46">
        <v>3</v>
      </c>
      <c r="E62" s="45"/>
      <c r="F62" s="45"/>
      <c r="G62" s="47">
        <f t="shared" si="1"/>
        <v>225</v>
      </c>
      <c r="H62" s="48"/>
    </row>
    <row r="63" spans="2:10" ht="15" customHeight="1" x14ac:dyDescent="0.25">
      <c r="B63" s="37" t="s">
        <v>121</v>
      </c>
      <c r="C63" s="38">
        <v>37</v>
      </c>
      <c r="D63" s="46">
        <v>10</v>
      </c>
      <c r="E63" s="45"/>
      <c r="F63" s="45"/>
      <c r="G63" s="47">
        <f t="shared" si="1"/>
        <v>370</v>
      </c>
      <c r="H63" s="48"/>
    </row>
    <row r="64" spans="2:10" ht="15" customHeight="1" x14ac:dyDescent="0.25">
      <c r="B64" s="37" t="s">
        <v>122</v>
      </c>
      <c r="C64" s="38">
        <v>650</v>
      </c>
      <c r="D64" s="46">
        <v>0.75</v>
      </c>
      <c r="E64" s="45"/>
      <c r="F64" s="45"/>
      <c r="G64" s="47">
        <f t="shared" si="1"/>
        <v>487.5</v>
      </c>
      <c r="H64" s="48"/>
    </row>
    <row r="65" spans="2:8" ht="15" customHeight="1" x14ac:dyDescent="0.25">
      <c r="B65" s="37" t="s">
        <v>123</v>
      </c>
      <c r="C65" s="38">
        <v>7.25</v>
      </c>
      <c r="D65" s="46">
        <f>80+60+35</f>
        <v>175</v>
      </c>
      <c r="E65" s="45"/>
      <c r="F65" s="45"/>
      <c r="G65" s="47">
        <f t="shared" si="1"/>
        <v>1268.75</v>
      </c>
      <c r="H65" s="48"/>
    </row>
    <row r="66" spans="2:8" ht="15" customHeight="1" x14ac:dyDescent="0.25">
      <c r="B66" s="37" t="s">
        <v>124</v>
      </c>
      <c r="C66" s="38">
        <v>14.85</v>
      </c>
      <c r="D66" s="46">
        <v>32</v>
      </c>
      <c r="E66" s="45"/>
      <c r="F66" s="45"/>
      <c r="G66" s="47">
        <f t="shared" si="1"/>
        <v>475.2</v>
      </c>
      <c r="H66" s="48"/>
    </row>
    <row r="67" spans="2:8" ht="15" customHeight="1" x14ac:dyDescent="0.25">
      <c r="B67" s="37" t="s">
        <v>125</v>
      </c>
      <c r="C67" s="38">
        <v>55</v>
      </c>
      <c r="D67" s="46">
        <v>8</v>
      </c>
      <c r="E67" s="45"/>
      <c r="F67" s="45"/>
      <c r="G67" s="47">
        <f t="shared" si="1"/>
        <v>440</v>
      </c>
      <c r="H67" s="48"/>
    </row>
    <row r="68" spans="2:8" ht="15" customHeight="1" x14ac:dyDescent="0.25">
      <c r="B68" s="37" t="s">
        <v>126</v>
      </c>
      <c r="C68" s="38">
        <v>4.1500000000000004</v>
      </c>
      <c r="D68" s="46">
        <v>165</v>
      </c>
      <c r="E68" s="45"/>
      <c r="F68" s="45"/>
      <c r="G68" s="47">
        <f t="shared" si="1"/>
        <v>684.75000000000011</v>
      </c>
      <c r="H68" s="48"/>
    </row>
    <row r="69" spans="2:8" ht="15" customHeight="1" x14ac:dyDescent="0.25">
      <c r="B69" s="37" t="s">
        <v>127</v>
      </c>
      <c r="C69" s="38">
        <v>20</v>
      </c>
      <c r="D69" s="46">
        <v>10</v>
      </c>
      <c r="E69" s="45"/>
      <c r="F69" s="45"/>
      <c r="G69" s="47">
        <f t="shared" si="1"/>
        <v>200</v>
      </c>
      <c r="H69" s="48"/>
    </row>
    <row r="70" spans="2:8" ht="15" customHeight="1" x14ac:dyDescent="0.25">
      <c r="B70" s="37" t="s">
        <v>128</v>
      </c>
      <c r="C70" s="38">
        <v>13</v>
      </c>
      <c r="D70" s="46">
        <v>30</v>
      </c>
      <c r="E70" s="45"/>
      <c r="F70" s="45"/>
      <c r="G70" s="47">
        <f t="shared" si="1"/>
        <v>390</v>
      </c>
      <c r="H70" s="48"/>
    </row>
    <row r="71" spans="2:8" ht="15" customHeight="1" x14ac:dyDescent="0.25">
      <c r="B71" s="49" t="s">
        <v>129</v>
      </c>
      <c r="C71" s="50">
        <v>75</v>
      </c>
      <c r="D71" s="51">
        <v>5</v>
      </c>
      <c r="E71" s="52"/>
      <c r="F71" s="52"/>
      <c r="G71" s="53">
        <f t="shared" si="1"/>
        <v>375</v>
      </c>
      <c r="H71" s="48"/>
    </row>
    <row r="72" spans="2:8" ht="15" customHeight="1" x14ac:dyDescent="0.25">
      <c r="B72" s="49"/>
      <c r="C72" s="50"/>
      <c r="D72" s="51"/>
      <c r="E72" s="52"/>
      <c r="F72" s="52"/>
      <c r="G72" s="53"/>
      <c r="H72" s="48"/>
    </row>
    <row r="73" spans="2:8" ht="15.75" customHeight="1" x14ac:dyDescent="0.25">
      <c r="B73" s="37"/>
      <c r="C73" s="38"/>
      <c r="D73" s="46"/>
      <c r="E73" s="45"/>
      <c r="F73" s="45"/>
      <c r="G73" s="47"/>
      <c r="H73" s="48"/>
    </row>
  </sheetData>
  <mergeCells count="15">
    <mergeCell ref="H2:Q2"/>
    <mergeCell ref="H18:Q18"/>
    <mergeCell ref="H19:Q19"/>
    <mergeCell ref="H20:Q20"/>
    <mergeCell ref="H21:Q21"/>
    <mergeCell ref="H22:Q22"/>
    <mergeCell ref="H23:Q23"/>
    <mergeCell ref="H24:Q24"/>
    <mergeCell ref="H25:Q25"/>
    <mergeCell ref="H26:Q26"/>
    <mergeCell ref="H27:Q27"/>
    <mergeCell ref="H28:Q28"/>
    <mergeCell ref="H29:Q29"/>
    <mergeCell ref="H30:Q30"/>
    <mergeCell ref="H32:Q32"/>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topLeftCell="A13" zoomScaleNormal="100" workbookViewId="0">
      <selection activeCell="C25" sqref="C25"/>
    </sheetView>
  </sheetViews>
  <sheetFormatPr baseColWidth="10" defaultColWidth="9.140625" defaultRowHeight="15" x14ac:dyDescent="0.25"/>
  <cols>
    <col min="1" max="1" width="3"/>
    <col min="2" max="2" width="22.28515625"/>
    <col min="3" max="3" width="61"/>
    <col min="4" max="4" width="15.140625"/>
    <col min="5" max="6" width="0" hidden="1"/>
    <col min="7" max="7" width="15.28515625"/>
    <col min="8" max="8" width="10.7109375"/>
    <col min="9" max="9" width="12.28515625"/>
    <col min="10" max="1025" width="10.7109375"/>
  </cols>
  <sheetData>
    <row r="1" spans="1:17" ht="15.75" customHeight="1" x14ac:dyDescent="0.25"/>
    <row r="2" spans="1:17" ht="19.5" customHeight="1" x14ac:dyDescent="0.3">
      <c r="B2" s="1" t="s">
        <v>0</v>
      </c>
      <c r="C2" s="2" t="s">
        <v>1</v>
      </c>
      <c r="D2" s="2"/>
      <c r="E2" s="2"/>
      <c r="F2" s="2"/>
      <c r="G2" s="2" t="s">
        <v>2</v>
      </c>
      <c r="H2" s="62" t="s">
        <v>3</v>
      </c>
      <c r="I2" s="62"/>
      <c r="J2" s="62"/>
      <c r="K2" s="62"/>
      <c r="L2" s="62"/>
      <c r="M2" s="62"/>
      <c r="N2" s="62"/>
      <c r="O2" s="62"/>
      <c r="P2" s="62"/>
      <c r="Q2" s="62"/>
    </row>
    <row r="3" spans="1:17" ht="15" customHeight="1" x14ac:dyDescent="0.25">
      <c r="A3" s="3">
        <v>1</v>
      </c>
      <c r="B3" s="4" t="s">
        <v>4</v>
      </c>
      <c r="C3" s="5" t="s">
        <v>5</v>
      </c>
      <c r="D3" s="8"/>
      <c r="E3" s="8"/>
      <c r="F3" s="8"/>
      <c r="G3" s="6">
        <v>30</v>
      </c>
      <c r="H3" s="7" t="s">
        <v>6</v>
      </c>
      <c r="I3" s="8"/>
      <c r="J3" s="8"/>
      <c r="K3" s="8"/>
      <c r="L3" s="8"/>
      <c r="M3" s="8"/>
      <c r="N3" s="8"/>
      <c r="O3" s="8"/>
      <c r="P3" s="8"/>
      <c r="Q3" s="8"/>
    </row>
    <row r="4" spans="1:17" ht="15" customHeight="1" x14ac:dyDescent="0.25">
      <c r="A4" s="9">
        <v>2</v>
      </c>
      <c r="B4" s="4" t="s">
        <v>7</v>
      </c>
      <c r="C4" s="5" t="s">
        <v>8</v>
      </c>
      <c r="D4" s="8"/>
      <c r="E4" s="8"/>
      <c r="F4" s="8"/>
      <c r="G4" s="6">
        <v>30</v>
      </c>
      <c r="H4" s="7" t="s">
        <v>9</v>
      </c>
      <c r="I4" s="8"/>
      <c r="J4" s="8"/>
      <c r="K4" s="8"/>
      <c r="L4" s="8"/>
      <c r="M4" s="8"/>
      <c r="N4" s="8"/>
      <c r="O4" s="8"/>
      <c r="P4" s="8"/>
      <c r="Q4" s="8"/>
    </row>
    <row r="5" spans="1:17" ht="15" customHeight="1" x14ac:dyDescent="0.25">
      <c r="A5" s="9">
        <v>3</v>
      </c>
      <c r="B5" s="4" t="s">
        <v>10</v>
      </c>
      <c r="C5" s="5" t="s">
        <v>11</v>
      </c>
      <c r="D5" s="8"/>
      <c r="E5" s="8"/>
      <c r="F5" s="8"/>
      <c r="G5" s="6">
        <v>100</v>
      </c>
      <c r="H5" s="7" t="s">
        <v>12</v>
      </c>
      <c r="I5" s="8"/>
      <c r="J5" s="8"/>
      <c r="K5" s="8"/>
      <c r="L5" s="8"/>
      <c r="M5" s="8"/>
      <c r="N5" s="8"/>
      <c r="O5" s="8"/>
      <c r="P5" s="8"/>
      <c r="Q5" s="8"/>
    </row>
    <row r="6" spans="1:17" ht="15" customHeight="1" x14ac:dyDescent="0.25">
      <c r="A6" s="9">
        <v>4</v>
      </c>
      <c r="B6" s="4" t="s">
        <v>13</v>
      </c>
      <c r="C6" s="5" t="s">
        <v>14</v>
      </c>
      <c r="D6" s="8"/>
      <c r="E6" s="8"/>
      <c r="F6" s="8"/>
      <c r="G6" s="6">
        <v>100</v>
      </c>
      <c r="H6" s="7" t="s">
        <v>15</v>
      </c>
      <c r="I6" s="8"/>
      <c r="J6" s="8"/>
      <c r="K6" s="8"/>
      <c r="L6" s="8"/>
      <c r="M6" s="8"/>
      <c r="N6" s="8"/>
      <c r="O6" s="8"/>
      <c r="P6" s="8"/>
      <c r="Q6" s="8"/>
    </row>
    <row r="7" spans="1:17" ht="15" customHeight="1" x14ac:dyDescent="0.25">
      <c r="A7" s="9">
        <v>5</v>
      </c>
      <c r="B7" s="4" t="s">
        <v>16</v>
      </c>
      <c r="C7" s="5" t="s">
        <v>17</v>
      </c>
      <c r="D7" s="8"/>
      <c r="E7" s="8"/>
      <c r="F7" s="8"/>
      <c r="G7" s="6">
        <v>80</v>
      </c>
      <c r="H7" s="7" t="s">
        <v>18</v>
      </c>
      <c r="I7" s="8"/>
      <c r="J7" s="8"/>
      <c r="K7" s="8"/>
      <c r="L7" s="8"/>
      <c r="M7" s="8"/>
      <c r="N7" s="8"/>
      <c r="O7" s="8"/>
      <c r="P7" s="8"/>
      <c r="Q7" s="8"/>
    </row>
    <row r="8" spans="1:17" ht="15" customHeight="1" x14ac:dyDescent="0.25">
      <c r="A8" s="9">
        <v>6</v>
      </c>
      <c r="B8" s="4" t="s">
        <v>19</v>
      </c>
      <c r="C8" s="5" t="s">
        <v>20</v>
      </c>
      <c r="D8" s="8"/>
      <c r="E8" s="8"/>
      <c r="F8" s="8"/>
      <c r="G8" s="6">
        <v>85</v>
      </c>
      <c r="H8" s="7" t="s">
        <v>21</v>
      </c>
      <c r="I8" s="8"/>
      <c r="J8" s="8"/>
      <c r="K8" s="8"/>
      <c r="L8" s="8"/>
      <c r="M8" s="8"/>
      <c r="N8" s="8"/>
      <c r="O8" s="8"/>
      <c r="P8" s="8"/>
      <c r="Q8" s="8"/>
    </row>
    <row r="9" spans="1:17" ht="15" customHeight="1" x14ac:dyDescent="0.25">
      <c r="A9" s="9">
        <v>7</v>
      </c>
      <c r="B9" s="4" t="s">
        <v>22</v>
      </c>
      <c r="C9" s="5" t="s">
        <v>23</v>
      </c>
      <c r="D9" s="8"/>
      <c r="E9" s="8"/>
      <c r="F9" s="8"/>
      <c r="G9" s="6">
        <v>60</v>
      </c>
      <c r="H9" s="7" t="s">
        <v>24</v>
      </c>
      <c r="I9" s="8"/>
      <c r="J9" s="8"/>
      <c r="K9" s="8"/>
      <c r="L9" s="8"/>
      <c r="M9" s="8"/>
      <c r="N9" s="8"/>
      <c r="O9" s="8"/>
      <c r="P9" s="8"/>
      <c r="Q9" s="8"/>
    </row>
    <row r="10" spans="1:17" ht="15" customHeight="1" x14ac:dyDescent="0.25">
      <c r="A10" s="9">
        <v>8</v>
      </c>
      <c r="B10" s="4" t="s">
        <v>25</v>
      </c>
      <c r="C10" s="5" t="s">
        <v>26</v>
      </c>
      <c r="D10" s="8"/>
      <c r="E10" s="8"/>
      <c r="F10" s="8"/>
      <c r="G10" s="6">
        <v>50</v>
      </c>
      <c r="H10" s="7" t="s">
        <v>27</v>
      </c>
      <c r="I10" s="8"/>
      <c r="J10" s="8"/>
      <c r="K10" s="8"/>
      <c r="L10" s="8"/>
      <c r="M10" s="8"/>
      <c r="N10" s="8"/>
      <c r="O10" s="8"/>
      <c r="P10" s="8"/>
      <c r="Q10" s="8"/>
    </row>
    <row r="11" spans="1:17" ht="15" customHeight="1" x14ac:dyDescent="0.25">
      <c r="A11" s="9">
        <v>9</v>
      </c>
      <c r="B11" s="7"/>
      <c r="C11" s="10"/>
      <c r="D11" s="8"/>
      <c r="E11" s="8"/>
      <c r="F11" s="8"/>
      <c r="G11" s="6"/>
      <c r="H11" s="7"/>
      <c r="I11" s="8"/>
      <c r="J11" s="8"/>
      <c r="K11" s="8"/>
      <c r="L11" s="8"/>
      <c r="M11" s="8"/>
      <c r="N11" s="8"/>
      <c r="O11" s="8"/>
      <c r="P11" s="8"/>
      <c r="Q11" s="8"/>
    </row>
    <row r="12" spans="1:17" ht="15" customHeight="1" x14ac:dyDescent="0.25">
      <c r="A12" s="9">
        <v>10</v>
      </c>
      <c r="B12" s="7"/>
      <c r="C12" s="10"/>
      <c r="D12" s="8"/>
      <c r="E12" s="8"/>
      <c r="F12" s="8"/>
      <c r="G12" s="6"/>
      <c r="H12" s="7"/>
      <c r="I12" s="8"/>
      <c r="J12" s="8"/>
      <c r="K12" s="8"/>
      <c r="L12" s="8"/>
      <c r="M12" s="8"/>
      <c r="N12" s="8"/>
      <c r="O12" s="8"/>
      <c r="P12" s="8"/>
      <c r="Q12" s="8"/>
    </row>
    <row r="13" spans="1:17" ht="15" customHeight="1" x14ac:dyDescent="0.25">
      <c r="A13" s="9">
        <v>11</v>
      </c>
      <c r="B13" s="8"/>
      <c r="C13" s="11"/>
      <c r="D13" s="8"/>
      <c r="E13" s="8"/>
      <c r="F13" s="8"/>
      <c r="G13" s="6"/>
      <c r="H13" s="8"/>
      <c r="I13" s="8"/>
      <c r="J13" s="8"/>
      <c r="K13" s="8"/>
      <c r="L13" s="8"/>
      <c r="M13" s="8"/>
      <c r="N13" s="8"/>
      <c r="O13" s="8"/>
      <c r="P13" s="8"/>
      <c r="Q13" s="8"/>
    </row>
    <row r="14" spans="1:17" ht="15.75" customHeight="1" x14ac:dyDescent="0.25">
      <c r="A14" s="12">
        <v>12</v>
      </c>
      <c r="B14" s="7"/>
      <c r="C14" s="10"/>
      <c r="D14" s="8"/>
      <c r="E14" s="8"/>
      <c r="F14" s="8"/>
      <c r="G14" s="6"/>
      <c r="H14" s="7"/>
      <c r="I14" s="8"/>
      <c r="J14" s="8"/>
      <c r="K14" s="8"/>
      <c r="L14" s="8"/>
      <c r="M14" s="8"/>
      <c r="N14" s="8"/>
      <c r="O14" s="8"/>
      <c r="P14" s="8"/>
      <c r="Q14" s="8"/>
    </row>
    <row r="15" spans="1:17" ht="15.75" customHeight="1" x14ac:dyDescent="0.25"/>
    <row r="16" spans="1:17" ht="19.5" customHeight="1" x14ac:dyDescent="0.3">
      <c r="B16" s="1" t="s">
        <v>0</v>
      </c>
      <c r="C16" s="2" t="s">
        <v>1</v>
      </c>
      <c r="D16" s="2"/>
      <c r="E16" s="2"/>
      <c r="F16" s="2"/>
      <c r="G16" s="2" t="s">
        <v>2</v>
      </c>
      <c r="H16" s="62" t="s">
        <v>3</v>
      </c>
      <c r="I16" s="62"/>
      <c r="J16" s="62"/>
      <c r="K16" s="62"/>
      <c r="L16" s="62"/>
      <c r="M16" s="62"/>
      <c r="N16" s="62"/>
      <c r="O16" s="62"/>
      <c r="P16" s="62"/>
      <c r="Q16" s="62"/>
    </row>
    <row r="17" spans="1:17" ht="15" customHeight="1" x14ac:dyDescent="0.25">
      <c r="A17" s="3">
        <v>1</v>
      </c>
      <c r="B17" s="4" t="s">
        <v>130</v>
      </c>
      <c r="C17" s="22" t="s">
        <v>131</v>
      </c>
      <c r="D17" s="22"/>
      <c r="E17" s="22"/>
      <c r="F17" s="22"/>
      <c r="G17" s="22">
        <f>175*C48</f>
        <v>224</v>
      </c>
      <c r="H17" s="8" t="s">
        <v>132</v>
      </c>
      <c r="I17" s="8"/>
      <c r="J17" s="8"/>
      <c r="K17" s="8"/>
      <c r="L17" s="8"/>
      <c r="M17" s="8"/>
      <c r="N17" s="8"/>
      <c r="O17" s="8"/>
      <c r="P17" s="8"/>
      <c r="Q17" s="8"/>
    </row>
    <row r="18" spans="1:17" ht="15" customHeight="1" x14ac:dyDescent="0.25">
      <c r="A18" s="9">
        <v>2</v>
      </c>
      <c r="B18" s="4" t="s">
        <v>133</v>
      </c>
      <c r="C18" s="22" t="s">
        <v>134</v>
      </c>
      <c r="D18" s="22"/>
      <c r="E18" s="22"/>
      <c r="F18" s="22"/>
      <c r="G18" s="54">
        <f>7*C45</f>
        <v>227.5</v>
      </c>
      <c r="H18" s="8" t="s">
        <v>135</v>
      </c>
      <c r="I18" s="8"/>
      <c r="J18" s="8"/>
      <c r="K18" s="8"/>
      <c r="L18" s="8"/>
      <c r="M18" s="8"/>
      <c r="N18" s="8"/>
      <c r="O18" s="8"/>
      <c r="P18" s="8"/>
      <c r="Q18" s="8"/>
    </row>
    <row r="19" spans="1:17" ht="15" customHeight="1" x14ac:dyDescent="0.25">
      <c r="A19" s="9">
        <v>3</v>
      </c>
      <c r="B19" s="4" t="s">
        <v>136</v>
      </c>
      <c r="C19" s="22" t="s">
        <v>35</v>
      </c>
      <c r="D19" s="22"/>
      <c r="E19" s="22"/>
      <c r="F19" s="22"/>
      <c r="G19" s="54">
        <f>5*C50</f>
        <v>225</v>
      </c>
      <c r="H19" s="8" t="s">
        <v>137</v>
      </c>
      <c r="I19" s="8"/>
      <c r="J19" s="8"/>
      <c r="K19" s="8"/>
      <c r="L19" s="8"/>
      <c r="M19" s="8"/>
      <c r="N19" s="8"/>
      <c r="O19" s="8"/>
      <c r="P19" s="8"/>
      <c r="Q19" s="8"/>
    </row>
    <row r="20" spans="1:17" ht="15" customHeight="1" x14ac:dyDescent="0.25">
      <c r="A20" s="9">
        <v>4</v>
      </c>
      <c r="B20" s="4" t="s">
        <v>138</v>
      </c>
      <c r="C20" s="22" t="s">
        <v>139</v>
      </c>
      <c r="D20" s="22"/>
      <c r="E20" s="22"/>
      <c r="F20" s="22"/>
      <c r="G20" s="54">
        <f>13*C51</f>
        <v>403</v>
      </c>
      <c r="H20" s="8" t="s">
        <v>140</v>
      </c>
      <c r="I20" s="8"/>
      <c r="J20" s="8"/>
      <c r="K20" s="8"/>
      <c r="L20" s="8"/>
      <c r="M20" s="8"/>
      <c r="N20" s="8"/>
      <c r="O20" s="8"/>
      <c r="P20" s="8"/>
      <c r="Q20" s="8"/>
    </row>
    <row r="21" spans="1:17" ht="15" customHeight="1" x14ac:dyDescent="0.25">
      <c r="A21" s="9">
        <v>5</v>
      </c>
      <c r="B21" s="4" t="s">
        <v>141</v>
      </c>
      <c r="C21" s="22" t="s">
        <v>142</v>
      </c>
      <c r="D21" s="22"/>
      <c r="E21" s="22"/>
      <c r="F21" s="22"/>
      <c r="G21" s="54">
        <f>10*C52</f>
        <v>190</v>
      </c>
      <c r="H21" s="8" t="s">
        <v>143</v>
      </c>
      <c r="I21" s="8"/>
      <c r="J21" s="8"/>
      <c r="K21" s="8"/>
      <c r="L21" s="8"/>
      <c r="M21" s="8"/>
      <c r="N21" s="8"/>
      <c r="O21" s="8"/>
      <c r="P21" s="8"/>
      <c r="Q21" s="8"/>
    </row>
    <row r="22" spans="1:17" ht="15" customHeight="1" x14ac:dyDescent="0.25">
      <c r="A22" s="9">
        <v>6</v>
      </c>
      <c r="B22" s="4" t="s">
        <v>144</v>
      </c>
      <c r="C22" s="22" t="s">
        <v>145</v>
      </c>
      <c r="D22" s="22"/>
      <c r="E22" s="22"/>
      <c r="F22" s="22"/>
      <c r="G22" s="54">
        <f>8*C46</f>
        <v>360</v>
      </c>
      <c r="H22" s="8" t="s">
        <v>146</v>
      </c>
      <c r="I22" s="8"/>
      <c r="J22" s="8"/>
      <c r="K22" s="8"/>
      <c r="L22" s="8"/>
      <c r="M22" s="8"/>
      <c r="N22" s="8"/>
      <c r="O22" s="8"/>
      <c r="P22" s="8"/>
      <c r="Q22" s="8"/>
    </row>
    <row r="23" spans="1:17" ht="15" customHeight="1" x14ac:dyDescent="0.25">
      <c r="A23" s="9">
        <v>7</v>
      </c>
      <c r="B23" s="4" t="s">
        <v>147</v>
      </c>
      <c r="C23" s="22" t="s">
        <v>148</v>
      </c>
      <c r="D23" s="22"/>
      <c r="E23" s="22"/>
      <c r="F23" s="22"/>
      <c r="G23" s="54">
        <f>13*C53</f>
        <v>312</v>
      </c>
      <c r="H23" s="8" t="s">
        <v>149</v>
      </c>
      <c r="I23" s="8"/>
      <c r="J23" s="8"/>
      <c r="K23" s="8"/>
      <c r="L23" s="8"/>
      <c r="M23" s="8"/>
      <c r="N23" s="8"/>
      <c r="O23" s="8"/>
      <c r="P23" s="8"/>
      <c r="Q23" s="8"/>
    </row>
    <row r="24" spans="1:17" ht="15" customHeight="1" x14ac:dyDescent="0.25">
      <c r="A24" s="9">
        <v>8</v>
      </c>
      <c r="B24" s="4" t="s">
        <v>150</v>
      </c>
      <c r="C24" s="22" t="s">
        <v>151</v>
      </c>
      <c r="D24" s="22"/>
      <c r="E24" s="22"/>
      <c r="F24" s="22"/>
      <c r="G24" s="54">
        <f>50*C54</f>
        <v>268.75</v>
      </c>
      <c r="H24" s="8" t="s">
        <v>152</v>
      </c>
      <c r="I24" s="8"/>
      <c r="J24" s="8"/>
      <c r="K24" s="8"/>
      <c r="L24" s="8"/>
      <c r="M24" s="8"/>
      <c r="N24" s="8"/>
      <c r="O24" s="8"/>
      <c r="P24" s="8"/>
      <c r="Q24" s="8"/>
    </row>
    <row r="25" spans="1:17" ht="15" customHeight="1" x14ac:dyDescent="0.25">
      <c r="A25" s="9">
        <v>9</v>
      </c>
      <c r="B25" s="4" t="s">
        <v>153</v>
      </c>
      <c r="C25" s="22" t="s">
        <v>154</v>
      </c>
      <c r="D25" s="22"/>
      <c r="E25" s="22"/>
      <c r="F25" s="22"/>
      <c r="G25" s="54">
        <f>115*C49</f>
        <v>212.75</v>
      </c>
      <c r="H25" s="8" t="s">
        <v>155</v>
      </c>
      <c r="I25" s="8"/>
      <c r="J25" s="8"/>
      <c r="K25" s="8"/>
      <c r="L25" s="8"/>
      <c r="M25" s="8"/>
      <c r="N25" s="8"/>
      <c r="O25" s="8"/>
      <c r="P25" s="8"/>
      <c r="Q25" s="8"/>
    </row>
    <row r="26" spans="1:17" ht="15" customHeight="1" x14ac:dyDescent="0.25">
      <c r="A26" s="9">
        <v>10</v>
      </c>
      <c r="B26" s="4" t="s">
        <v>156</v>
      </c>
      <c r="C26" s="22" t="s">
        <v>157</v>
      </c>
      <c r="D26" s="22"/>
      <c r="E26" s="22"/>
      <c r="F26" s="22"/>
      <c r="G26" s="54">
        <f>8*C47</f>
        <v>240</v>
      </c>
      <c r="H26" s="8" t="s">
        <v>158</v>
      </c>
      <c r="I26" s="8"/>
      <c r="J26" s="8"/>
      <c r="K26" s="8"/>
      <c r="L26" s="8"/>
      <c r="M26" s="8"/>
      <c r="N26" s="8"/>
      <c r="O26" s="8"/>
      <c r="P26" s="8"/>
      <c r="Q26" s="8"/>
    </row>
    <row r="27" spans="1:17" ht="15" customHeight="1" x14ac:dyDescent="0.25">
      <c r="A27" s="9">
        <v>11</v>
      </c>
      <c r="B27" s="4" t="s">
        <v>159</v>
      </c>
      <c r="C27" s="22" t="s">
        <v>160</v>
      </c>
      <c r="D27" s="22"/>
      <c r="E27" s="22"/>
      <c r="F27" s="22"/>
      <c r="G27" s="54">
        <f>15*C70</f>
        <v>465</v>
      </c>
      <c r="H27" s="8" t="s">
        <v>161</v>
      </c>
      <c r="I27" s="8"/>
      <c r="J27" s="8"/>
      <c r="K27" s="8"/>
      <c r="L27" s="8"/>
      <c r="M27" s="8"/>
      <c r="N27" s="8"/>
      <c r="O27" s="8"/>
      <c r="P27" s="8"/>
      <c r="Q27" s="8"/>
    </row>
    <row r="28" spans="1:17" ht="15.75" customHeight="1" x14ac:dyDescent="0.25">
      <c r="A28" s="12">
        <v>12</v>
      </c>
      <c r="B28" s="4" t="s">
        <v>162</v>
      </c>
      <c r="C28" s="22" t="s">
        <v>163</v>
      </c>
      <c r="D28" s="22"/>
      <c r="E28" s="22"/>
      <c r="F28" s="22"/>
      <c r="G28" s="54">
        <f>1*C77</f>
        <v>225</v>
      </c>
      <c r="H28" s="8" t="s">
        <v>164</v>
      </c>
      <c r="I28" s="8"/>
      <c r="J28" s="8"/>
      <c r="K28" s="8"/>
      <c r="L28" s="8"/>
      <c r="M28" s="8"/>
      <c r="N28" s="8"/>
      <c r="O28" s="8"/>
      <c r="P28" s="8"/>
      <c r="Q28" s="8"/>
    </row>
    <row r="29" spans="1:17" ht="15.75" customHeight="1" x14ac:dyDescent="0.25">
      <c r="C29" s="25"/>
      <c r="D29" s="25"/>
      <c r="E29" s="25"/>
      <c r="F29" s="25"/>
      <c r="G29" s="25"/>
    </row>
    <row r="30" spans="1:17" ht="19.5" customHeight="1" x14ac:dyDescent="0.3">
      <c r="B30" s="1" t="s">
        <v>0</v>
      </c>
      <c r="C30" s="27" t="s">
        <v>165</v>
      </c>
      <c r="D30" s="27"/>
      <c r="E30" s="27" t="s">
        <v>2</v>
      </c>
      <c r="F30" s="27" t="s">
        <v>64</v>
      </c>
      <c r="G30" s="27" t="s">
        <v>2</v>
      </c>
      <c r="H30" s="62" t="s">
        <v>3</v>
      </c>
      <c r="I30" s="62"/>
      <c r="J30" s="62"/>
      <c r="K30" s="62"/>
      <c r="L30" s="62"/>
      <c r="M30" s="62"/>
      <c r="N30" s="62"/>
      <c r="O30" s="62"/>
      <c r="P30" s="62"/>
      <c r="Q30" s="62"/>
    </row>
    <row r="31" spans="1:17" ht="15" customHeight="1" x14ac:dyDescent="0.25">
      <c r="A31" s="3">
        <v>1</v>
      </c>
      <c r="B31" s="4" t="s">
        <v>166</v>
      </c>
      <c r="C31" s="22" t="s">
        <v>167</v>
      </c>
      <c r="D31" s="22"/>
      <c r="E31" s="22">
        <f>6*60+4*75+200</f>
        <v>860</v>
      </c>
      <c r="F31" s="22">
        <f>G17+G19</f>
        <v>449</v>
      </c>
      <c r="G31" s="28">
        <f>MROUND((150*C48+14*C50+32*C57)*I45,20)</f>
        <v>1180</v>
      </c>
      <c r="H31" s="8" t="s">
        <v>168</v>
      </c>
      <c r="I31" s="8"/>
      <c r="J31" s="8"/>
      <c r="K31" s="8"/>
      <c r="L31" s="8"/>
      <c r="M31" s="8"/>
      <c r="N31" s="8"/>
      <c r="O31" s="8"/>
      <c r="P31" s="8"/>
      <c r="Q31" s="8"/>
    </row>
    <row r="32" spans="1:17" ht="15" customHeight="1" x14ac:dyDescent="0.25">
      <c r="A32" s="9">
        <v>2</v>
      </c>
      <c r="B32" s="4" t="s">
        <v>169</v>
      </c>
      <c r="C32" s="22" t="s">
        <v>170</v>
      </c>
      <c r="D32" s="22"/>
      <c r="E32" s="55">
        <f>6*40+4*40+6*50</f>
        <v>700</v>
      </c>
      <c r="F32" s="55">
        <f>G18+G22</f>
        <v>587.5</v>
      </c>
      <c r="G32" s="28">
        <f>MROUND((21*C45+20*C46+9*C47+15*C71)*I45,20)</f>
        <v>2460</v>
      </c>
      <c r="H32" s="8" t="s">
        <v>171</v>
      </c>
      <c r="I32" s="8"/>
      <c r="J32" s="8"/>
      <c r="K32" s="8"/>
      <c r="L32" s="8"/>
      <c r="M32" s="8"/>
      <c r="N32" s="8"/>
      <c r="O32" s="8"/>
      <c r="P32" s="8"/>
      <c r="Q32" s="8"/>
    </row>
    <row r="33" spans="1:17" ht="15" customHeight="1" x14ac:dyDescent="0.25">
      <c r="A33" s="9">
        <v>3</v>
      </c>
      <c r="B33" s="4" t="s">
        <v>172</v>
      </c>
      <c r="C33" s="22" t="s">
        <v>173</v>
      </c>
      <c r="D33" s="22"/>
      <c r="E33" s="55">
        <f>7*40 + 400</f>
        <v>680</v>
      </c>
      <c r="F33" s="55">
        <f>G18+G20</f>
        <v>630.5</v>
      </c>
      <c r="G33" s="28">
        <f>MROUND((18*C45+15*C51+5*C60)*I45,20)</f>
        <v>1500</v>
      </c>
      <c r="H33" s="8" t="s">
        <v>174</v>
      </c>
      <c r="I33" s="8"/>
      <c r="J33" s="8"/>
      <c r="K33" s="8"/>
      <c r="L33" s="8"/>
      <c r="M33" s="8"/>
      <c r="N33" s="8"/>
      <c r="O33" s="8"/>
      <c r="P33" s="8"/>
      <c r="Q33" s="8"/>
    </row>
    <row r="34" spans="1:17" ht="15" customHeight="1" x14ac:dyDescent="0.25">
      <c r="A34" s="9">
        <v>4</v>
      </c>
      <c r="B34" s="4" t="s">
        <v>175</v>
      </c>
      <c r="C34" s="22" t="s">
        <v>176</v>
      </c>
      <c r="D34" s="22"/>
      <c r="E34" s="55">
        <f>6*75 + 200/25*20</f>
        <v>610</v>
      </c>
      <c r="F34" s="55">
        <f>G19+G24</f>
        <v>493.75</v>
      </c>
      <c r="G34" s="28">
        <f>MROUND((28*C50+85*C54)*I45,20)</f>
        <v>1540</v>
      </c>
      <c r="H34" s="8" t="s">
        <v>177</v>
      </c>
      <c r="I34" s="8"/>
      <c r="J34" s="8"/>
      <c r="K34" s="8"/>
      <c r="L34" s="8"/>
      <c r="M34" s="8"/>
      <c r="N34" s="8"/>
      <c r="O34" s="8"/>
      <c r="P34" s="8"/>
      <c r="Q34" s="8"/>
    </row>
    <row r="35" spans="1:17" ht="15" customHeight="1" x14ac:dyDescent="0.25">
      <c r="A35" s="9">
        <v>5</v>
      </c>
      <c r="B35" s="4" t="s">
        <v>178</v>
      </c>
      <c r="C35" s="22" t="s">
        <v>179</v>
      </c>
      <c r="D35" s="22"/>
      <c r="E35" s="55">
        <f>20*25 + 7*50 + 100</f>
        <v>950</v>
      </c>
      <c r="F35" s="55">
        <f>G21+G22</f>
        <v>550</v>
      </c>
      <c r="G35" s="59">
        <f>MROUND((55*C52+15*C46+0.75*C62)*I45,20)</f>
        <v>1980</v>
      </c>
      <c r="H35" s="8" t="s">
        <v>180</v>
      </c>
      <c r="I35" s="8"/>
      <c r="J35" s="8"/>
      <c r="K35" s="8"/>
      <c r="L35" s="8"/>
      <c r="M35" s="8"/>
      <c r="N35" s="8"/>
      <c r="O35" s="8"/>
      <c r="P35" s="8"/>
      <c r="Q35" s="8"/>
    </row>
    <row r="36" spans="1:17" ht="15" customHeight="1" x14ac:dyDescent="0.25">
      <c r="A36" s="9">
        <v>6</v>
      </c>
      <c r="B36" s="4" t="s">
        <v>181</v>
      </c>
      <c r="C36" s="22" t="s">
        <v>182</v>
      </c>
      <c r="D36" s="22"/>
      <c r="E36" s="55">
        <f>3*50+3*75 + 400</f>
        <v>775</v>
      </c>
      <c r="F36" s="55">
        <f>G20+G23</f>
        <v>715</v>
      </c>
      <c r="G36" s="28">
        <f>MROUND((30*C53+21*C51)*I45,20)</f>
        <v>1240</v>
      </c>
      <c r="H36" s="8" t="s">
        <v>183</v>
      </c>
      <c r="I36" s="8"/>
      <c r="J36" s="8"/>
      <c r="K36" s="8"/>
      <c r="L36" s="8"/>
      <c r="M36" s="8"/>
      <c r="N36" s="8"/>
      <c r="O36" s="8"/>
      <c r="P36" s="8"/>
      <c r="Q36" s="8"/>
    </row>
    <row r="37" spans="1:17" ht="15" customHeight="1" x14ac:dyDescent="0.25">
      <c r="A37" s="9">
        <v>7</v>
      </c>
      <c r="B37" s="4" t="s">
        <v>184</v>
      </c>
      <c r="C37" s="22" t="s">
        <v>185</v>
      </c>
      <c r="D37" s="22"/>
      <c r="E37" s="22">
        <f>25*25 + 200</f>
        <v>825</v>
      </c>
      <c r="F37" s="22">
        <f>G21+G27</f>
        <v>655</v>
      </c>
      <c r="G37" s="28">
        <f>MROUND((75*C52+25*C72)*I45,20)</f>
        <v>2260</v>
      </c>
      <c r="H37" s="8" t="s">
        <v>186</v>
      </c>
      <c r="I37" s="8"/>
      <c r="J37" s="8"/>
      <c r="K37" s="8"/>
      <c r="L37" s="8"/>
      <c r="M37" s="8"/>
      <c r="N37" s="8"/>
      <c r="O37" s="8"/>
      <c r="P37" s="8"/>
      <c r="Q37" s="8"/>
    </row>
    <row r="38" spans="1:17" ht="15" customHeight="1" x14ac:dyDescent="0.25">
      <c r="A38" s="9">
        <v>8</v>
      </c>
      <c r="B38" s="4" t="s">
        <v>187</v>
      </c>
      <c r="C38" s="22" t="s">
        <v>188</v>
      </c>
      <c r="D38" s="22"/>
      <c r="E38" s="55">
        <f>3*50+7*75+150</f>
        <v>825</v>
      </c>
      <c r="F38" s="55">
        <f>G23+G27</f>
        <v>777</v>
      </c>
      <c r="G38" s="28">
        <f>MROUND((50*C53+24*C73)*I45,20)</f>
        <v>1580</v>
      </c>
      <c r="H38" s="8" t="s">
        <v>189</v>
      </c>
      <c r="I38" s="8"/>
      <c r="J38" s="8"/>
      <c r="K38" s="8"/>
      <c r="L38" s="8"/>
      <c r="M38" s="8"/>
      <c r="N38" s="8"/>
      <c r="O38" s="8"/>
      <c r="P38" s="8"/>
      <c r="Q38" s="8"/>
    </row>
    <row r="39" spans="1:17" ht="15" customHeight="1" x14ac:dyDescent="0.25">
      <c r="A39" s="9">
        <v>9</v>
      </c>
      <c r="B39" s="4" t="s">
        <v>190</v>
      </c>
      <c r="C39" s="22" t="s">
        <v>191</v>
      </c>
      <c r="D39" s="22"/>
      <c r="E39" s="55">
        <f>8*72 + 7*40 - 1</f>
        <v>855</v>
      </c>
      <c r="F39" s="55">
        <f>G25+G26</f>
        <v>452.75</v>
      </c>
      <c r="G39" s="28">
        <f>MROUND((245*C49+35*C47+20*C64)*I45,20)</f>
        <v>1620</v>
      </c>
      <c r="H39" s="8" t="s">
        <v>192</v>
      </c>
      <c r="I39" s="8"/>
      <c r="J39" s="8"/>
      <c r="K39" s="8"/>
      <c r="L39" s="8"/>
      <c r="M39" s="8"/>
      <c r="N39" s="8"/>
      <c r="O39" s="8"/>
      <c r="P39" s="8"/>
      <c r="Q39" s="8"/>
    </row>
    <row r="40" spans="1:17" ht="15" customHeight="1" x14ac:dyDescent="0.25">
      <c r="A40" s="9">
        <v>10</v>
      </c>
      <c r="B40" s="4" t="s">
        <v>193</v>
      </c>
      <c r="C40" s="22" t="s">
        <v>194</v>
      </c>
      <c r="D40" s="22"/>
      <c r="E40" s="55">
        <f>6*60 + 10*72</f>
        <v>1080</v>
      </c>
      <c r="F40" s="55">
        <f>G17+G25</f>
        <v>436.75</v>
      </c>
      <c r="G40" s="28">
        <f>MROUND((350*C48+165*C49+9*C74)*I45,20)</f>
        <v>1020</v>
      </c>
      <c r="H40" s="8" t="s">
        <v>195</v>
      </c>
      <c r="I40" s="8"/>
      <c r="J40" s="8"/>
      <c r="K40" s="8"/>
      <c r="L40" s="8"/>
      <c r="M40" s="8"/>
      <c r="N40" s="8"/>
      <c r="O40" s="8"/>
      <c r="P40" s="8"/>
      <c r="Q40" s="8"/>
    </row>
    <row r="41" spans="1:17" ht="15" customHeight="1" x14ac:dyDescent="0.25">
      <c r="A41" s="9">
        <v>11</v>
      </c>
      <c r="B41" s="4" t="s">
        <v>196</v>
      </c>
      <c r="C41" s="22" t="s">
        <v>197</v>
      </c>
      <c r="D41" s="22"/>
      <c r="E41" s="55">
        <f>200/25*40+8*40</f>
        <v>640</v>
      </c>
      <c r="F41" s="55">
        <f>G24+G26</f>
        <v>508.75</v>
      </c>
      <c r="G41" s="28">
        <f>MROUND((80*C54+20*C47+1*C75)*I45,20)</f>
        <v>1160</v>
      </c>
      <c r="H41" s="8" t="s">
        <v>198</v>
      </c>
      <c r="I41" s="8"/>
      <c r="J41" s="8"/>
      <c r="K41" s="8"/>
      <c r="L41" s="8"/>
      <c r="M41" s="8"/>
      <c r="N41" s="8"/>
      <c r="O41" s="8"/>
      <c r="P41" s="8"/>
      <c r="Q41" s="8"/>
    </row>
    <row r="42" spans="1:17" ht="15.75" customHeight="1" x14ac:dyDescent="0.25">
      <c r="A42" s="12">
        <v>12</v>
      </c>
      <c r="B42" s="4" t="s">
        <v>199</v>
      </c>
      <c r="C42" s="22" t="s">
        <v>200</v>
      </c>
      <c r="D42" s="22"/>
      <c r="E42" s="55">
        <v>250</v>
      </c>
      <c r="F42" s="55">
        <f>G27+G28</f>
        <v>690</v>
      </c>
      <c r="G42" s="28">
        <f>MROUND((1*C68+10*C76)*I45,20)</f>
        <v>860</v>
      </c>
      <c r="H42" s="8" t="s">
        <v>201</v>
      </c>
      <c r="I42" s="8"/>
      <c r="J42" s="8"/>
      <c r="K42" s="8"/>
      <c r="L42" s="8"/>
      <c r="M42" s="8"/>
      <c r="N42" s="8"/>
      <c r="O42" s="8"/>
      <c r="P42" s="8"/>
      <c r="Q42" s="8"/>
    </row>
    <row r="43" spans="1:17" ht="15.75" customHeight="1" x14ac:dyDescent="0.25"/>
    <row r="44" spans="1:17" ht="15" customHeight="1" x14ac:dyDescent="0.25">
      <c r="B44" s="31"/>
      <c r="C44" s="32" t="s">
        <v>101</v>
      </c>
      <c r="D44" s="33" t="s">
        <v>102</v>
      </c>
      <c r="E44" s="34"/>
      <c r="F44" s="34"/>
      <c r="G44" s="33" t="s">
        <v>103</v>
      </c>
      <c r="I44" s="56" t="s">
        <v>104</v>
      </c>
    </row>
    <row r="45" spans="1:17" ht="15.75" customHeight="1" x14ac:dyDescent="0.25">
      <c r="B45" s="37" t="s">
        <v>105</v>
      </c>
      <c r="C45" s="38">
        <v>32.5</v>
      </c>
      <c r="D45" s="34">
        <v>8</v>
      </c>
      <c r="E45" s="34"/>
      <c r="F45" s="34"/>
      <c r="G45" s="39">
        <f t="shared" ref="G45:G54" si="0">D45*C45</f>
        <v>260</v>
      </c>
      <c r="I45" s="57">
        <v>0.9</v>
      </c>
    </row>
    <row r="46" spans="1:17" ht="15" customHeight="1" x14ac:dyDescent="0.25">
      <c r="B46" s="37" t="s">
        <v>106</v>
      </c>
      <c r="C46" s="38">
        <v>45</v>
      </c>
      <c r="D46" s="34">
        <v>6</v>
      </c>
      <c r="E46" s="34"/>
      <c r="F46" s="34"/>
      <c r="G46" s="39">
        <f t="shared" si="0"/>
        <v>270</v>
      </c>
      <c r="I46" s="42"/>
    </row>
    <row r="47" spans="1:17" ht="15" customHeight="1" x14ac:dyDescent="0.25">
      <c r="B47" s="37" t="s">
        <v>107</v>
      </c>
      <c r="C47" s="38">
        <v>30</v>
      </c>
      <c r="D47" s="34">
        <v>7</v>
      </c>
      <c r="E47" s="34"/>
      <c r="F47" s="34"/>
      <c r="G47" s="39">
        <f t="shared" si="0"/>
        <v>210</v>
      </c>
      <c r="I47" s="42"/>
    </row>
    <row r="48" spans="1:17" ht="15" customHeight="1" x14ac:dyDescent="0.25">
      <c r="B48" s="37" t="s">
        <v>108</v>
      </c>
      <c r="C48" s="38">
        <v>1.28</v>
      </c>
      <c r="D48" s="34">
        <v>250</v>
      </c>
      <c r="E48" s="34"/>
      <c r="F48" s="34"/>
      <c r="G48" s="39">
        <f t="shared" si="0"/>
        <v>320</v>
      </c>
      <c r="I48" s="42"/>
    </row>
    <row r="49" spans="2:9" ht="15" customHeight="1" x14ac:dyDescent="0.25">
      <c r="B49" s="37" t="s">
        <v>109</v>
      </c>
      <c r="C49" s="38">
        <v>1.85</v>
      </c>
      <c r="D49" s="34">
        <v>100</v>
      </c>
      <c r="E49" s="34"/>
      <c r="F49" s="34"/>
      <c r="G49" s="39">
        <f t="shared" si="0"/>
        <v>185</v>
      </c>
      <c r="I49" s="42"/>
    </row>
    <row r="50" spans="2:9" ht="15" customHeight="1" x14ac:dyDescent="0.25">
      <c r="B50" s="37" t="s">
        <v>110</v>
      </c>
      <c r="C50" s="38">
        <v>45</v>
      </c>
      <c r="D50" s="34">
        <v>5</v>
      </c>
      <c r="E50" s="34"/>
      <c r="F50" s="34"/>
      <c r="G50" s="39">
        <f t="shared" si="0"/>
        <v>225</v>
      </c>
      <c r="I50" s="42"/>
    </row>
    <row r="51" spans="2:9" ht="15" customHeight="1" x14ac:dyDescent="0.25">
      <c r="B51" s="37" t="s">
        <v>111</v>
      </c>
      <c r="C51" s="38">
        <v>31</v>
      </c>
      <c r="D51" s="34">
        <v>10</v>
      </c>
      <c r="E51" s="34"/>
      <c r="F51" s="34"/>
      <c r="G51" s="39">
        <f t="shared" si="0"/>
        <v>310</v>
      </c>
      <c r="I51" s="42"/>
    </row>
    <row r="52" spans="2:9" ht="15" customHeight="1" x14ac:dyDescent="0.25">
      <c r="B52" s="37" t="s">
        <v>112</v>
      </c>
      <c r="C52" s="38">
        <v>19</v>
      </c>
      <c r="D52" s="34">
        <v>15</v>
      </c>
      <c r="E52" s="34"/>
      <c r="F52" s="34"/>
      <c r="G52" s="39">
        <f t="shared" si="0"/>
        <v>285</v>
      </c>
      <c r="I52" s="42"/>
    </row>
    <row r="53" spans="2:9" ht="15" customHeight="1" x14ac:dyDescent="0.25">
      <c r="B53" s="37" t="s">
        <v>113</v>
      </c>
      <c r="C53" s="38">
        <v>24</v>
      </c>
      <c r="D53" s="34">
        <v>15</v>
      </c>
      <c r="E53" s="34"/>
      <c r="F53" s="34"/>
      <c r="G53" s="39">
        <f t="shared" si="0"/>
        <v>360</v>
      </c>
      <c r="I53" s="42"/>
    </row>
    <row r="54" spans="2:9" ht="15.75" customHeight="1" x14ac:dyDescent="0.25">
      <c r="B54" s="37" t="s">
        <v>114</v>
      </c>
      <c r="C54" s="38">
        <v>5.375</v>
      </c>
      <c r="D54" s="34">
        <v>40</v>
      </c>
      <c r="E54" s="34"/>
      <c r="F54" s="34"/>
      <c r="G54" s="39">
        <f t="shared" si="0"/>
        <v>215</v>
      </c>
      <c r="I54" s="42"/>
    </row>
    <row r="55" spans="2:9" ht="15.75" customHeight="1" x14ac:dyDescent="0.25"/>
    <row r="56" spans="2:9" ht="15" customHeight="1" x14ac:dyDescent="0.25">
      <c r="B56" s="37" t="s">
        <v>115</v>
      </c>
      <c r="C56" s="43" t="s">
        <v>116</v>
      </c>
      <c r="D56" s="44" t="s">
        <v>117</v>
      </c>
      <c r="E56" s="45"/>
      <c r="F56" s="45"/>
      <c r="G56" s="44" t="s">
        <v>103</v>
      </c>
    </row>
    <row r="57" spans="2:9" ht="15" customHeight="1" x14ac:dyDescent="0.25">
      <c r="B57" s="37" t="s">
        <v>118</v>
      </c>
      <c r="C57" s="38">
        <v>15</v>
      </c>
      <c r="D57" s="46">
        <v>15</v>
      </c>
      <c r="E57" s="45"/>
      <c r="F57" s="45"/>
      <c r="G57" s="47">
        <f t="shared" ref="G57:G77" si="1">D57*C57</f>
        <v>225</v>
      </c>
    </row>
    <row r="58" spans="2:9" ht="15" customHeight="1" x14ac:dyDescent="0.25">
      <c r="B58" s="37" t="s">
        <v>119</v>
      </c>
      <c r="C58" s="38">
        <v>8.5</v>
      </c>
      <c r="D58" s="46">
        <v>35</v>
      </c>
      <c r="E58" s="45"/>
      <c r="F58" s="45"/>
      <c r="G58" s="47">
        <f t="shared" si="1"/>
        <v>297.5</v>
      </c>
    </row>
    <row r="59" spans="2:9" ht="15" customHeight="1" x14ac:dyDescent="0.25">
      <c r="B59" s="37" t="s">
        <v>202</v>
      </c>
      <c r="C59" s="38">
        <v>75</v>
      </c>
      <c r="D59" s="46">
        <v>3</v>
      </c>
      <c r="E59" s="45"/>
      <c r="F59" s="45"/>
      <c r="G59" s="47">
        <f t="shared" si="1"/>
        <v>225</v>
      </c>
    </row>
    <row r="60" spans="2:9" ht="15" customHeight="1" x14ac:dyDescent="0.25">
      <c r="B60" s="37" t="s">
        <v>203</v>
      </c>
      <c r="C60" s="38">
        <v>125</v>
      </c>
      <c r="D60" s="46">
        <v>5</v>
      </c>
      <c r="E60" s="45"/>
      <c r="F60" s="45"/>
      <c r="G60" s="47">
        <f t="shared" si="1"/>
        <v>625</v>
      </c>
    </row>
    <row r="61" spans="2:9" ht="15" customHeight="1" x14ac:dyDescent="0.25">
      <c r="B61" s="37" t="s">
        <v>121</v>
      </c>
      <c r="C61" s="38">
        <v>37</v>
      </c>
      <c r="D61" s="46">
        <v>10</v>
      </c>
      <c r="E61" s="45"/>
      <c r="F61" s="45"/>
      <c r="G61" s="47">
        <f t="shared" si="1"/>
        <v>370</v>
      </c>
    </row>
    <row r="62" spans="2:9" ht="15" customHeight="1" x14ac:dyDescent="0.25">
      <c r="B62" s="37" t="s">
        <v>204</v>
      </c>
      <c r="C62" s="58">
        <v>650</v>
      </c>
      <c r="D62" s="46">
        <v>1.4</v>
      </c>
      <c r="E62" s="45"/>
      <c r="F62" s="45"/>
      <c r="G62" s="47">
        <f t="shared" si="1"/>
        <v>909.99999999999989</v>
      </c>
    </row>
    <row r="63" spans="2:9" ht="15" customHeight="1" x14ac:dyDescent="0.25">
      <c r="B63" s="37" t="s">
        <v>123</v>
      </c>
      <c r="C63" s="38">
        <v>7.25</v>
      </c>
      <c r="D63" s="46">
        <f>80+60+35</f>
        <v>175</v>
      </c>
      <c r="E63" s="45"/>
      <c r="F63" s="45"/>
      <c r="G63" s="47">
        <f t="shared" si="1"/>
        <v>1268.75</v>
      </c>
    </row>
    <row r="64" spans="2:9" ht="15" customHeight="1" x14ac:dyDescent="0.25">
      <c r="B64" s="37" t="s">
        <v>124</v>
      </c>
      <c r="C64" s="38">
        <v>14.85</v>
      </c>
      <c r="D64" s="46">
        <v>32</v>
      </c>
      <c r="E64" s="45"/>
      <c r="F64" s="45"/>
      <c r="G64" s="47">
        <f t="shared" si="1"/>
        <v>475.2</v>
      </c>
    </row>
    <row r="65" spans="2:7" ht="15" customHeight="1" x14ac:dyDescent="0.25">
      <c r="B65" s="37" t="s">
        <v>125</v>
      </c>
      <c r="C65" s="38">
        <v>55</v>
      </c>
      <c r="D65" s="46">
        <v>8</v>
      </c>
      <c r="E65" s="45"/>
      <c r="F65" s="45"/>
      <c r="G65" s="47">
        <f t="shared" si="1"/>
        <v>440</v>
      </c>
    </row>
    <row r="66" spans="2:7" ht="15" customHeight="1" x14ac:dyDescent="0.25">
      <c r="B66" s="37" t="s">
        <v>126</v>
      </c>
      <c r="C66" s="38">
        <v>4.1500000000000004</v>
      </c>
      <c r="D66" s="46">
        <v>165</v>
      </c>
      <c r="E66" s="45"/>
      <c r="F66" s="45"/>
      <c r="G66" s="47">
        <f t="shared" si="1"/>
        <v>684.75000000000011</v>
      </c>
    </row>
    <row r="67" spans="2:7" ht="15" customHeight="1" x14ac:dyDescent="0.25">
      <c r="B67" s="37" t="s">
        <v>127</v>
      </c>
      <c r="C67" s="38">
        <v>20</v>
      </c>
      <c r="D67" s="46">
        <v>10</v>
      </c>
      <c r="E67" s="45"/>
      <c r="F67" s="45"/>
      <c r="G67" s="47">
        <f t="shared" si="1"/>
        <v>200</v>
      </c>
    </row>
    <row r="68" spans="2:7" ht="15" customHeight="1" x14ac:dyDescent="0.25">
      <c r="B68" s="37" t="s">
        <v>128</v>
      </c>
      <c r="C68" s="38">
        <v>250</v>
      </c>
      <c r="D68" s="46">
        <v>30</v>
      </c>
      <c r="E68" s="45"/>
      <c r="F68" s="45"/>
      <c r="G68" s="47">
        <f t="shared" si="1"/>
        <v>7500</v>
      </c>
    </row>
    <row r="69" spans="2:7" ht="15" customHeight="1" x14ac:dyDescent="0.25">
      <c r="B69" s="49" t="s">
        <v>129</v>
      </c>
      <c r="C69" s="50">
        <v>75</v>
      </c>
      <c r="D69" s="51">
        <v>5</v>
      </c>
      <c r="E69" s="52"/>
      <c r="F69" s="52"/>
      <c r="G69" s="53">
        <f t="shared" si="1"/>
        <v>375</v>
      </c>
    </row>
    <row r="70" spans="2:7" ht="15" customHeight="1" x14ac:dyDescent="0.25">
      <c r="B70" s="49" t="s">
        <v>205</v>
      </c>
      <c r="C70" s="50">
        <v>31</v>
      </c>
      <c r="D70" s="51">
        <v>15</v>
      </c>
      <c r="E70" s="52"/>
      <c r="F70" s="52"/>
      <c r="G70" s="53">
        <f t="shared" si="1"/>
        <v>465</v>
      </c>
    </row>
    <row r="71" spans="2:7" ht="15" customHeight="1" x14ac:dyDescent="0.25">
      <c r="B71" s="49" t="s">
        <v>206</v>
      </c>
      <c r="C71" s="50">
        <v>59</v>
      </c>
      <c r="D71" s="51">
        <v>15</v>
      </c>
      <c r="E71" s="52"/>
      <c r="F71" s="52"/>
      <c r="G71" s="53">
        <f t="shared" si="1"/>
        <v>885</v>
      </c>
    </row>
    <row r="72" spans="2:7" ht="15" customHeight="1" x14ac:dyDescent="0.25">
      <c r="B72" s="49" t="s">
        <v>207</v>
      </c>
      <c r="C72" s="50">
        <v>43</v>
      </c>
      <c r="D72" s="51">
        <v>25</v>
      </c>
      <c r="E72" s="52"/>
      <c r="F72" s="52"/>
      <c r="G72" s="53">
        <f t="shared" si="1"/>
        <v>1075</v>
      </c>
    </row>
    <row r="73" spans="2:7" ht="15" customHeight="1" x14ac:dyDescent="0.25">
      <c r="B73" s="49" t="s">
        <v>208</v>
      </c>
      <c r="C73" s="50">
        <v>23</v>
      </c>
      <c r="D73" s="51">
        <v>24</v>
      </c>
      <c r="E73" s="52"/>
      <c r="F73" s="52"/>
      <c r="G73" s="53">
        <f t="shared" si="1"/>
        <v>552</v>
      </c>
    </row>
    <row r="74" spans="2:7" ht="15" customHeight="1" x14ac:dyDescent="0.25">
      <c r="B74" s="49" t="s">
        <v>209</v>
      </c>
      <c r="C74" s="50">
        <v>41</v>
      </c>
      <c r="D74" s="51">
        <v>9</v>
      </c>
      <c r="E74" s="52"/>
      <c r="F74" s="52"/>
      <c r="G74" s="53">
        <f t="shared" si="1"/>
        <v>369</v>
      </c>
    </row>
    <row r="75" spans="2:7" ht="15" customHeight="1" x14ac:dyDescent="0.25">
      <c r="B75" s="49" t="s">
        <v>210</v>
      </c>
      <c r="C75" s="50">
        <v>260</v>
      </c>
      <c r="D75" s="51">
        <v>1</v>
      </c>
      <c r="E75" s="52"/>
      <c r="F75" s="52"/>
      <c r="G75" s="53">
        <f t="shared" si="1"/>
        <v>260</v>
      </c>
    </row>
    <row r="76" spans="2:7" ht="15" customHeight="1" x14ac:dyDescent="0.25">
      <c r="B76" s="49" t="s">
        <v>211</v>
      </c>
      <c r="C76" s="50">
        <v>70</v>
      </c>
      <c r="D76" s="51">
        <v>10</v>
      </c>
      <c r="E76" s="52"/>
      <c r="F76" s="52"/>
      <c r="G76" s="53">
        <f t="shared" si="1"/>
        <v>700</v>
      </c>
    </row>
    <row r="77" spans="2:7" ht="15.75" customHeight="1" x14ac:dyDescent="0.25">
      <c r="B77" s="37" t="s">
        <v>212</v>
      </c>
      <c r="C77" s="38">
        <v>225</v>
      </c>
      <c r="D77" s="46">
        <f>1</f>
        <v>1</v>
      </c>
      <c r="E77" s="45"/>
      <c r="F77" s="45"/>
      <c r="G77" s="47">
        <f t="shared" si="1"/>
        <v>225</v>
      </c>
    </row>
  </sheetData>
  <mergeCells count="3">
    <mergeCell ref="H2:Q2"/>
    <mergeCell ref="H16:Q16"/>
    <mergeCell ref="H30:Q30"/>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topLeftCell="A16" zoomScaleNormal="100" workbookViewId="0">
      <selection activeCell="C27" sqref="C27"/>
    </sheetView>
  </sheetViews>
  <sheetFormatPr baseColWidth="10" defaultColWidth="9.140625" defaultRowHeight="15" x14ac:dyDescent="0.25"/>
  <cols>
    <col min="1" max="1" width="3"/>
    <col min="2" max="2" width="22.28515625"/>
    <col min="3" max="3" width="94"/>
    <col min="4" max="4" width="15.140625"/>
    <col min="5" max="6" width="0" hidden="1"/>
    <col min="7" max="7" width="15.28515625"/>
    <col min="8" max="8" width="10.7109375"/>
    <col min="9" max="9" width="12.28515625"/>
    <col min="10" max="1025" width="10.7109375"/>
  </cols>
  <sheetData>
    <row r="1" spans="1:17" ht="15.75" customHeight="1" x14ac:dyDescent="0.25"/>
    <row r="2" spans="1:17" ht="19.5" customHeight="1" x14ac:dyDescent="0.3">
      <c r="B2" s="1" t="s">
        <v>0</v>
      </c>
      <c r="C2" s="2" t="s">
        <v>1</v>
      </c>
      <c r="D2" s="2"/>
      <c r="E2" s="2"/>
      <c r="F2" s="2"/>
      <c r="G2" s="2" t="s">
        <v>2</v>
      </c>
      <c r="H2" s="62" t="s">
        <v>3</v>
      </c>
      <c r="I2" s="62"/>
      <c r="J2" s="62"/>
      <c r="K2" s="62"/>
      <c r="L2" s="62"/>
      <c r="M2" s="62"/>
      <c r="N2" s="62"/>
      <c r="O2" s="62"/>
      <c r="P2" s="62"/>
      <c r="Q2" s="62"/>
    </row>
    <row r="3" spans="1:17" ht="15" customHeight="1" x14ac:dyDescent="0.25">
      <c r="A3" s="3">
        <v>1</v>
      </c>
      <c r="B3" s="4" t="s">
        <v>4</v>
      </c>
      <c r="C3" s="10" t="s">
        <v>5</v>
      </c>
      <c r="D3" s="8"/>
      <c r="E3" s="8"/>
      <c r="F3" s="8"/>
      <c r="G3" s="8">
        <v>30</v>
      </c>
      <c r="H3" s="7" t="s">
        <v>6</v>
      </c>
      <c r="I3" s="8"/>
      <c r="J3" s="8"/>
      <c r="K3" s="8"/>
      <c r="L3" s="8"/>
      <c r="M3" s="8"/>
      <c r="N3" s="8"/>
      <c r="O3" s="8"/>
      <c r="P3" s="8"/>
      <c r="Q3" s="8"/>
    </row>
    <row r="4" spans="1:17" ht="15" customHeight="1" x14ac:dyDescent="0.25">
      <c r="A4" s="9">
        <v>2</v>
      </c>
      <c r="B4" s="4" t="s">
        <v>7</v>
      </c>
      <c r="C4" s="10" t="s">
        <v>8</v>
      </c>
      <c r="D4" s="8"/>
      <c r="E4" s="8"/>
      <c r="F4" s="8"/>
      <c r="G4" s="8">
        <v>30</v>
      </c>
      <c r="H4" s="7" t="s">
        <v>9</v>
      </c>
      <c r="I4" s="8"/>
      <c r="J4" s="8"/>
      <c r="K4" s="8"/>
      <c r="L4" s="8"/>
      <c r="M4" s="8"/>
      <c r="N4" s="8"/>
      <c r="O4" s="8"/>
      <c r="P4" s="8"/>
      <c r="Q4" s="8"/>
    </row>
    <row r="5" spans="1:17" ht="15" customHeight="1" x14ac:dyDescent="0.25">
      <c r="A5" s="9">
        <v>3</v>
      </c>
      <c r="B5" s="4" t="s">
        <v>10</v>
      </c>
      <c r="C5" s="10" t="s">
        <v>11</v>
      </c>
      <c r="D5" s="8"/>
      <c r="E5" s="8"/>
      <c r="F5" s="8"/>
      <c r="G5" s="8">
        <v>100</v>
      </c>
      <c r="H5" s="7" t="s">
        <v>12</v>
      </c>
      <c r="I5" s="8"/>
      <c r="J5" s="8"/>
      <c r="K5" s="8"/>
      <c r="L5" s="8"/>
      <c r="M5" s="8"/>
      <c r="N5" s="8"/>
      <c r="O5" s="8"/>
      <c r="P5" s="8"/>
      <c r="Q5" s="8"/>
    </row>
    <row r="6" spans="1:17" ht="15" customHeight="1" x14ac:dyDescent="0.25">
      <c r="A6" s="9">
        <v>4</v>
      </c>
      <c r="B6" s="4" t="s">
        <v>13</v>
      </c>
      <c r="C6" s="10" t="s">
        <v>14</v>
      </c>
      <c r="D6" s="8"/>
      <c r="E6" s="8"/>
      <c r="F6" s="8"/>
      <c r="G6" s="8">
        <v>100</v>
      </c>
      <c r="H6" s="7" t="s">
        <v>15</v>
      </c>
      <c r="I6" s="8"/>
      <c r="J6" s="8"/>
      <c r="K6" s="8"/>
      <c r="L6" s="8"/>
      <c r="M6" s="8"/>
      <c r="N6" s="8"/>
      <c r="O6" s="8"/>
      <c r="P6" s="8"/>
      <c r="Q6" s="8"/>
    </row>
    <row r="7" spans="1:17" ht="15" customHeight="1" x14ac:dyDescent="0.25">
      <c r="A7" s="9">
        <v>5</v>
      </c>
      <c r="B7" s="4" t="s">
        <v>16</v>
      </c>
      <c r="C7" s="10" t="s">
        <v>17</v>
      </c>
      <c r="D7" s="8"/>
      <c r="E7" s="8"/>
      <c r="F7" s="8"/>
      <c r="G7" s="8">
        <v>80</v>
      </c>
      <c r="H7" s="7" t="s">
        <v>18</v>
      </c>
      <c r="I7" s="8"/>
      <c r="J7" s="8"/>
      <c r="K7" s="8"/>
      <c r="L7" s="8"/>
      <c r="M7" s="8"/>
      <c r="N7" s="8"/>
      <c r="O7" s="8"/>
      <c r="P7" s="8"/>
      <c r="Q7" s="8"/>
    </row>
    <row r="8" spans="1:17" ht="15" customHeight="1" x14ac:dyDescent="0.25">
      <c r="A8" s="9">
        <v>6</v>
      </c>
      <c r="B8" s="4" t="s">
        <v>19</v>
      </c>
      <c r="C8" s="10" t="s">
        <v>20</v>
      </c>
      <c r="D8" s="8"/>
      <c r="E8" s="8"/>
      <c r="F8" s="8"/>
      <c r="G8" s="8">
        <v>85</v>
      </c>
      <c r="H8" s="7" t="s">
        <v>21</v>
      </c>
      <c r="I8" s="8"/>
      <c r="J8" s="8"/>
      <c r="K8" s="8"/>
      <c r="L8" s="8"/>
      <c r="M8" s="8"/>
      <c r="N8" s="8"/>
      <c r="O8" s="8"/>
      <c r="P8" s="8"/>
      <c r="Q8" s="8"/>
    </row>
    <row r="9" spans="1:17" ht="15" customHeight="1" x14ac:dyDescent="0.25">
      <c r="A9" s="9">
        <v>7</v>
      </c>
      <c r="B9" s="4" t="s">
        <v>22</v>
      </c>
      <c r="C9" s="10" t="s">
        <v>23</v>
      </c>
      <c r="D9" s="8"/>
      <c r="E9" s="8"/>
      <c r="F9" s="8"/>
      <c r="G9" s="8">
        <v>60</v>
      </c>
      <c r="H9" s="7" t="s">
        <v>24</v>
      </c>
      <c r="I9" s="8"/>
      <c r="J9" s="8"/>
      <c r="K9" s="8"/>
      <c r="L9" s="8"/>
      <c r="M9" s="8"/>
      <c r="N9" s="8"/>
      <c r="O9" s="8"/>
      <c r="P9" s="8"/>
      <c r="Q9" s="8"/>
    </row>
    <row r="10" spans="1:17" ht="15" customHeight="1" x14ac:dyDescent="0.25">
      <c r="A10" s="9">
        <v>8</v>
      </c>
      <c r="B10" s="4" t="s">
        <v>25</v>
      </c>
      <c r="C10" s="10" t="s">
        <v>26</v>
      </c>
      <c r="D10" s="8"/>
      <c r="E10" s="8"/>
      <c r="F10" s="8"/>
      <c r="G10" s="8">
        <v>50</v>
      </c>
      <c r="H10" s="7" t="s">
        <v>27</v>
      </c>
      <c r="I10" s="8"/>
      <c r="J10" s="8"/>
      <c r="K10" s="8"/>
      <c r="L10" s="8"/>
      <c r="M10" s="8"/>
      <c r="N10" s="8"/>
      <c r="O10" s="8"/>
      <c r="P10" s="8"/>
      <c r="Q10" s="8"/>
    </row>
    <row r="11" spans="1:17" ht="15" customHeight="1" x14ac:dyDescent="0.25">
      <c r="A11" s="9">
        <v>9</v>
      </c>
      <c r="B11" s="7"/>
      <c r="C11" s="10"/>
      <c r="D11" s="8"/>
      <c r="E11" s="8"/>
      <c r="F11" s="8"/>
      <c r="G11" s="8"/>
      <c r="H11" s="7"/>
      <c r="I11" s="8"/>
      <c r="J11" s="8"/>
      <c r="K11" s="8"/>
      <c r="L11" s="8"/>
      <c r="M11" s="8"/>
      <c r="N11" s="8"/>
      <c r="O11" s="8"/>
      <c r="P11" s="8"/>
      <c r="Q11" s="8"/>
    </row>
    <row r="12" spans="1:17" ht="15" customHeight="1" x14ac:dyDescent="0.25">
      <c r="A12" s="9">
        <v>10</v>
      </c>
      <c r="B12" s="7"/>
      <c r="C12" s="10"/>
      <c r="D12" s="8"/>
      <c r="E12" s="8"/>
      <c r="F12" s="8"/>
      <c r="G12" s="8"/>
      <c r="H12" s="7"/>
      <c r="I12" s="8"/>
      <c r="J12" s="8"/>
      <c r="K12" s="8"/>
      <c r="L12" s="8"/>
      <c r="M12" s="8"/>
      <c r="N12" s="8"/>
      <c r="O12" s="8"/>
      <c r="P12" s="8"/>
      <c r="Q12" s="8"/>
    </row>
    <row r="13" spans="1:17" ht="15" customHeight="1" x14ac:dyDescent="0.25">
      <c r="A13" s="9">
        <v>11</v>
      </c>
      <c r="B13" s="8"/>
      <c r="C13" s="11"/>
      <c r="D13" s="8"/>
      <c r="E13" s="8"/>
      <c r="F13" s="8"/>
      <c r="G13" s="8"/>
      <c r="H13" s="8"/>
      <c r="I13" s="8"/>
      <c r="J13" s="8"/>
      <c r="K13" s="8"/>
      <c r="L13" s="8"/>
      <c r="M13" s="8"/>
      <c r="N13" s="8"/>
      <c r="O13" s="8"/>
      <c r="P13" s="8"/>
      <c r="Q13" s="8"/>
    </row>
    <row r="14" spans="1:17" ht="15.75" customHeight="1" x14ac:dyDescent="0.25">
      <c r="A14" s="12">
        <v>12</v>
      </c>
      <c r="B14" s="7"/>
      <c r="C14" s="10"/>
      <c r="D14" s="8"/>
      <c r="E14" s="8"/>
      <c r="F14" s="8"/>
      <c r="G14" s="8"/>
      <c r="H14" s="7"/>
      <c r="I14" s="8"/>
      <c r="J14" s="8"/>
      <c r="K14" s="8"/>
      <c r="L14" s="8"/>
      <c r="M14" s="8"/>
      <c r="N14" s="8"/>
      <c r="O14" s="8"/>
      <c r="P14" s="8"/>
      <c r="Q14" s="8"/>
    </row>
    <row r="15" spans="1:17" ht="15.75" customHeight="1" x14ac:dyDescent="0.25"/>
    <row r="16" spans="1:17" ht="19.5" customHeight="1" x14ac:dyDescent="0.3">
      <c r="B16" s="1" t="s">
        <v>0</v>
      </c>
      <c r="C16" s="2" t="s">
        <v>1</v>
      </c>
      <c r="D16" s="2"/>
      <c r="E16" s="2"/>
      <c r="F16" s="2"/>
      <c r="G16" s="2" t="s">
        <v>2</v>
      </c>
      <c r="H16" s="62" t="s">
        <v>3</v>
      </c>
      <c r="I16" s="62"/>
      <c r="J16" s="62"/>
      <c r="K16" s="62"/>
      <c r="L16" s="62"/>
      <c r="M16" s="62"/>
      <c r="N16" s="62"/>
      <c r="O16" s="62"/>
      <c r="P16" s="62"/>
      <c r="Q16" s="62"/>
    </row>
    <row r="17" spans="1:17" ht="15" customHeight="1" x14ac:dyDescent="0.25">
      <c r="A17" s="3">
        <v>1</v>
      </c>
      <c r="B17" s="4" t="s">
        <v>213</v>
      </c>
      <c r="C17" s="22" t="s">
        <v>214</v>
      </c>
      <c r="D17" s="22"/>
      <c r="E17" s="22"/>
      <c r="F17" s="22"/>
      <c r="G17" s="22">
        <f>200*C49</f>
        <v>256</v>
      </c>
      <c r="H17" s="8" t="s">
        <v>215</v>
      </c>
      <c r="I17" s="8"/>
      <c r="J17" s="8"/>
      <c r="K17" s="8"/>
      <c r="L17" s="8"/>
      <c r="M17" s="8"/>
      <c r="N17" s="8"/>
      <c r="O17" s="8"/>
      <c r="P17" s="8"/>
      <c r="Q17" s="8"/>
    </row>
    <row r="18" spans="1:17" ht="15" customHeight="1" x14ac:dyDescent="0.25">
      <c r="A18" s="9">
        <v>2</v>
      </c>
      <c r="B18" s="4" t="s">
        <v>216</v>
      </c>
      <c r="C18" s="22" t="s">
        <v>217</v>
      </c>
      <c r="D18" s="22"/>
      <c r="E18" s="22"/>
      <c r="F18" s="22"/>
      <c r="G18" s="22">
        <f>10*C46</f>
        <v>325</v>
      </c>
      <c r="H18" s="8" t="s">
        <v>218</v>
      </c>
      <c r="I18" s="8"/>
      <c r="J18" s="8"/>
      <c r="K18" s="8"/>
      <c r="L18" s="8"/>
      <c r="M18" s="8"/>
      <c r="N18" s="8"/>
      <c r="O18" s="8"/>
      <c r="P18" s="8"/>
      <c r="Q18" s="8"/>
    </row>
    <row r="19" spans="1:17" ht="15" customHeight="1" x14ac:dyDescent="0.25">
      <c r="A19" s="9">
        <v>3</v>
      </c>
      <c r="B19" s="4" t="s">
        <v>219</v>
      </c>
      <c r="C19" s="22" t="s">
        <v>220</v>
      </c>
      <c r="D19" s="22"/>
      <c r="E19" s="22"/>
      <c r="F19" s="22"/>
      <c r="G19" s="22">
        <f>4*C51</f>
        <v>180</v>
      </c>
      <c r="H19" s="8" t="s">
        <v>221</v>
      </c>
      <c r="I19" s="8"/>
      <c r="J19" s="8"/>
      <c r="K19" s="8"/>
      <c r="L19" s="8"/>
      <c r="M19" s="8"/>
      <c r="N19" s="8"/>
      <c r="O19" s="8"/>
      <c r="P19" s="8"/>
      <c r="Q19" s="8"/>
    </row>
    <row r="20" spans="1:17" ht="15" customHeight="1" x14ac:dyDescent="0.25">
      <c r="A20" s="9">
        <v>4</v>
      </c>
      <c r="B20" s="4" t="s">
        <v>222</v>
      </c>
      <c r="C20" s="22" t="s">
        <v>223</v>
      </c>
      <c r="D20" s="22"/>
      <c r="E20" s="22"/>
      <c r="F20" s="22"/>
      <c r="G20" s="22">
        <f>9*C52</f>
        <v>279</v>
      </c>
      <c r="H20" s="8" t="s">
        <v>224</v>
      </c>
      <c r="I20" s="8"/>
      <c r="J20" s="8"/>
      <c r="K20" s="8"/>
      <c r="L20" s="8"/>
      <c r="M20" s="8"/>
      <c r="N20" s="8"/>
      <c r="O20" s="8"/>
      <c r="P20" s="8"/>
      <c r="Q20" s="8"/>
    </row>
    <row r="21" spans="1:17" ht="15" customHeight="1" x14ac:dyDescent="0.25">
      <c r="A21" s="9">
        <v>5</v>
      </c>
      <c r="B21" s="4" t="s">
        <v>225</v>
      </c>
      <c r="C21" s="22" t="s">
        <v>226</v>
      </c>
      <c r="D21" s="22"/>
      <c r="E21" s="22"/>
      <c r="F21" s="22"/>
      <c r="G21" s="22">
        <f>12*C53</f>
        <v>228</v>
      </c>
      <c r="H21" s="8" t="s">
        <v>227</v>
      </c>
      <c r="I21" s="8"/>
      <c r="J21" s="8"/>
      <c r="K21" s="8"/>
      <c r="L21" s="8"/>
      <c r="M21" s="8"/>
      <c r="N21" s="8"/>
      <c r="O21" s="8"/>
      <c r="P21" s="8"/>
      <c r="Q21" s="8"/>
    </row>
    <row r="22" spans="1:17" ht="15" customHeight="1" x14ac:dyDescent="0.25">
      <c r="A22" s="9">
        <v>6</v>
      </c>
      <c r="B22" s="4" t="s">
        <v>228</v>
      </c>
      <c r="C22" s="22" t="s">
        <v>229</v>
      </c>
      <c r="D22" s="22"/>
      <c r="E22" s="22"/>
      <c r="F22" s="22"/>
      <c r="G22" s="22">
        <f>7*C47</f>
        <v>315</v>
      </c>
      <c r="H22" s="8" t="s">
        <v>230</v>
      </c>
      <c r="I22" s="8"/>
      <c r="J22" s="8"/>
      <c r="K22" s="8"/>
      <c r="L22" s="8"/>
      <c r="M22" s="8"/>
      <c r="N22" s="8"/>
      <c r="O22" s="8"/>
      <c r="P22" s="8"/>
      <c r="Q22" s="8"/>
    </row>
    <row r="23" spans="1:17" ht="15" customHeight="1" x14ac:dyDescent="0.25">
      <c r="A23" s="9">
        <v>7</v>
      </c>
      <c r="B23" s="4" t="s">
        <v>231</v>
      </c>
      <c r="C23" s="22" t="s">
        <v>232</v>
      </c>
      <c r="D23" s="22"/>
      <c r="E23" s="22"/>
      <c r="F23" s="22"/>
      <c r="G23" s="22">
        <f>10*C54</f>
        <v>240</v>
      </c>
      <c r="H23" s="8" t="s">
        <v>233</v>
      </c>
      <c r="I23" s="8"/>
      <c r="J23" s="8"/>
      <c r="K23" s="8"/>
      <c r="L23" s="8"/>
      <c r="M23" s="8"/>
      <c r="N23" s="8"/>
      <c r="O23" s="8"/>
      <c r="P23" s="8"/>
      <c r="Q23" s="8"/>
    </row>
    <row r="24" spans="1:17" ht="15" customHeight="1" x14ac:dyDescent="0.25">
      <c r="A24" s="9">
        <v>8</v>
      </c>
      <c r="B24" s="4" t="s">
        <v>234</v>
      </c>
      <c r="C24" s="22" t="s">
        <v>235</v>
      </c>
      <c r="D24" s="22"/>
      <c r="E24" s="22"/>
      <c r="F24" s="22"/>
      <c r="G24" s="54">
        <f>30*C55</f>
        <v>161.25</v>
      </c>
      <c r="H24" s="8" t="s">
        <v>236</v>
      </c>
      <c r="I24" s="8"/>
      <c r="J24" s="8"/>
      <c r="K24" s="8"/>
      <c r="L24" s="8"/>
      <c r="M24" s="8"/>
      <c r="N24" s="8"/>
      <c r="O24" s="8"/>
      <c r="P24" s="8"/>
      <c r="Q24" s="8"/>
    </row>
    <row r="25" spans="1:17" ht="15" customHeight="1" x14ac:dyDescent="0.25">
      <c r="A25" s="9">
        <v>9</v>
      </c>
      <c r="B25" s="4" t="s">
        <v>237</v>
      </c>
      <c r="C25" s="22" t="s">
        <v>238</v>
      </c>
      <c r="D25" s="22"/>
      <c r="E25" s="22"/>
      <c r="F25" s="22"/>
      <c r="G25" s="54">
        <f>120*C50</f>
        <v>222</v>
      </c>
      <c r="H25" s="8" t="s">
        <v>239</v>
      </c>
      <c r="I25" s="8"/>
      <c r="J25" s="8"/>
      <c r="K25" s="8"/>
      <c r="L25" s="8"/>
      <c r="M25" s="8"/>
      <c r="N25" s="8"/>
      <c r="O25" s="8"/>
      <c r="P25" s="8"/>
      <c r="Q25" s="8"/>
    </row>
    <row r="26" spans="1:17" ht="15" customHeight="1" x14ac:dyDescent="0.25">
      <c r="A26" s="9">
        <v>10</v>
      </c>
      <c r="B26" s="4" t="s">
        <v>240</v>
      </c>
      <c r="C26" s="22" t="s">
        <v>241</v>
      </c>
      <c r="D26" s="22"/>
      <c r="E26" s="22"/>
      <c r="F26" s="22"/>
      <c r="G26" s="54">
        <f>6*C48</f>
        <v>180</v>
      </c>
      <c r="H26" s="8" t="s">
        <v>242</v>
      </c>
      <c r="I26" s="8"/>
      <c r="J26" s="8"/>
      <c r="K26" s="8"/>
      <c r="L26" s="8"/>
      <c r="M26" s="8"/>
      <c r="N26" s="8"/>
      <c r="O26" s="8"/>
      <c r="P26" s="8"/>
      <c r="Q26" s="8"/>
    </row>
    <row r="27" spans="1:17" ht="15" customHeight="1" x14ac:dyDescent="0.25">
      <c r="A27" s="9">
        <v>11</v>
      </c>
      <c r="B27" s="4" t="s">
        <v>243</v>
      </c>
      <c r="C27" s="22" t="s">
        <v>244</v>
      </c>
      <c r="D27" s="22"/>
      <c r="E27" s="22"/>
      <c r="F27" s="22"/>
      <c r="G27" s="54">
        <f>0.5*C80</f>
        <v>250</v>
      </c>
      <c r="H27" s="8" t="s">
        <v>245</v>
      </c>
      <c r="I27" s="8"/>
      <c r="J27" s="8"/>
      <c r="K27" s="8"/>
      <c r="L27" s="8"/>
      <c r="M27" s="8"/>
      <c r="N27" s="8"/>
      <c r="O27" s="8"/>
      <c r="P27" s="8"/>
      <c r="Q27" s="8"/>
    </row>
    <row r="28" spans="1:17" ht="15.75" customHeight="1" x14ac:dyDescent="0.25">
      <c r="A28" s="12">
        <v>12</v>
      </c>
      <c r="B28" s="4" t="s">
        <v>246</v>
      </c>
      <c r="C28" s="22" t="s">
        <v>247</v>
      </c>
      <c r="D28" s="22"/>
      <c r="E28" s="22"/>
      <c r="F28" s="22"/>
      <c r="G28" s="54">
        <f>6*C81</f>
        <v>270</v>
      </c>
      <c r="H28" s="8" t="s">
        <v>248</v>
      </c>
      <c r="I28" s="8"/>
      <c r="J28" s="8"/>
      <c r="K28" s="8"/>
      <c r="L28" s="8"/>
      <c r="M28" s="8"/>
      <c r="N28" s="8"/>
      <c r="O28" s="8"/>
      <c r="P28" s="8"/>
      <c r="Q28" s="8"/>
    </row>
    <row r="29" spans="1:17" ht="15.75" customHeight="1" x14ac:dyDescent="0.25">
      <c r="C29" s="25"/>
      <c r="D29" s="25"/>
      <c r="E29" s="25"/>
      <c r="F29" s="25"/>
      <c r="G29" s="25"/>
    </row>
    <row r="30" spans="1:17" ht="19.5" customHeight="1" x14ac:dyDescent="0.3">
      <c r="B30" s="1" t="s">
        <v>0</v>
      </c>
      <c r="C30" s="27" t="s">
        <v>165</v>
      </c>
      <c r="D30" s="27"/>
      <c r="E30" s="27" t="s">
        <v>2</v>
      </c>
      <c r="F30" s="27" t="s">
        <v>249</v>
      </c>
      <c r="G30" s="27" t="s">
        <v>2</v>
      </c>
      <c r="H30" s="62" t="s">
        <v>3</v>
      </c>
      <c r="I30" s="62"/>
      <c r="J30" s="62"/>
      <c r="K30" s="62"/>
      <c r="L30" s="62"/>
      <c r="M30" s="62"/>
      <c r="N30" s="62"/>
      <c r="O30" s="62"/>
      <c r="P30" s="62"/>
      <c r="Q30" s="62"/>
    </row>
    <row r="31" spans="1:17" ht="15" customHeight="1" x14ac:dyDescent="0.25">
      <c r="A31" s="3">
        <v>1</v>
      </c>
      <c r="B31" s="4" t="s">
        <v>250</v>
      </c>
      <c r="C31" s="22" t="s">
        <v>251</v>
      </c>
      <c r="D31" s="22"/>
      <c r="E31" s="55">
        <f>4*75+7*40+200</f>
        <v>780</v>
      </c>
      <c r="F31" s="55">
        <f>G18+G19</f>
        <v>505</v>
      </c>
      <c r="G31" s="28">
        <f>MROUND((20*C51+20*C46+35*C58)*I46,20)</f>
        <v>1860</v>
      </c>
      <c r="H31" s="8" t="s">
        <v>252</v>
      </c>
      <c r="I31" s="8"/>
      <c r="J31" s="8"/>
      <c r="K31" s="8"/>
      <c r="L31" s="8"/>
      <c r="M31" s="8"/>
      <c r="N31" s="8"/>
      <c r="O31" s="8"/>
      <c r="P31" s="8"/>
      <c r="Q31" s="8"/>
    </row>
    <row r="32" spans="1:17" ht="15" customHeight="1" x14ac:dyDescent="0.25">
      <c r="A32" s="9">
        <v>2</v>
      </c>
      <c r="B32" s="4" t="s">
        <v>253</v>
      </c>
      <c r="C32" s="22" t="s">
        <v>254</v>
      </c>
      <c r="D32" s="22"/>
      <c r="E32" s="55">
        <f>600+3*50</f>
        <v>750</v>
      </c>
      <c r="F32" s="55">
        <f>G20+G23</f>
        <v>519</v>
      </c>
      <c r="G32" s="28">
        <f>MROUND((20*C52+40*C54+9*C63)*I46,20)</f>
        <v>2120</v>
      </c>
      <c r="H32" s="8" t="s">
        <v>255</v>
      </c>
      <c r="I32" s="8"/>
      <c r="J32" s="8"/>
      <c r="K32" s="8"/>
      <c r="L32" s="8"/>
      <c r="M32" s="8"/>
      <c r="N32" s="8"/>
      <c r="O32" s="8"/>
      <c r="P32" s="8"/>
      <c r="Q32" s="8"/>
    </row>
    <row r="33" spans="1:17" ht="15" customHeight="1" x14ac:dyDescent="0.25">
      <c r="A33" s="9">
        <v>3</v>
      </c>
      <c r="B33" s="4" t="s">
        <v>256</v>
      </c>
      <c r="C33" s="22" t="s">
        <v>257</v>
      </c>
      <c r="D33" s="22"/>
      <c r="E33" s="55">
        <f>6*75+200</f>
        <v>650</v>
      </c>
      <c r="F33" s="55">
        <f>G19+G27</f>
        <v>430</v>
      </c>
      <c r="G33" s="28">
        <f>MROUND((40*C51+10*C83)*I46,20)</f>
        <v>2340</v>
      </c>
      <c r="H33" s="8" t="s">
        <v>258</v>
      </c>
      <c r="I33" s="8"/>
      <c r="J33" s="8"/>
      <c r="K33" s="8"/>
      <c r="L33" s="8"/>
      <c r="M33" s="8"/>
      <c r="N33" s="8"/>
      <c r="O33" s="8"/>
      <c r="P33" s="8"/>
      <c r="Q33" s="8"/>
    </row>
    <row r="34" spans="1:17" ht="15" customHeight="1" x14ac:dyDescent="0.25">
      <c r="A34" s="9">
        <v>4</v>
      </c>
      <c r="B34" s="4" t="s">
        <v>259</v>
      </c>
      <c r="C34" s="22" t="s">
        <v>260</v>
      </c>
      <c r="D34" s="22"/>
      <c r="E34" s="55">
        <f>8*60+150</f>
        <v>630</v>
      </c>
      <c r="F34" s="55">
        <f>G17+G28</f>
        <v>526</v>
      </c>
      <c r="G34" s="28">
        <f>MROUND((300*C49+1*C64)*I46,20)</f>
        <v>1480</v>
      </c>
      <c r="H34" s="8" t="s">
        <v>261</v>
      </c>
      <c r="I34" s="8"/>
      <c r="J34" s="8"/>
      <c r="K34" s="8"/>
      <c r="L34" s="8"/>
      <c r="M34" s="8"/>
      <c r="N34" s="8"/>
      <c r="O34" s="8"/>
      <c r="P34" s="8"/>
      <c r="Q34" s="8"/>
    </row>
    <row r="35" spans="1:17" ht="15" customHeight="1" x14ac:dyDescent="0.25">
      <c r="A35" s="9">
        <v>5</v>
      </c>
      <c r="B35" s="4" t="s">
        <v>262</v>
      </c>
      <c r="C35" s="22" t="s">
        <v>263</v>
      </c>
      <c r="D35" s="22"/>
      <c r="E35" s="22">
        <f>10*25+5*50+100</f>
        <v>600</v>
      </c>
      <c r="F35" s="22">
        <f>G21+G22</f>
        <v>543</v>
      </c>
      <c r="G35" s="59">
        <f>MROUND((45*C53+25*C47+0.75*C66)*I46,20)</f>
        <v>2220</v>
      </c>
      <c r="H35" s="8" t="s">
        <v>264</v>
      </c>
      <c r="I35" s="8"/>
      <c r="J35" s="8"/>
      <c r="K35" s="8"/>
      <c r="L35" s="8"/>
      <c r="M35" s="8"/>
      <c r="N35" s="8"/>
      <c r="O35" s="8"/>
      <c r="P35" s="8"/>
      <c r="Q35" s="8"/>
    </row>
    <row r="36" spans="1:17" ht="15" customHeight="1" x14ac:dyDescent="0.25">
      <c r="A36" s="9">
        <v>6</v>
      </c>
      <c r="B36" s="4" t="s">
        <v>265</v>
      </c>
      <c r="C36" s="22" t="s">
        <v>266</v>
      </c>
      <c r="D36" s="22"/>
      <c r="E36" s="55">
        <f>15*25+6*40</f>
        <v>615</v>
      </c>
      <c r="F36" s="55">
        <f>G21+G18</f>
        <v>553</v>
      </c>
      <c r="G36" s="28">
        <f>MROUND((38*C53+30*C46+25*C60)*I46,20)</f>
        <v>1720</v>
      </c>
      <c r="H36" s="8" t="s">
        <v>267</v>
      </c>
      <c r="I36" s="8"/>
      <c r="J36" s="8"/>
      <c r="K36" s="8"/>
      <c r="L36" s="8"/>
      <c r="M36" s="8"/>
      <c r="N36" s="8"/>
      <c r="O36" s="8"/>
      <c r="P36" s="8"/>
      <c r="Q36" s="8"/>
    </row>
    <row r="37" spans="1:17" ht="15" customHeight="1" x14ac:dyDescent="0.25">
      <c r="A37" s="9">
        <v>7</v>
      </c>
      <c r="B37" s="4" t="s">
        <v>268</v>
      </c>
      <c r="C37" s="22" t="s">
        <v>269</v>
      </c>
      <c r="D37" s="22"/>
      <c r="E37" s="22">
        <f>7*50+7*40</f>
        <v>630</v>
      </c>
      <c r="F37" s="22">
        <f>G22+G26</f>
        <v>495</v>
      </c>
      <c r="G37" s="28">
        <f>MROUND((18*C47+23*C48+1*C84)*I46,20)</f>
        <v>1900</v>
      </c>
      <c r="H37" s="8" t="s">
        <v>270</v>
      </c>
      <c r="I37" s="8"/>
      <c r="J37" s="8"/>
      <c r="K37" s="8"/>
      <c r="L37" s="8"/>
      <c r="M37" s="8"/>
      <c r="N37" s="8"/>
      <c r="O37" s="8"/>
      <c r="P37" s="8"/>
      <c r="Q37" s="8"/>
    </row>
    <row r="38" spans="1:17" ht="15" customHeight="1" x14ac:dyDescent="0.25">
      <c r="A38" s="9">
        <v>8</v>
      </c>
      <c r="B38" s="4" t="s">
        <v>271</v>
      </c>
      <c r="C38" s="22" t="s">
        <v>272</v>
      </c>
      <c r="D38" s="22"/>
      <c r="E38" s="55">
        <f>3*50+75+200/25*30</f>
        <v>465</v>
      </c>
      <c r="F38" s="55">
        <f>G24+G23</f>
        <v>401.25</v>
      </c>
      <c r="G38" s="28">
        <f>MROUND((20*C54+60*C55)*I46,20)</f>
        <v>720</v>
      </c>
      <c r="H38" s="8" t="s">
        <v>273</v>
      </c>
      <c r="I38" s="8"/>
      <c r="J38" s="8"/>
      <c r="K38" s="8"/>
      <c r="L38" s="8"/>
      <c r="M38" s="8"/>
      <c r="N38" s="8"/>
      <c r="O38" s="8"/>
      <c r="P38" s="8"/>
      <c r="Q38" s="8"/>
    </row>
    <row r="39" spans="1:17" ht="15" customHeight="1" x14ac:dyDescent="0.25">
      <c r="A39" s="9">
        <v>9</v>
      </c>
      <c r="B39" s="4" t="s">
        <v>274</v>
      </c>
      <c r="C39" s="22" t="s">
        <v>275</v>
      </c>
      <c r="D39" s="22"/>
      <c r="E39" s="55">
        <f>8*72+8*40-1</f>
        <v>895</v>
      </c>
      <c r="F39" s="55">
        <f>G25+G26</f>
        <v>402</v>
      </c>
      <c r="G39" s="28">
        <f>MROUND((325*C50+35*C48)*I46,20)</f>
        <v>1480</v>
      </c>
      <c r="H39" s="8" t="s">
        <v>276</v>
      </c>
      <c r="I39" s="8"/>
      <c r="J39" s="8"/>
      <c r="K39" s="8"/>
      <c r="L39" s="8"/>
      <c r="M39" s="8"/>
      <c r="N39" s="8"/>
      <c r="O39" s="8"/>
      <c r="P39" s="8"/>
      <c r="Q39" s="8"/>
    </row>
    <row r="40" spans="1:17" ht="15" customHeight="1" x14ac:dyDescent="0.25">
      <c r="A40" s="9">
        <v>10</v>
      </c>
      <c r="B40" s="4" t="s">
        <v>277</v>
      </c>
      <c r="C40" s="22" t="s">
        <v>278</v>
      </c>
      <c r="D40" s="22"/>
      <c r="E40" s="55">
        <f>10*72+10*60</f>
        <v>1320</v>
      </c>
      <c r="F40" s="55">
        <f>G25+G17</f>
        <v>478</v>
      </c>
      <c r="G40" s="28">
        <f>MROUND((250*C50+250*C49+25*C68)*I46,20)</f>
        <v>1040</v>
      </c>
      <c r="H40" s="8" t="s">
        <v>279</v>
      </c>
      <c r="I40" s="8"/>
      <c r="J40" s="8"/>
      <c r="K40" s="8"/>
      <c r="L40" s="8"/>
      <c r="M40" s="8"/>
      <c r="N40" s="8"/>
      <c r="O40" s="8"/>
      <c r="P40" s="8"/>
      <c r="Q40" s="8"/>
    </row>
    <row r="41" spans="1:17" ht="15" customHeight="1" x14ac:dyDescent="0.25">
      <c r="A41" s="9">
        <v>11</v>
      </c>
      <c r="B41" s="4" t="s">
        <v>280</v>
      </c>
      <c r="C41" s="22" t="s">
        <v>281</v>
      </c>
      <c r="D41" s="22"/>
      <c r="E41" s="55">
        <f>200/25*35+ 200</f>
        <v>480</v>
      </c>
      <c r="F41" s="55">
        <f>G24+G27</f>
        <v>411.25</v>
      </c>
      <c r="G41" s="28">
        <f>MROUND((70*C55+25*C59)*I46,20)</f>
        <v>1020</v>
      </c>
      <c r="H41" s="8" t="s">
        <v>282</v>
      </c>
      <c r="I41" s="8"/>
      <c r="J41" s="8"/>
      <c r="K41" s="8"/>
      <c r="L41" s="8"/>
      <c r="M41" s="8"/>
      <c r="N41" s="8"/>
      <c r="O41" s="8"/>
      <c r="P41" s="8"/>
      <c r="Q41" s="8"/>
    </row>
    <row r="42" spans="1:17" ht="15.75" customHeight="1" x14ac:dyDescent="0.25">
      <c r="A42" s="12">
        <v>12</v>
      </c>
      <c r="B42" s="4" t="s">
        <v>283</v>
      </c>
      <c r="C42" s="22" t="s">
        <v>284</v>
      </c>
      <c r="D42" s="22"/>
      <c r="E42" s="55">
        <f>400+150</f>
        <v>550</v>
      </c>
      <c r="F42" s="55">
        <f>G20+G28</f>
        <v>549</v>
      </c>
      <c r="G42" s="28">
        <f>MROUND((15*C52+30*C85)*I46,20)</f>
        <v>1440</v>
      </c>
      <c r="H42" s="8" t="s">
        <v>285</v>
      </c>
      <c r="I42" s="8"/>
      <c r="J42" s="8"/>
      <c r="K42" s="8"/>
      <c r="L42" s="8"/>
      <c r="M42" s="8"/>
      <c r="N42" s="8"/>
      <c r="O42" s="8"/>
      <c r="P42" s="8"/>
      <c r="Q42" s="8"/>
    </row>
    <row r="44" spans="1:17" ht="15.75" customHeight="1" x14ac:dyDescent="0.25"/>
    <row r="45" spans="1:17" ht="15" customHeight="1" x14ac:dyDescent="0.25">
      <c r="B45" s="31"/>
      <c r="C45" s="32" t="s">
        <v>101</v>
      </c>
      <c r="D45" s="33" t="s">
        <v>102</v>
      </c>
      <c r="E45" s="34"/>
      <c r="F45" s="34"/>
      <c r="G45" s="33" t="s">
        <v>103</v>
      </c>
      <c r="I45" s="56" t="s">
        <v>104</v>
      </c>
    </row>
    <row r="46" spans="1:17" ht="15.75" customHeight="1" x14ac:dyDescent="0.25">
      <c r="B46" s="37" t="s">
        <v>105</v>
      </c>
      <c r="C46" s="38">
        <v>32.5</v>
      </c>
      <c r="D46" s="34">
        <v>8</v>
      </c>
      <c r="E46" s="34"/>
      <c r="F46" s="34"/>
      <c r="G46" s="39">
        <f t="shared" ref="G46:G55" si="0">D46*C46</f>
        <v>260</v>
      </c>
      <c r="I46" s="57">
        <v>0.9</v>
      </c>
    </row>
    <row r="47" spans="1:17" ht="15" customHeight="1" x14ac:dyDescent="0.25">
      <c r="B47" s="37" t="s">
        <v>106</v>
      </c>
      <c r="C47" s="38">
        <v>45</v>
      </c>
      <c r="D47" s="34">
        <v>6</v>
      </c>
      <c r="E47" s="34"/>
      <c r="F47" s="34"/>
      <c r="G47" s="39">
        <f t="shared" si="0"/>
        <v>270</v>
      </c>
    </row>
    <row r="48" spans="1:17" ht="15" customHeight="1" x14ac:dyDescent="0.25">
      <c r="B48" s="37" t="s">
        <v>107</v>
      </c>
      <c r="C48" s="38">
        <v>30</v>
      </c>
      <c r="D48" s="34">
        <v>7</v>
      </c>
      <c r="E48" s="34"/>
      <c r="F48" s="34"/>
      <c r="G48" s="39">
        <f t="shared" si="0"/>
        <v>210</v>
      </c>
    </row>
    <row r="49" spans="2:7" ht="15" customHeight="1" x14ac:dyDescent="0.25">
      <c r="B49" s="37" t="s">
        <v>108</v>
      </c>
      <c r="C49" s="38">
        <v>1.28</v>
      </c>
      <c r="D49" s="34">
        <v>250</v>
      </c>
      <c r="E49" s="34"/>
      <c r="F49" s="34"/>
      <c r="G49" s="39">
        <f t="shared" si="0"/>
        <v>320</v>
      </c>
    </row>
    <row r="50" spans="2:7" ht="15" customHeight="1" x14ac:dyDescent="0.25">
      <c r="B50" s="37" t="s">
        <v>109</v>
      </c>
      <c r="C50" s="38">
        <v>1.85</v>
      </c>
      <c r="D50" s="34">
        <v>100</v>
      </c>
      <c r="E50" s="34"/>
      <c r="F50" s="34"/>
      <c r="G50" s="39">
        <f t="shared" si="0"/>
        <v>185</v>
      </c>
    </row>
    <row r="51" spans="2:7" ht="15" customHeight="1" x14ac:dyDescent="0.25">
      <c r="B51" s="37" t="s">
        <v>110</v>
      </c>
      <c r="C51" s="38">
        <v>45</v>
      </c>
      <c r="D51" s="34">
        <v>5</v>
      </c>
      <c r="E51" s="34"/>
      <c r="F51" s="34"/>
      <c r="G51" s="39">
        <f t="shared" si="0"/>
        <v>225</v>
      </c>
    </row>
    <row r="52" spans="2:7" ht="15" customHeight="1" x14ac:dyDescent="0.25">
      <c r="B52" s="37" t="s">
        <v>111</v>
      </c>
      <c r="C52" s="38">
        <v>31</v>
      </c>
      <c r="D52" s="34">
        <v>10</v>
      </c>
      <c r="E52" s="34"/>
      <c r="F52" s="34"/>
      <c r="G52" s="39">
        <f t="shared" si="0"/>
        <v>310</v>
      </c>
    </row>
    <row r="53" spans="2:7" ht="15" customHeight="1" x14ac:dyDescent="0.25">
      <c r="B53" s="37" t="s">
        <v>112</v>
      </c>
      <c r="C53" s="38">
        <v>19</v>
      </c>
      <c r="D53" s="34">
        <v>15</v>
      </c>
      <c r="E53" s="34"/>
      <c r="F53" s="34"/>
      <c r="G53" s="39">
        <f t="shared" si="0"/>
        <v>285</v>
      </c>
    </row>
    <row r="54" spans="2:7" ht="15" customHeight="1" x14ac:dyDescent="0.25">
      <c r="B54" s="37" t="s">
        <v>113</v>
      </c>
      <c r="C54" s="38">
        <v>24</v>
      </c>
      <c r="D54" s="34">
        <v>15</v>
      </c>
      <c r="E54" s="34"/>
      <c r="F54" s="34"/>
      <c r="G54" s="39">
        <f t="shared" si="0"/>
        <v>360</v>
      </c>
    </row>
    <row r="55" spans="2:7" ht="15.75" customHeight="1" x14ac:dyDescent="0.25">
      <c r="B55" s="37" t="s">
        <v>114</v>
      </c>
      <c r="C55" s="38">
        <v>5.375</v>
      </c>
      <c r="D55" s="34">
        <v>40</v>
      </c>
      <c r="E55" s="34"/>
      <c r="F55" s="34"/>
      <c r="G55" s="39">
        <f t="shared" si="0"/>
        <v>215</v>
      </c>
    </row>
    <row r="56" spans="2:7" ht="15.75" customHeight="1" x14ac:dyDescent="0.25"/>
    <row r="57" spans="2:7" ht="15" customHeight="1" x14ac:dyDescent="0.25">
      <c r="B57" s="37" t="s">
        <v>115</v>
      </c>
      <c r="C57" s="43" t="s">
        <v>116</v>
      </c>
      <c r="D57" s="44" t="s">
        <v>117</v>
      </c>
      <c r="E57" s="45"/>
      <c r="F57" s="45"/>
      <c r="G57" s="44" t="s">
        <v>103</v>
      </c>
    </row>
    <row r="58" spans="2:7" ht="15" customHeight="1" x14ac:dyDescent="0.25">
      <c r="B58" s="37" t="s">
        <v>118</v>
      </c>
      <c r="C58" s="38">
        <v>15</v>
      </c>
      <c r="D58" s="46">
        <v>15</v>
      </c>
      <c r="E58" s="45"/>
      <c r="F58" s="45"/>
      <c r="G58" s="47">
        <f t="shared" ref="G58:G86" si="1">D58*C58</f>
        <v>225</v>
      </c>
    </row>
    <row r="59" spans="2:7" ht="15" customHeight="1" x14ac:dyDescent="0.25">
      <c r="B59" s="37" t="s">
        <v>286</v>
      </c>
      <c r="C59" s="38">
        <v>30</v>
      </c>
      <c r="D59" s="46">
        <v>25</v>
      </c>
      <c r="E59" s="45"/>
      <c r="F59" s="45"/>
      <c r="G59" s="47">
        <f t="shared" si="1"/>
        <v>750</v>
      </c>
    </row>
    <row r="60" spans="2:7" ht="15" customHeight="1" x14ac:dyDescent="0.25">
      <c r="B60" s="37" t="s">
        <v>287</v>
      </c>
      <c r="C60" s="38">
        <v>8.5</v>
      </c>
      <c r="D60" s="46">
        <v>35</v>
      </c>
      <c r="E60" s="45"/>
      <c r="F60" s="45"/>
      <c r="G60" s="47">
        <f t="shared" si="1"/>
        <v>297.5</v>
      </c>
    </row>
    <row r="61" spans="2:7" ht="15" customHeight="1" x14ac:dyDescent="0.25">
      <c r="B61" s="37" t="s">
        <v>202</v>
      </c>
      <c r="C61" s="38">
        <v>75</v>
      </c>
      <c r="D61" s="46">
        <v>3</v>
      </c>
      <c r="E61" s="45"/>
      <c r="F61" s="45"/>
      <c r="G61" s="47">
        <f t="shared" si="1"/>
        <v>225</v>
      </c>
    </row>
    <row r="62" spans="2:7" ht="15" customHeight="1" x14ac:dyDescent="0.25">
      <c r="B62" s="37" t="s">
        <v>203</v>
      </c>
      <c r="C62" s="38">
        <v>125</v>
      </c>
      <c r="D62" s="46">
        <v>5</v>
      </c>
      <c r="E62" s="45"/>
      <c r="F62" s="45"/>
      <c r="G62" s="47">
        <f t="shared" si="1"/>
        <v>625</v>
      </c>
    </row>
    <row r="63" spans="2:7" ht="15" customHeight="1" x14ac:dyDescent="0.25">
      <c r="B63" s="37" t="s">
        <v>288</v>
      </c>
      <c r="C63" s="38">
        <v>85</v>
      </c>
      <c r="D63" s="46">
        <v>9</v>
      </c>
      <c r="E63" s="45"/>
      <c r="F63" s="45"/>
      <c r="G63" s="47">
        <f t="shared" si="1"/>
        <v>765</v>
      </c>
    </row>
    <row r="64" spans="2:7" ht="15" customHeight="1" x14ac:dyDescent="0.25">
      <c r="B64" s="37" t="s">
        <v>289</v>
      </c>
      <c r="C64" s="38">
        <v>1250</v>
      </c>
      <c r="D64" s="46">
        <v>1</v>
      </c>
      <c r="E64" s="45"/>
      <c r="F64" s="45"/>
      <c r="G64" s="47">
        <f t="shared" si="1"/>
        <v>1250</v>
      </c>
    </row>
    <row r="65" spans="2:7" ht="15" customHeight="1" x14ac:dyDescent="0.25">
      <c r="B65" s="37" t="s">
        <v>121</v>
      </c>
      <c r="C65" s="38">
        <v>37</v>
      </c>
      <c r="D65" s="46">
        <v>10</v>
      </c>
      <c r="E65" s="45"/>
      <c r="F65" s="45"/>
      <c r="G65" s="47">
        <f t="shared" si="1"/>
        <v>370</v>
      </c>
    </row>
    <row r="66" spans="2:7" ht="15" customHeight="1" x14ac:dyDescent="0.25">
      <c r="B66" s="37" t="s">
        <v>204</v>
      </c>
      <c r="C66" s="58">
        <v>650</v>
      </c>
      <c r="D66" s="46">
        <v>0.75</v>
      </c>
      <c r="E66" s="45"/>
      <c r="F66" s="45"/>
      <c r="G66" s="47">
        <f t="shared" si="1"/>
        <v>487.5</v>
      </c>
    </row>
    <row r="67" spans="2:7" ht="15" customHeight="1" x14ac:dyDescent="0.25">
      <c r="B67" s="37" t="s">
        <v>123</v>
      </c>
      <c r="C67" s="38">
        <v>7.25</v>
      </c>
      <c r="D67" s="46">
        <f>80+60+35</f>
        <v>175</v>
      </c>
      <c r="E67" s="45"/>
      <c r="F67" s="45"/>
      <c r="G67" s="47">
        <f t="shared" si="1"/>
        <v>1268.75</v>
      </c>
    </row>
    <row r="68" spans="2:7" ht="15" customHeight="1" x14ac:dyDescent="0.25">
      <c r="B68" s="37" t="s">
        <v>124</v>
      </c>
      <c r="C68" s="38">
        <v>14.85</v>
      </c>
      <c r="D68" s="46">
        <v>32</v>
      </c>
      <c r="E68" s="45"/>
      <c r="F68" s="45"/>
      <c r="G68" s="47">
        <f t="shared" si="1"/>
        <v>475.2</v>
      </c>
    </row>
    <row r="69" spans="2:7" ht="15" customHeight="1" x14ac:dyDescent="0.25">
      <c r="B69" s="37" t="s">
        <v>125</v>
      </c>
      <c r="C69" s="38">
        <v>55</v>
      </c>
      <c r="D69" s="46">
        <v>8</v>
      </c>
      <c r="E69" s="45"/>
      <c r="F69" s="45"/>
      <c r="G69" s="47">
        <f t="shared" si="1"/>
        <v>440</v>
      </c>
    </row>
    <row r="70" spans="2:7" ht="15" customHeight="1" x14ac:dyDescent="0.25">
      <c r="B70" s="37" t="s">
        <v>126</v>
      </c>
      <c r="C70" s="38">
        <v>4.1500000000000004</v>
      </c>
      <c r="D70" s="46">
        <v>165</v>
      </c>
      <c r="E70" s="45"/>
      <c r="F70" s="45"/>
      <c r="G70" s="47">
        <f t="shared" si="1"/>
        <v>684.75000000000011</v>
      </c>
    </row>
    <row r="71" spans="2:7" ht="15" customHeight="1" x14ac:dyDescent="0.25">
      <c r="B71" s="37" t="s">
        <v>127</v>
      </c>
      <c r="C71" s="38">
        <v>20</v>
      </c>
      <c r="D71" s="46">
        <v>10</v>
      </c>
      <c r="E71" s="45"/>
      <c r="F71" s="45"/>
      <c r="G71" s="47">
        <f t="shared" si="1"/>
        <v>200</v>
      </c>
    </row>
    <row r="72" spans="2:7" ht="15" customHeight="1" x14ac:dyDescent="0.25">
      <c r="B72" s="37" t="s">
        <v>128</v>
      </c>
      <c r="C72" s="38">
        <v>250</v>
      </c>
      <c r="D72" s="46">
        <v>30</v>
      </c>
      <c r="E72" s="45"/>
      <c r="F72" s="45"/>
      <c r="G72" s="47">
        <f t="shared" si="1"/>
        <v>7500</v>
      </c>
    </row>
    <row r="73" spans="2:7" ht="15" customHeight="1" x14ac:dyDescent="0.25">
      <c r="B73" s="49" t="s">
        <v>129</v>
      </c>
      <c r="C73" s="50">
        <v>75</v>
      </c>
      <c r="D73" s="51">
        <v>5</v>
      </c>
      <c r="E73" s="52"/>
      <c r="F73" s="52"/>
      <c r="G73" s="53">
        <f t="shared" si="1"/>
        <v>375</v>
      </c>
    </row>
    <row r="74" spans="2:7" ht="15" customHeight="1" x14ac:dyDescent="0.25">
      <c r="B74" s="49" t="s">
        <v>205</v>
      </c>
      <c r="C74" s="50">
        <v>31</v>
      </c>
      <c r="D74" s="51">
        <v>15</v>
      </c>
      <c r="E74" s="52"/>
      <c r="F74" s="52"/>
      <c r="G74" s="53">
        <f t="shared" si="1"/>
        <v>465</v>
      </c>
    </row>
    <row r="75" spans="2:7" ht="15" customHeight="1" x14ac:dyDescent="0.25">
      <c r="B75" s="49" t="s">
        <v>206</v>
      </c>
      <c r="C75" s="50">
        <v>59</v>
      </c>
      <c r="D75" s="51">
        <v>15</v>
      </c>
      <c r="E75" s="52"/>
      <c r="F75" s="52"/>
      <c r="G75" s="53">
        <f t="shared" si="1"/>
        <v>885</v>
      </c>
    </row>
    <row r="76" spans="2:7" ht="15" customHeight="1" x14ac:dyDescent="0.25">
      <c r="B76" s="49" t="s">
        <v>207</v>
      </c>
      <c r="C76" s="50">
        <v>43</v>
      </c>
      <c r="D76" s="51">
        <v>25</v>
      </c>
      <c r="E76" s="52"/>
      <c r="F76" s="52"/>
      <c r="G76" s="53">
        <f t="shared" si="1"/>
        <v>1075</v>
      </c>
    </row>
    <row r="77" spans="2:7" ht="15" customHeight="1" x14ac:dyDescent="0.25">
      <c r="B77" s="49" t="s">
        <v>208</v>
      </c>
      <c r="C77" s="50">
        <v>23</v>
      </c>
      <c r="D77" s="51">
        <v>24</v>
      </c>
      <c r="E77" s="52"/>
      <c r="F77" s="52"/>
      <c r="G77" s="53">
        <f t="shared" si="1"/>
        <v>552</v>
      </c>
    </row>
    <row r="78" spans="2:7" ht="15" customHeight="1" x14ac:dyDescent="0.25">
      <c r="B78" s="49" t="s">
        <v>209</v>
      </c>
      <c r="C78" s="50">
        <v>41</v>
      </c>
      <c r="D78" s="51">
        <v>9</v>
      </c>
      <c r="E78" s="52"/>
      <c r="F78" s="52"/>
      <c r="G78" s="53">
        <f t="shared" si="1"/>
        <v>369</v>
      </c>
    </row>
    <row r="79" spans="2:7" ht="15" customHeight="1" x14ac:dyDescent="0.25">
      <c r="B79" s="49" t="s">
        <v>210</v>
      </c>
      <c r="C79" s="50">
        <v>260</v>
      </c>
      <c r="D79" s="51">
        <v>1</v>
      </c>
      <c r="E79" s="52"/>
      <c r="F79" s="52"/>
      <c r="G79" s="53">
        <f t="shared" si="1"/>
        <v>260</v>
      </c>
    </row>
    <row r="80" spans="2:7" ht="15" customHeight="1" x14ac:dyDescent="0.25">
      <c r="B80" s="49" t="s">
        <v>290</v>
      </c>
      <c r="C80" s="50">
        <v>500</v>
      </c>
      <c r="D80" s="51">
        <v>0.5</v>
      </c>
      <c r="E80" s="52"/>
      <c r="F80" s="52"/>
      <c r="G80" s="53">
        <f t="shared" si="1"/>
        <v>250</v>
      </c>
    </row>
    <row r="81" spans="2:7" ht="15" customHeight="1" x14ac:dyDescent="0.25">
      <c r="B81" s="49" t="s">
        <v>291</v>
      </c>
      <c r="C81" s="50">
        <v>45</v>
      </c>
      <c r="D81" s="51">
        <v>6</v>
      </c>
      <c r="E81" s="52"/>
      <c r="F81" s="52"/>
      <c r="G81" s="53">
        <f t="shared" si="1"/>
        <v>270</v>
      </c>
    </row>
    <row r="82" spans="2:7" ht="15" customHeight="1" x14ac:dyDescent="0.25">
      <c r="B82" s="49" t="s">
        <v>211</v>
      </c>
      <c r="C82" s="50">
        <v>70</v>
      </c>
      <c r="D82" s="51">
        <v>10</v>
      </c>
      <c r="E82" s="52"/>
      <c r="F82" s="52"/>
      <c r="G82" s="53">
        <f t="shared" si="1"/>
        <v>700</v>
      </c>
    </row>
    <row r="83" spans="2:7" ht="15" customHeight="1" x14ac:dyDescent="0.25">
      <c r="B83" s="49" t="s">
        <v>292</v>
      </c>
      <c r="C83" s="50">
        <v>80</v>
      </c>
      <c r="D83" s="51">
        <v>10</v>
      </c>
      <c r="E83" s="52"/>
      <c r="F83" s="52"/>
      <c r="G83" s="53">
        <f t="shared" si="1"/>
        <v>800</v>
      </c>
    </row>
    <row r="84" spans="2:7" ht="15" customHeight="1" x14ac:dyDescent="0.25">
      <c r="B84" s="49" t="s">
        <v>293</v>
      </c>
      <c r="C84" s="50">
        <v>600</v>
      </c>
      <c r="D84" s="51">
        <v>1</v>
      </c>
      <c r="E84" s="52"/>
      <c r="F84" s="52"/>
      <c r="G84" s="53">
        <f t="shared" si="1"/>
        <v>600</v>
      </c>
    </row>
    <row r="85" spans="2:7" ht="15" customHeight="1" x14ac:dyDescent="0.25">
      <c r="B85" s="49" t="s">
        <v>294</v>
      </c>
      <c r="C85" s="50">
        <v>38</v>
      </c>
      <c r="D85" s="51">
        <v>30</v>
      </c>
      <c r="E85" s="52"/>
      <c r="F85" s="52"/>
      <c r="G85" s="53">
        <f t="shared" si="1"/>
        <v>1140</v>
      </c>
    </row>
    <row r="86" spans="2:7" ht="15.75" customHeight="1" x14ac:dyDescent="0.25">
      <c r="B86" s="37" t="s">
        <v>212</v>
      </c>
      <c r="C86" s="38">
        <v>225</v>
      </c>
      <c r="D86" s="46">
        <f>1</f>
        <v>1</v>
      </c>
      <c r="E86" s="45"/>
      <c r="F86" s="45"/>
      <c r="G86" s="47">
        <f t="shared" si="1"/>
        <v>225</v>
      </c>
    </row>
  </sheetData>
  <mergeCells count="3">
    <mergeCell ref="H2:Q2"/>
    <mergeCell ref="H16:Q16"/>
    <mergeCell ref="H30:Q30"/>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abSelected="1" topLeftCell="A28" zoomScaleNormal="100" workbookViewId="0">
      <selection activeCell="I49" sqref="I49"/>
    </sheetView>
  </sheetViews>
  <sheetFormatPr baseColWidth="10" defaultColWidth="9.140625" defaultRowHeight="15" x14ac:dyDescent="0.25"/>
  <cols>
    <col min="1" max="1" width="3"/>
    <col min="2" max="2" width="22.28515625"/>
    <col min="3" max="3" width="75.85546875"/>
    <col min="4" max="4" width="15.85546875"/>
    <col min="5" max="6" width="0" hidden="1"/>
    <col min="7" max="7" width="15.28515625"/>
    <col min="8" max="8" width="10.7109375"/>
    <col min="9" max="9" width="12.28515625"/>
    <col min="10" max="1025" width="10.7109375"/>
  </cols>
  <sheetData>
    <row r="1" spans="1:17" ht="15.75" customHeight="1" x14ac:dyDescent="0.25"/>
    <row r="2" spans="1:17" ht="19.5" customHeight="1" x14ac:dyDescent="0.3">
      <c r="B2" s="1" t="s">
        <v>0</v>
      </c>
      <c r="C2" s="2" t="s">
        <v>1</v>
      </c>
      <c r="D2" s="2"/>
      <c r="E2" s="2"/>
      <c r="F2" s="2"/>
      <c r="G2" s="2" t="s">
        <v>2</v>
      </c>
      <c r="H2" s="62" t="s">
        <v>3</v>
      </c>
      <c r="I2" s="62"/>
      <c r="J2" s="62"/>
      <c r="K2" s="62"/>
      <c r="L2" s="62"/>
      <c r="M2" s="62"/>
      <c r="N2" s="62"/>
      <c r="O2" s="62"/>
      <c r="P2" s="62"/>
      <c r="Q2" s="62"/>
    </row>
    <row r="3" spans="1:17" ht="15" customHeight="1" x14ac:dyDescent="0.25">
      <c r="A3" s="3">
        <v>1</v>
      </c>
      <c r="B3" s="4" t="s">
        <v>4</v>
      </c>
      <c r="C3" s="10" t="s">
        <v>5</v>
      </c>
      <c r="D3" s="8"/>
      <c r="E3" s="8"/>
      <c r="F3" s="8"/>
      <c r="G3" s="8">
        <v>30</v>
      </c>
      <c r="H3" s="7" t="s">
        <v>6</v>
      </c>
      <c r="I3" s="8"/>
      <c r="J3" s="8"/>
      <c r="K3" s="8"/>
      <c r="L3" s="8"/>
      <c r="M3" s="8"/>
      <c r="N3" s="8"/>
      <c r="O3" s="8"/>
      <c r="P3" s="8"/>
      <c r="Q3" s="8"/>
    </row>
    <row r="4" spans="1:17" ht="15" customHeight="1" x14ac:dyDescent="0.25">
      <c r="A4" s="9">
        <v>2</v>
      </c>
      <c r="B4" s="4" t="s">
        <v>7</v>
      </c>
      <c r="C4" s="10" t="s">
        <v>8</v>
      </c>
      <c r="D4" s="8"/>
      <c r="E4" s="8"/>
      <c r="F4" s="8"/>
      <c r="G4" s="8">
        <v>30</v>
      </c>
      <c r="H4" s="7" t="s">
        <v>9</v>
      </c>
      <c r="I4" s="8"/>
      <c r="J4" s="8"/>
      <c r="K4" s="8"/>
      <c r="L4" s="8"/>
      <c r="M4" s="8"/>
      <c r="N4" s="8"/>
      <c r="O4" s="8"/>
      <c r="P4" s="8"/>
      <c r="Q4" s="8"/>
    </row>
    <row r="5" spans="1:17" ht="15" customHeight="1" x14ac:dyDescent="0.25">
      <c r="A5" s="9">
        <v>3</v>
      </c>
      <c r="B5" s="4" t="s">
        <v>10</v>
      </c>
      <c r="C5" s="10" t="s">
        <v>11</v>
      </c>
      <c r="D5" s="8"/>
      <c r="E5" s="8"/>
      <c r="F5" s="8"/>
      <c r="G5" s="8">
        <v>100</v>
      </c>
      <c r="H5" s="7" t="s">
        <v>12</v>
      </c>
      <c r="I5" s="8"/>
      <c r="J5" s="8"/>
      <c r="K5" s="8"/>
      <c r="L5" s="8"/>
      <c r="M5" s="8"/>
      <c r="N5" s="8"/>
      <c r="O5" s="8"/>
      <c r="P5" s="8"/>
      <c r="Q5" s="8"/>
    </row>
    <row r="6" spans="1:17" ht="15" customHeight="1" x14ac:dyDescent="0.25">
      <c r="A6" s="9">
        <v>4</v>
      </c>
      <c r="B6" s="4" t="s">
        <v>13</v>
      </c>
      <c r="C6" s="10" t="s">
        <v>14</v>
      </c>
      <c r="D6" s="8"/>
      <c r="E6" s="8"/>
      <c r="F6" s="8"/>
      <c r="G6" s="8">
        <v>100</v>
      </c>
      <c r="H6" s="7" t="s">
        <v>15</v>
      </c>
      <c r="I6" s="8"/>
      <c r="J6" s="8"/>
      <c r="K6" s="8"/>
      <c r="L6" s="8"/>
      <c r="M6" s="8"/>
      <c r="N6" s="8"/>
      <c r="O6" s="8"/>
      <c r="P6" s="8"/>
      <c r="Q6" s="8"/>
    </row>
    <row r="7" spans="1:17" ht="15" customHeight="1" x14ac:dyDescent="0.25">
      <c r="A7" s="9">
        <v>5</v>
      </c>
      <c r="B7" s="4" t="s">
        <v>16</v>
      </c>
      <c r="C7" s="10" t="s">
        <v>17</v>
      </c>
      <c r="D7" s="8"/>
      <c r="E7" s="8"/>
      <c r="F7" s="8"/>
      <c r="G7" s="8">
        <v>80</v>
      </c>
      <c r="H7" s="7" t="s">
        <v>18</v>
      </c>
      <c r="I7" s="8"/>
      <c r="J7" s="8"/>
      <c r="K7" s="8"/>
      <c r="L7" s="8"/>
      <c r="M7" s="8"/>
      <c r="N7" s="8"/>
      <c r="O7" s="8"/>
      <c r="P7" s="8"/>
      <c r="Q7" s="8"/>
    </row>
    <row r="8" spans="1:17" ht="15" customHeight="1" x14ac:dyDescent="0.25">
      <c r="A8" s="9">
        <v>6</v>
      </c>
      <c r="B8" s="4" t="s">
        <v>19</v>
      </c>
      <c r="C8" s="10" t="s">
        <v>20</v>
      </c>
      <c r="D8" s="8"/>
      <c r="E8" s="8"/>
      <c r="F8" s="8"/>
      <c r="G8" s="8">
        <v>85</v>
      </c>
      <c r="H8" s="7" t="s">
        <v>21</v>
      </c>
      <c r="I8" s="8"/>
      <c r="J8" s="8"/>
      <c r="K8" s="8"/>
      <c r="L8" s="8"/>
      <c r="M8" s="8"/>
      <c r="N8" s="8"/>
      <c r="O8" s="8"/>
      <c r="P8" s="8"/>
      <c r="Q8" s="8"/>
    </row>
    <row r="9" spans="1:17" ht="15" customHeight="1" x14ac:dyDescent="0.25">
      <c r="A9" s="9">
        <v>7</v>
      </c>
      <c r="B9" s="4" t="s">
        <v>22</v>
      </c>
      <c r="C9" s="10" t="s">
        <v>23</v>
      </c>
      <c r="D9" s="8"/>
      <c r="E9" s="8"/>
      <c r="F9" s="8"/>
      <c r="G9" s="8">
        <v>60</v>
      </c>
      <c r="H9" s="7" t="s">
        <v>24</v>
      </c>
      <c r="I9" s="8"/>
      <c r="J9" s="8"/>
      <c r="K9" s="8"/>
      <c r="L9" s="8"/>
      <c r="M9" s="8"/>
      <c r="N9" s="8"/>
      <c r="O9" s="8"/>
      <c r="P9" s="8"/>
      <c r="Q9" s="8"/>
    </row>
    <row r="10" spans="1:17" ht="15" customHeight="1" x14ac:dyDescent="0.25">
      <c r="A10" s="9">
        <v>8</v>
      </c>
      <c r="B10" s="4" t="s">
        <v>25</v>
      </c>
      <c r="C10" s="10" t="s">
        <v>26</v>
      </c>
      <c r="D10" s="8"/>
      <c r="E10" s="8"/>
      <c r="F10" s="8"/>
      <c r="G10" s="8">
        <v>50</v>
      </c>
      <c r="H10" s="7" t="s">
        <v>27</v>
      </c>
      <c r="I10" s="8"/>
      <c r="J10" s="8"/>
      <c r="K10" s="8"/>
      <c r="L10" s="8"/>
      <c r="M10" s="8"/>
      <c r="N10" s="8"/>
      <c r="O10" s="8"/>
      <c r="P10" s="8"/>
      <c r="Q10" s="8"/>
    </row>
    <row r="11" spans="1:17" ht="15" customHeight="1" x14ac:dyDescent="0.25">
      <c r="A11" s="9">
        <v>9</v>
      </c>
      <c r="B11" s="7"/>
      <c r="C11" s="10"/>
      <c r="D11" s="8"/>
      <c r="E11" s="8"/>
      <c r="F11" s="8"/>
      <c r="G11" s="8"/>
      <c r="H11" s="7"/>
      <c r="I11" s="8"/>
      <c r="J11" s="8"/>
      <c r="K11" s="8"/>
      <c r="L11" s="8"/>
      <c r="M11" s="8"/>
      <c r="N11" s="8"/>
      <c r="O11" s="8"/>
      <c r="P11" s="8"/>
      <c r="Q11" s="8"/>
    </row>
    <row r="12" spans="1:17" ht="15" customHeight="1" x14ac:dyDescent="0.25">
      <c r="A12" s="9">
        <v>10</v>
      </c>
      <c r="B12" s="7"/>
      <c r="C12" s="10"/>
      <c r="D12" s="8"/>
      <c r="E12" s="8"/>
      <c r="F12" s="8"/>
      <c r="G12" s="8"/>
      <c r="H12" s="7"/>
      <c r="I12" s="8"/>
      <c r="J12" s="8"/>
      <c r="K12" s="8"/>
      <c r="L12" s="8"/>
      <c r="M12" s="8"/>
      <c r="N12" s="8"/>
      <c r="O12" s="8"/>
      <c r="P12" s="8"/>
      <c r="Q12" s="8"/>
    </row>
    <row r="13" spans="1:17" ht="15" customHeight="1" x14ac:dyDescent="0.25">
      <c r="A13" s="9">
        <v>11</v>
      </c>
      <c r="B13" s="8"/>
      <c r="C13" s="11"/>
      <c r="D13" s="8"/>
      <c r="E13" s="8"/>
      <c r="F13" s="8"/>
      <c r="G13" s="8"/>
      <c r="H13" s="8"/>
      <c r="I13" s="8"/>
      <c r="J13" s="8"/>
      <c r="K13" s="8"/>
      <c r="L13" s="8"/>
      <c r="M13" s="8"/>
      <c r="N13" s="8"/>
      <c r="O13" s="8"/>
      <c r="P13" s="8"/>
      <c r="Q13" s="8"/>
    </row>
    <row r="14" spans="1:17" ht="15.75" customHeight="1" x14ac:dyDescent="0.25">
      <c r="A14" s="12">
        <v>12</v>
      </c>
      <c r="B14" s="7"/>
      <c r="C14" s="10"/>
      <c r="D14" s="8"/>
      <c r="E14" s="8"/>
      <c r="F14" s="8"/>
      <c r="G14" s="8"/>
      <c r="H14" s="7"/>
      <c r="I14" s="8"/>
      <c r="J14" s="8"/>
      <c r="K14" s="8"/>
      <c r="L14" s="8"/>
      <c r="M14" s="8"/>
      <c r="N14" s="8"/>
      <c r="O14" s="8"/>
      <c r="P14" s="8"/>
      <c r="Q14" s="8"/>
    </row>
    <row r="16" spans="1:17" ht="15.75" customHeight="1" x14ac:dyDescent="0.25"/>
    <row r="17" spans="1:17" ht="19.5" customHeight="1" x14ac:dyDescent="0.3">
      <c r="B17" s="1" t="s">
        <v>0</v>
      </c>
      <c r="C17" s="2" t="s">
        <v>1</v>
      </c>
      <c r="D17" s="2"/>
      <c r="E17" s="2"/>
      <c r="F17" s="2"/>
      <c r="G17" s="2" t="s">
        <v>2</v>
      </c>
      <c r="H17" s="62" t="s">
        <v>3</v>
      </c>
      <c r="I17" s="62"/>
      <c r="J17" s="62"/>
      <c r="K17" s="62"/>
      <c r="L17" s="62"/>
      <c r="M17" s="62"/>
      <c r="N17" s="62"/>
      <c r="O17" s="62"/>
      <c r="P17" s="62"/>
      <c r="Q17" s="62"/>
    </row>
    <row r="18" spans="1:17" ht="15" customHeight="1" x14ac:dyDescent="0.25">
      <c r="A18" s="3">
        <v>1</v>
      </c>
      <c r="B18" s="4" t="s">
        <v>295</v>
      </c>
      <c r="C18" s="22" t="s">
        <v>296</v>
      </c>
      <c r="D18" s="22"/>
      <c r="E18" s="55"/>
      <c r="F18" s="55"/>
      <c r="G18" s="54">
        <f>185*C49</f>
        <v>236.8</v>
      </c>
      <c r="H18" s="8" t="s">
        <v>297</v>
      </c>
      <c r="I18" s="8"/>
      <c r="J18" s="8"/>
      <c r="K18" s="8"/>
      <c r="L18" s="8"/>
      <c r="M18" s="8"/>
      <c r="N18" s="8"/>
      <c r="O18" s="8"/>
      <c r="P18" s="8"/>
      <c r="Q18" s="8"/>
    </row>
    <row r="19" spans="1:17" ht="15" customHeight="1" x14ac:dyDescent="0.25">
      <c r="A19" s="9">
        <v>2</v>
      </c>
      <c r="B19" s="4" t="s">
        <v>298</v>
      </c>
      <c r="C19" s="22" t="s">
        <v>134</v>
      </c>
      <c r="D19" s="22"/>
      <c r="E19" s="55"/>
      <c r="F19" s="55"/>
      <c r="G19" s="54">
        <f>7*C46</f>
        <v>227.5</v>
      </c>
      <c r="H19" s="8" t="s">
        <v>299</v>
      </c>
      <c r="I19" s="8"/>
      <c r="J19" s="8"/>
      <c r="K19" s="8"/>
      <c r="L19" s="8"/>
      <c r="M19" s="8"/>
      <c r="N19" s="8"/>
      <c r="O19" s="8"/>
      <c r="P19" s="8"/>
      <c r="Q19" s="8"/>
    </row>
    <row r="20" spans="1:17" ht="15" customHeight="1" x14ac:dyDescent="0.25">
      <c r="A20" s="9">
        <v>3</v>
      </c>
      <c r="B20" s="4" t="s">
        <v>300</v>
      </c>
      <c r="C20" s="22" t="s">
        <v>301</v>
      </c>
      <c r="D20" s="22"/>
      <c r="E20" s="55"/>
      <c r="F20" s="55"/>
      <c r="G20" s="54">
        <f>6*C51</f>
        <v>270</v>
      </c>
      <c r="H20" s="8" t="s">
        <v>302</v>
      </c>
      <c r="I20" s="8"/>
      <c r="J20" s="8"/>
      <c r="K20" s="8"/>
      <c r="L20" s="8"/>
      <c r="M20" s="8"/>
      <c r="N20" s="8"/>
      <c r="O20" s="8"/>
      <c r="P20" s="8"/>
      <c r="Q20" s="8"/>
    </row>
    <row r="21" spans="1:17" ht="15" customHeight="1" x14ac:dyDescent="0.25">
      <c r="A21" s="9">
        <v>4</v>
      </c>
      <c r="B21" s="4" t="s">
        <v>303</v>
      </c>
      <c r="C21" s="22" t="s">
        <v>304</v>
      </c>
      <c r="D21" s="22"/>
      <c r="E21" s="55"/>
      <c r="F21" s="55"/>
      <c r="G21" s="54">
        <f>11*C52</f>
        <v>341</v>
      </c>
      <c r="H21" s="8" t="s">
        <v>305</v>
      </c>
      <c r="I21" s="8"/>
      <c r="J21" s="8"/>
      <c r="K21" s="8"/>
      <c r="L21" s="8"/>
      <c r="M21" s="8"/>
      <c r="N21" s="8"/>
      <c r="O21" s="8"/>
      <c r="P21" s="8"/>
      <c r="Q21" s="8"/>
    </row>
    <row r="22" spans="1:17" ht="15" customHeight="1" x14ac:dyDescent="0.25">
      <c r="A22" s="9">
        <v>5</v>
      </c>
      <c r="B22" s="4" t="s">
        <v>306</v>
      </c>
      <c r="C22" s="22" t="s">
        <v>142</v>
      </c>
      <c r="D22" s="22"/>
      <c r="E22" s="55"/>
      <c r="F22" s="55"/>
      <c r="G22" s="54">
        <f>10*C53</f>
        <v>190</v>
      </c>
      <c r="H22" s="8" t="s">
        <v>307</v>
      </c>
      <c r="I22" s="8"/>
      <c r="J22" s="8"/>
      <c r="K22" s="8"/>
      <c r="L22" s="8"/>
      <c r="M22" s="8"/>
      <c r="N22" s="8"/>
      <c r="O22" s="8"/>
      <c r="P22" s="8"/>
      <c r="Q22" s="8"/>
    </row>
    <row r="23" spans="1:17" ht="15" customHeight="1" x14ac:dyDescent="0.25">
      <c r="A23" s="9">
        <v>6</v>
      </c>
      <c r="B23" s="4" t="s">
        <v>308</v>
      </c>
      <c r="C23" s="22" t="s">
        <v>309</v>
      </c>
      <c r="D23" s="22"/>
      <c r="E23" s="55"/>
      <c r="F23" s="55"/>
      <c r="G23" s="54">
        <f>5*C47</f>
        <v>225</v>
      </c>
      <c r="H23" s="8" t="s">
        <v>310</v>
      </c>
      <c r="I23" s="8"/>
      <c r="J23" s="8"/>
      <c r="K23" s="8"/>
      <c r="L23" s="8"/>
      <c r="M23" s="8"/>
      <c r="N23" s="8"/>
      <c r="O23" s="8"/>
      <c r="P23" s="8"/>
      <c r="Q23" s="8"/>
    </row>
    <row r="24" spans="1:17" ht="15" customHeight="1" x14ac:dyDescent="0.25">
      <c r="A24" s="9">
        <v>7</v>
      </c>
      <c r="B24" s="4" t="s">
        <v>311</v>
      </c>
      <c r="C24" s="22" t="s">
        <v>312</v>
      </c>
      <c r="D24" s="22"/>
      <c r="E24" s="55"/>
      <c r="F24" s="55"/>
      <c r="G24" s="54">
        <f>12*C54</f>
        <v>288</v>
      </c>
      <c r="H24" s="8" t="s">
        <v>313</v>
      </c>
      <c r="I24" s="8"/>
      <c r="J24" s="8"/>
      <c r="K24" s="8"/>
      <c r="L24" s="8"/>
      <c r="M24" s="8"/>
      <c r="N24" s="8"/>
      <c r="O24" s="8"/>
      <c r="P24" s="8"/>
      <c r="Q24" s="8"/>
    </row>
    <row r="25" spans="1:17" ht="15" customHeight="1" x14ac:dyDescent="0.25">
      <c r="A25" s="9">
        <v>8</v>
      </c>
      <c r="B25" s="4" t="s">
        <v>314</v>
      </c>
      <c r="C25" s="22" t="s">
        <v>315</v>
      </c>
      <c r="D25" s="22"/>
      <c r="E25" s="55"/>
      <c r="F25" s="55"/>
      <c r="G25" s="54">
        <f>40*C55</f>
        <v>215</v>
      </c>
      <c r="H25" s="8" t="s">
        <v>316</v>
      </c>
      <c r="I25" s="8"/>
      <c r="J25" s="8"/>
      <c r="K25" s="8"/>
      <c r="L25" s="8"/>
      <c r="M25" s="8"/>
      <c r="N25" s="8"/>
      <c r="O25" s="8"/>
      <c r="P25" s="8"/>
      <c r="Q25" s="8"/>
    </row>
    <row r="26" spans="1:17" ht="15" customHeight="1" x14ac:dyDescent="0.25">
      <c r="A26" s="9">
        <v>9</v>
      </c>
      <c r="B26" s="4" t="s">
        <v>317</v>
      </c>
      <c r="C26" s="22" t="s">
        <v>318</v>
      </c>
      <c r="D26" s="22"/>
      <c r="E26" s="55"/>
      <c r="F26" s="55"/>
      <c r="G26" s="54">
        <f>105*C50</f>
        <v>194.25</v>
      </c>
      <c r="H26" s="8" t="s">
        <v>319</v>
      </c>
      <c r="I26" s="8"/>
      <c r="J26" s="8"/>
      <c r="K26" s="8"/>
      <c r="L26" s="8"/>
      <c r="M26" s="8"/>
      <c r="N26" s="8"/>
      <c r="O26" s="8"/>
      <c r="P26" s="8"/>
      <c r="Q26" s="8"/>
    </row>
    <row r="27" spans="1:17" ht="15" customHeight="1" x14ac:dyDescent="0.25">
      <c r="A27" s="9">
        <v>10</v>
      </c>
      <c r="B27" s="4" t="s">
        <v>320</v>
      </c>
      <c r="C27" s="22" t="s">
        <v>241</v>
      </c>
      <c r="D27" s="22"/>
      <c r="E27" s="55"/>
      <c r="F27" s="55"/>
      <c r="G27" s="54">
        <f>6*C48</f>
        <v>180</v>
      </c>
      <c r="H27" s="8" t="s">
        <v>321</v>
      </c>
      <c r="I27" s="8"/>
      <c r="J27" s="8"/>
      <c r="K27" s="8"/>
      <c r="L27" s="8"/>
      <c r="M27" s="8"/>
      <c r="N27" s="8"/>
      <c r="O27" s="8"/>
      <c r="P27" s="8"/>
      <c r="Q27" s="8"/>
    </row>
    <row r="28" spans="1:17" ht="15" customHeight="1" x14ac:dyDescent="0.25">
      <c r="A28" s="9">
        <v>11</v>
      </c>
      <c r="B28" s="4" t="s">
        <v>322</v>
      </c>
      <c r="C28" s="22" t="s">
        <v>323</v>
      </c>
      <c r="D28" s="22"/>
      <c r="E28" s="55"/>
      <c r="F28" s="55"/>
      <c r="G28" s="54">
        <f>15*C85</f>
        <v>480</v>
      </c>
      <c r="H28" s="8" t="s">
        <v>324</v>
      </c>
      <c r="I28" s="8"/>
      <c r="J28" s="8"/>
      <c r="K28" s="8"/>
      <c r="L28" s="8"/>
      <c r="M28" s="8"/>
      <c r="N28" s="8"/>
      <c r="O28" s="8"/>
      <c r="P28" s="8"/>
      <c r="Q28" s="8"/>
    </row>
    <row r="29" spans="1:17" ht="15.75" customHeight="1" x14ac:dyDescent="0.25">
      <c r="A29" s="12">
        <v>12</v>
      </c>
      <c r="B29" s="4" t="s">
        <v>325</v>
      </c>
      <c r="C29" s="22" t="s">
        <v>326</v>
      </c>
      <c r="D29" s="22"/>
      <c r="E29" s="55"/>
      <c r="F29" s="55"/>
      <c r="G29" s="54">
        <f>20*C86</f>
        <v>380</v>
      </c>
      <c r="H29" s="8" t="s">
        <v>327</v>
      </c>
      <c r="I29" s="8"/>
      <c r="J29" s="8"/>
      <c r="K29" s="8"/>
      <c r="L29" s="8"/>
      <c r="M29" s="8"/>
      <c r="N29" s="8"/>
      <c r="O29" s="8"/>
      <c r="P29" s="8"/>
      <c r="Q29" s="8"/>
    </row>
    <row r="30" spans="1:17" ht="15.75" customHeight="1" x14ac:dyDescent="0.25">
      <c r="C30" s="25"/>
      <c r="D30" s="25"/>
      <c r="E30" s="25"/>
      <c r="F30" s="25"/>
      <c r="G30" s="25"/>
    </row>
    <row r="31" spans="1:17" ht="19.5" customHeight="1" x14ac:dyDescent="0.3">
      <c r="B31" s="1" t="s">
        <v>0</v>
      </c>
      <c r="C31" s="27" t="s">
        <v>165</v>
      </c>
      <c r="D31" s="27"/>
      <c r="E31" s="27" t="s">
        <v>2</v>
      </c>
      <c r="F31" s="27" t="s">
        <v>249</v>
      </c>
      <c r="G31" s="27" t="s">
        <v>328</v>
      </c>
      <c r="H31" s="62" t="s">
        <v>3</v>
      </c>
      <c r="I31" s="62"/>
      <c r="J31" s="62"/>
      <c r="K31" s="62"/>
      <c r="L31" s="62"/>
      <c r="M31" s="62"/>
      <c r="N31" s="62"/>
      <c r="O31" s="62"/>
      <c r="P31" s="62"/>
      <c r="Q31" s="62"/>
    </row>
    <row r="32" spans="1:17" ht="15" customHeight="1" x14ac:dyDescent="0.25">
      <c r="A32" s="3">
        <v>1</v>
      </c>
      <c r="B32" s="4" t="s">
        <v>329</v>
      </c>
      <c r="C32" s="22" t="s">
        <v>330</v>
      </c>
      <c r="D32" s="22"/>
      <c r="E32" s="55">
        <f>6*40+7*75+200</f>
        <v>965</v>
      </c>
      <c r="F32" s="55">
        <f>G19+G20</f>
        <v>497.5</v>
      </c>
      <c r="G32" s="28">
        <f>MROUND((15*C46+25*C51+23*C58)*I46,20)</f>
        <v>1760</v>
      </c>
      <c r="H32" s="8" t="s">
        <v>331</v>
      </c>
      <c r="I32" s="8"/>
      <c r="J32" s="8"/>
      <c r="K32" s="8"/>
      <c r="L32" s="8"/>
      <c r="M32" s="8"/>
      <c r="N32" s="8"/>
      <c r="O32" s="8"/>
      <c r="P32" s="8"/>
      <c r="Q32" s="8"/>
    </row>
    <row r="33" spans="1:17" ht="15" customHeight="1" x14ac:dyDescent="0.25">
      <c r="A33" s="9">
        <v>2</v>
      </c>
      <c r="B33" s="4" t="s">
        <v>332</v>
      </c>
      <c r="C33" s="22" t="s">
        <v>333</v>
      </c>
      <c r="D33" s="22"/>
      <c r="E33" s="55">
        <f>5*75+7*50</f>
        <v>725</v>
      </c>
      <c r="F33" s="55">
        <f>G20+G23</f>
        <v>495</v>
      </c>
      <c r="G33" s="28">
        <f>MROUND((21*C51+16*C47+1*C87)*I46,20)</f>
        <v>2580</v>
      </c>
      <c r="H33" s="8" t="s">
        <v>334</v>
      </c>
      <c r="I33" s="8"/>
      <c r="J33" s="8"/>
      <c r="K33" s="8"/>
      <c r="L33" s="8"/>
      <c r="M33" s="8"/>
      <c r="N33" s="8"/>
      <c r="O33" s="8"/>
      <c r="P33" s="8"/>
      <c r="Q33" s="8"/>
    </row>
    <row r="34" spans="1:17" ht="15" customHeight="1" x14ac:dyDescent="0.25">
      <c r="A34" s="9">
        <v>3</v>
      </c>
      <c r="B34" s="4" t="s">
        <v>335</v>
      </c>
      <c r="C34" s="22" t="s">
        <v>336</v>
      </c>
      <c r="D34" s="22"/>
      <c r="E34" s="55">
        <f>600+4*72-3</f>
        <v>885</v>
      </c>
      <c r="F34" s="55">
        <f>G21+G26</f>
        <v>535.25</v>
      </c>
      <c r="G34" s="28">
        <f>MROUND((20*C52+225*C50+15*C88)*I46,20)</f>
        <v>2840</v>
      </c>
      <c r="H34" s="8" t="s">
        <v>337</v>
      </c>
      <c r="I34" s="8"/>
      <c r="J34" s="8"/>
      <c r="K34" s="8"/>
      <c r="L34" s="8"/>
      <c r="M34" s="8"/>
      <c r="N34" s="8"/>
      <c r="O34" s="8"/>
      <c r="P34" s="8"/>
      <c r="Q34" s="8"/>
    </row>
    <row r="35" spans="1:17" ht="15" customHeight="1" x14ac:dyDescent="0.25">
      <c r="A35" s="9">
        <v>4</v>
      </c>
      <c r="B35" s="4" t="s">
        <v>338</v>
      </c>
      <c r="C35" s="22" t="s">
        <v>339</v>
      </c>
      <c r="D35" s="22"/>
      <c r="E35" s="55">
        <f>400 + 150</f>
        <v>550</v>
      </c>
      <c r="F35" s="55">
        <f>G21+G29</f>
        <v>721</v>
      </c>
      <c r="G35" s="28">
        <f>MROUND((15*C52+15*C96)*I46,20)</f>
        <v>1020</v>
      </c>
      <c r="H35" s="8" t="s">
        <v>340</v>
      </c>
      <c r="I35" s="8"/>
      <c r="J35" s="8"/>
      <c r="K35" s="8"/>
      <c r="L35" s="8"/>
      <c r="M35" s="8"/>
      <c r="N35" s="8"/>
      <c r="O35" s="8"/>
      <c r="P35" s="8"/>
      <c r="Q35" s="8"/>
    </row>
    <row r="36" spans="1:17" ht="15" customHeight="1" x14ac:dyDescent="0.25">
      <c r="A36" s="9">
        <v>5</v>
      </c>
      <c r="B36" s="4" t="s">
        <v>341</v>
      </c>
      <c r="C36" s="22" t="s">
        <v>342</v>
      </c>
      <c r="D36" s="22"/>
      <c r="E36" s="55">
        <f>12*25+5*50+100</f>
        <v>650</v>
      </c>
      <c r="F36" s="55">
        <f>G22+G23</f>
        <v>415</v>
      </c>
      <c r="G36" s="59">
        <f>MROUND((80*C53+12*C47+0.75*C66)*I46,20)</f>
        <v>2300</v>
      </c>
      <c r="H36" s="8" t="s">
        <v>343</v>
      </c>
      <c r="I36" s="8"/>
      <c r="J36" s="8"/>
      <c r="K36" s="8"/>
      <c r="L36" s="8"/>
      <c r="M36" s="8"/>
      <c r="N36" s="8"/>
      <c r="O36" s="8"/>
      <c r="P36" s="8"/>
      <c r="Q36" s="8"/>
    </row>
    <row r="37" spans="1:17" ht="15" customHeight="1" x14ac:dyDescent="0.25">
      <c r="A37" s="9">
        <v>6</v>
      </c>
      <c r="B37" s="4" t="s">
        <v>344</v>
      </c>
      <c r="C37" s="22" t="s">
        <v>345</v>
      </c>
      <c r="D37" s="22"/>
      <c r="E37" s="55">
        <f>18*25+200</f>
        <v>650</v>
      </c>
      <c r="F37" s="55">
        <f>G22+G28</f>
        <v>670</v>
      </c>
      <c r="G37" s="28">
        <f>MROUND((58*C53+25*C90)*I46,20)</f>
        <v>2080</v>
      </c>
      <c r="H37" s="7" t="s">
        <v>346</v>
      </c>
      <c r="I37" s="8"/>
      <c r="J37" s="8"/>
      <c r="K37" s="8"/>
      <c r="L37" s="8"/>
      <c r="M37" s="8"/>
      <c r="N37" s="8"/>
      <c r="O37" s="8"/>
      <c r="P37" s="8"/>
      <c r="Q37" s="8"/>
    </row>
    <row r="38" spans="1:17" ht="15" customHeight="1" x14ac:dyDescent="0.25">
      <c r="A38" s="9">
        <v>7</v>
      </c>
      <c r="B38" s="4" t="s">
        <v>347</v>
      </c>
      <c r="C38" s="22" t="s">
        <v>348</v>
      </c>
      <c r="D38" s="22"/>
      <c r="E38" s="55">
        <f>6*40+3*50+3*75</f>
        <v>615</v>
      </c>
      <c r="F38" s="55">
        <f>G19+G24</f>
        <v>515.5</v>
      </c>
      <c r="G38" s="28">
        <f>MROUND((37*C46+30*C54+15*C91)*I46,20)</f>
        <v>1980</v>
      </c>
      <c r="H38" s="8" t="s">
        <v>349</v>
      </c>
      <c r="I38" s="8"/>
      <c r="J38" s="8"/>
      <c r="K38" s="8"/>
      <c r="L38" s="8"/>
      <c r="M38" s="8"/>
      <c r="N38" s="8"/>
      <c r="O38" s="8"/>
      <c r="P38" s="8"/>
      <c r="Q38" s="8"/>
    </row>
    <row r="39" spans="1:17" ht="15" customHeight="1" x14ac:dyDescent="0.25">
      <c r="A39" s="9">
        <v>8</v>
      </c>
      <c r="B39" s="4" t="s">
        <v>350</v>
      </c>
      <c r="C39" s="22" t="s">
        <v>351</v>
      </c>
      <c r="D39" s="22"/>
      <c r="E39" s="55">
        <f>10*60 + 200</f>
        <v>800</v>
      </c>
      <c r="F39" s="55">
        <f>G18+G25</f>
        <v>451.8</v>
      </c>
      <c r="G39" s="28">
        <f>MROUND((375*C49+25*C92+40*C93)*I46,20)</f>
        <v>2080</v>
      </c>
      <c r="H39" s="8" t="s">
        <v>352</v>
      </c>
      <c r="I39" s="8"/>
      <c r="J39" s="8"/>
      <c r="K39" s="8"/>
      <c r="L39" s="8"/>
      <c r="M39" s="8"/>
      <c r="N39" s="8"/>
      <c r="O39" s="8"/>
      <c r="P39" s="8"/>
      <c r="Q39" s="8"/>
    </row>
    <row r="40" spans="1:17" ht="15" customHeight="1" x14ac:dyDescent="0.25">
      <c r="A40" s="9">
        <v>9</v>
      </c>
      <c r="B40" s="4" t="s">
        <v>353</v>
      </c>
      <c r="C40" s="22" t="s">
        <v>354</v>
      </c>
      <c r="D40" s="22"/>
      <c r="E40" s="55">
        <f>4*72+7*40+2</f>
        <v>570</v>
      </c>
      <c r="F40" s="55">
        <f>G26+G27</f>
        <v>374.25</v>
      </c>
      <c r="G40" s="28">
        <f>MROUND((175*C50+30*C48+18*C68)*I46,20)</f>
        <v>1340</v>
      </c>
      <c r="H40" s="8" t="s">
        <v>355</v>
      </c>
      <c r="I40" s="8"/>
      <c r="J40" s="8"/>
      <c r="K40" s="8"/>
      <c r="L40" s="8"/>
      <c r="M40" s="8"/>
      <c r="N40" s="8"/>
      <c r="O40" s="8"/>
      <c r="P40" s="8"/>
      <c r="Q40" s="8"/>
    </row>
    <row r="41" spans="1:17" ht="15" customHeight="1" x14ac:dyDescent="0.25">
      <c r="A41" s="9">
        <v>10</v>
      </c>
      <c r="B41" s="4" t="s">
        <v>356</v>
      </c>
      <c r="C41" s="22" t="s">
        <v>357</v>
      </c>
      <c r="D41" s="22"/>
      <c r="E41" s="55">
        <f>3*50+2*75+6*40</f>
        <v>540</v>
      </c>
      <c r="F41" s="55">
        <f>G24+G27</f>
        <v>468</v>
      </c>
      <c r="G41" s="28">
        <f>MROUND((27*C54+35*C48)*I46,20)</f>
        <v>1520</v>
      </c>
      <c r="H41" s="8" t="s">
        <v>358</v>
      </c>
      <c r="I41" s="8"/>
      <c r="J41" s="8"/>
      <c r="K41" s="8"/>
      <c r="L41" s="8"/>
      <c r="M41" s="8"/>
      <c r="N41" s="8"/>
      <c r="O41" s="8"/>
      <c r="P41" s="8"/>
      <c r="Q41" s="8"/>
    </row>
    <row r="42" spans="1:17" ht="15" customHeight="1" x14ac:dyDescent="0.25">
      <c r="A42" s="9">
        <v>11</v>
      </c>
      <c r="B42" s="4" t="s">
        <v>359</v>
      </c>
      <c r="C42" s="65" t="s">
        <v>375</v>
      </c>
      <c r="D42" s="22"/>
      <c r="E42" s="55">
        <f>200 + 400</f>
        <v>600</v>
      </c>
      <c r="F42" s="55">
        <f>G25+G28</f>
        <v>695</v>
      </c>
      <c r="G42" s="28">
        <f>MROUND((55*C55+25*C94)*I46,20)</f>
        <v>1620</v>
      </c>
      <c r="H42" s="8" t="s">
        <v>360</v>
      </c>
      <c r="I42" s="8"/>
      <c r="J42" s="8"/>
      <c r="K42" s="8"/>
      <c r="L42" s="8"/>
      <c r="M42" s="8"/>
      <c r="N42" s="8"/>
      <c r="O42" s="8"/>
      <c r="P42" s="8"/>
      <c r="Q42" s="8"/>
    </row>
    <row r="43" spans="1:17" ht="15.75" customHeight="1" x14ac:dyDescent="0.25">
      <c r="A43" s="12">
        <v>12</v>
      </c>
      <c r="B43" s="4" t="s">
        <v>361</v>
      </c>
      <c r="C43" s="22" t="s">
        <v>362</v>
      </c>
      <c r="D43" s="22"/>
      <c r="E43" s="55">
        <f>8*60+150</f>
        <v>630</v>
      </c>
      <c r="F43" s="55">
        <f>G18+G29</f>
        <v>616.79999999999995</v>
      </c>
      <c r="G43" s="28">
        <f>MROUND((230*C49+1*C95)*I46,20)</f>
        <v>1020</v>
      </c>
      <c r="H43" s="8" t="s">
        <v>363</v>
      </c>
      <c r="I43" s="8"/>
      <c r="J43" s="8"/>
      <c r="K43" s="8"/>
      <c r="L43" s="8"/>
      <c r="M43" s="8"/>
      <c r="N43" s="8"/>
      <c r="O43" s="8"/>
      <c r="P43" s="8"/>
      <c r="Q43" s="8"/>
    </row>
    <row r="44" spans="1:17" ht="15.75" customHeight="1" x14ac:dyDescent="0.25"/>
    <row r="45" spans="1:17" ht="15" customHeight="1" x14ac:dyDescent="0.25">
      <c r="B45" s="31"/>
      <c r="C45" s="32" t="s">
        <v>101</v>
      </c>
      <c r="D45" s="33" t="s">
        <v>102</v>
      </c>
      <c r="E45" s="34"/>
      <c r="F45" s="34"/>
      <c r="G45" s="33" t="s">
        <v>103</v>
      </c>
      <c r="I45" s="56" t="s">
        <v>104</v>
      </c>
    </row>
    <row r="46" spans="1:17" ht="15.75" customHeight="1" x14ac:dyDescent="0.25">
      <c r="B46" s="37" t="s">
        <v>105</v>
      </c>
      <c r="C46" s="38">
        <v>32.5</v>
      </c>
      <c r="D46" s="34">
        <v>8</v>
      </c>
      <c r="E46" s="34"/>
      <c r="F46" s="34"/>
      <c r="G46" s="39">
        <f t="shared" ref="G46:G55" si="0">D46*C46</f>
        <v>260</v>
      </c>
      <c r="I46" s="57">
        <v>0.9</v>
      </c>
    </row>
    <row r="47" spans="1:17" ht="15" customHeight="1" x14ac:dyDescent="0.25">
      <c r="B47" s="37" t="s">
        <v>106</v>
      </c>
      <c r="C47" s="38">
        <v>45</v>
      </c>
      <c r="D47" s="34">
        <v>6</v>
      </c>
      <c r="E47" s="34"/>
      <c r="F47" s="34"/>
      <c r="G47" s="39">
        <f t="shared" si="0"/>
        <v>270</v>
      </c>
    </row>
    <row r="48" spans="1:17" ht="15" customHeight="1" x14ac:dyDescent="0.25">
      <c r="B48" s="37" t="s">
        <v>107</v>
      </c>
      <c r="C48" s="38">
        <v>30</v>
      </c>
      <c r="D48" s="34">
        <v>7</v>
      </c>
      <c r="E48" s="34"/>
      <c r="F48" s="34"/>
      <c r="G48" s="39">
        <f t="shared" si="0"/>
        <v>210</v>
      </c>
    </row>
    <row r="49" spans="2:7" ht="15" customHeight="1" x14ac:dyDescent="0.25">
      <c r="B49" s="37" t="s">
        <v>108</v>
      </c>
      <c r="C49" s="38">
        <v>1.28</v>
      </c>
      <c r="D49" s="34">
        <v>250</v>
      </c>
      <c r="E49" s="34"/>
      <c r="F49" s="34"/>
      <c r="G49" s="39">
        <f t="shared" si="0"/>
        <v>320</v>
      </c>
    </row>
    <row r="50" spans="2:7" ht="15" customHeight="1" x14ac:dyDescent="0.25">
      <c r="B50" s="37" t="s">
        <v>109</v>
      </c>
      <c r="C50" s="38">
        <v>1.85</v>
      </c>
      <c r="D50" s="34">
        <v>100</v>
      </c>
      <c r="E50" s="34"/>
      <c r="F50" s="34"/>
      <c r="G50" s="39">
        <f t="shared" si="0"/>
        <v>185</v>
      </c>
    </row>
    <row r="51" spans="2:7" ht="15" customHeight="1" x14ac:dyDescent="0.25">
      <c r="B51" s="37" t="s">
        <v>110</v>
      </c>
      <c r="C51" s="38">
        <v>45</v>
      </c>
      <c r="D51" s="34">
        <v>5</v>
      </c>
      <c r="E51" s="34"/>
      <c r="F51" s="34"/>
      <c r="G51" s="39">
        <f t="shared" si="0"/>
        <v>225</v>
      </c>
    </row>
    <row r="52" spans="2:7" ht="15" customHeight="1" x14ac:dyDescent="0.25">
      <c r="B52" s="37" t="s">
        <v>111</v>
      </c>
      <c r="C52" s="38">
        <v>31</v>
      </c>
      <c r="D52" s="34">
        <v>10</v>
      </c>
      <c r="E52" s="34"/>
      <c r="F52" s="34"/>
      <c r="G52" s="39">
        <f t="shared" si="0"/>
        <v>310</v>
      </c>
    </row>
    <row r="53" spans="2:7" ht="15" customHeight="1" x14ac:dyDescent="0.25">
      <c r="B53" s="37" t="s">
        <v>112</v>
      </c>
      <c r="C53" s="38">
        <v>19</v>
      </c>
      <c r="D53" s="34">
        <v>15</v>
      </c>
      <c r="E53" s="34"/>
      <c r="F53" s="34"/>
      <c r="G53" s="39">
        <f t="shared" si="0"/>
        <v>285</v>
      </c>
    </row>
    <row r="54" spans="2:7" ht="15" customHeight="1" x14ac:dyDescent="0.25">
      <c r="B54" s="37" t="s">
        <v>113</v>
      </c>
      <c r="C54" s="38">
        <v>24</v>
      </c>
      <c r="D54" s="34">
        <v>15</v>
      </c>
      <c r="E54" s="34"/>
      <c r="F54" s="34"/>
      <c r="G54" s="39">
        <f t="shared" si="0"/>
        <v>360</v>
      </c>
    </row>
    <row r="55" spans="2:7" ht="15.75" customHeight="1" x14ac:dyDescent="0.25">
      <c r="B55" s="37" t="s">
        <v>114</v>
      </c>
      <c r="C55" s="38">
        <v>5.375</v>
      </c>
      <c r="D55" s="34">
        <v>40</v>
      </c>
      <c r="E55" s="34"/>
      <c r="F55" s="34"/>
      <c r="G55" s="39">
        <f t="shared" si="0"/>
        <v>215</v>
      </c>
    </row>
    <row r="56" spans="2:7" ht="15.75" customHeight="1" x14ac:dyDescent="0.25"/>
    <row r="57" spans="2:7" ht="15" customHeight="1" x14ac:dyDescent="0.25">
      <c r="B57" s="37" t="s">
        <v>115</v>
      </c>
      <c r="C57" s="43" t="s">
        <v>116</v>
      </c>
      <c r="D57" s="44" t="s">
        <v>117</v>
      </c>
      <c r="E57" s="45"/>
      <c r="F57" s="45"/>
      <c r="G57" s="44" t="s">
        <v>103</v>
      </c>
    </row>
    <row r="58" spans="2:7" ht="15" customHeight="1" x14ac:dyDescent="0.25">
      <c r="B58" s="37" t="s">
        <v>118</v>
      </c>
      <c r="C58" s="38">
        <v>15</v>
      </c>
      <c r="D58" s="46">
        <v>15</v>
      </c>
      <c r="E58" s="45"/>
      <c r="F58" s="45"/>
      <c r="G58" s="47">
        <f t="shared" ref="G58:G97" si="1">D58*C58</f>
        <v>225</v>
      </c>
    </row>
    <row r="59" spans="2:7" ht="15" customHeight="1" x14ac:dyDescent="0.25">
      <c r="B59" s="37" t="s">
        <v>286</v>
      </c>
      <c r="C59" s="38">
        <v>30</v>
      </c>
      <c r="D59" s="46">
        <v>25</v>
      </c>
      <c r="E59" s="45"/>
      <c r="F59" s="45"/>
      <c r="G59" s="47">
        <f t="shared" si="1"/>
        <v>750</v>
      </c>
    </row>
    <row r="60" spans="2:7" ht="15" customHeight="1" x14ac:dyDescent="0.25">
      <c r="B60" s="37" t="s">
        <v>287</v>
      </c>
      <c r="C60" s="38">
        <v>8.5</v>
      </c>
      <c r="D60" s="46">
        <v>35</v>
      </c>
      <c r="E60" s="45"/>
      <c r="F60" s="45"/>
      <c r="G60" s="47">
        <f t="shared" si="1"/>
        <v>297.5</v>
      </c>
    </row>
    <row r="61" spans="2:7" ht="15" customHeight="1" x14ac:dyDescent="0.25">
      <c r="B61" s="37" t="s">
        <v>202</v>
      </c>
      <c r="C61" s="38">
        <v>75</v>
      </c>
      <c r="D61" s="46">
        <v>3</v>
      </c>
      <c r="E61" s="45"/>
      <c r="F61" s="45"/>
      <c r="G61" s="47">
        <f t="shared" si="1"/>
        <v>225</v>
      </c>
    </row>
    <row r="62" spans="2:7" ht="15" customHeight="1" x14ac:dyDescent="0.25">
      <c r="B62" s="37" t="s">
        <v>203</v>
      </c>
      <c r="C62" s="38">
        <v>125</v>
      </c>
      <c r="D62" s="46">
        <v>5</v>
      </c>
      <c r="E62" s="45"/>
      <c r="F62" s="45"/>
      <c r="G62" s="47">
        <f t="shared" si="1"/>
        <v>625</v>
      </c>
    </row>
    <row r="63" spans="2:7" ht="15" customHeight="1" x14ac:dyDescent="0.25">
      <c r="B63" s="37" t="s">
        <v>288</v>
      </c>
      <c r="C63" s="38">
        <v>85</v>
      </c>
      <c r="D63" s="46">
        <v>9</v>
      </c>
      <c r="E63" s="45"/>
      <c r="F63" s="45"/>
      <c r="G63" s="47">
        <f t="shared" si="1"/>
        <v>765</v>
      </c>
    </row>
    <row r="64" spans="2:7" ht="15" customHeight="1" x14ac:dyDescent="0.25">
      <c r="B64" s="37" t="s">
        <v>289</v>
      </c>
      <c r="C64" s="38">
        <v>1250</v>
      </c>
      <c r="D64" s="46">
        <v>1</v>
      </c>
      <c r="E64" s="45"/>
      <c r="F64" s="45"/>
      <c r="G64" s="47">
        <f t="shared" si="1"/>
        <v>1250</v>
      </c>
    </row>
    <row r="65" spans="2:7" ht="15" customHeight="1" x14ac:dyDescent="0.25">
      <c r="B65" s="37" t="s">
        <v>121</v>
      </c>
      <c r="C65" s="38">
        <v>37</v>
      </c>
      <c r="D65" s="46">
        <v>10</v>
      </c>
      <c r="E65" s="45"/>
      <c r="F65" s="45"/>
      <c r="G65" s="47">
        <f t="shared" si="1"/>
        <v>370</v>
      </c>
    </row>
    <row r="66" spans="2:7" ht="15" customHeight="1" x14ac:dyDescent="0.25">
      <c r="B66" s="37" t="s">
        <v>204</v>
      </c>
      <c r="C66" s="58">
        <v>650</v>
      </c>
      <c r="D66" s="46">
        <v>0.75</v>
      </c>
      <c r="E66" s="45"/>
      <c r="F66" s="45"/>
      <c r="G66" s="47">
        <f t="shared" si="1"/>
        <v>487.5</v>
      </c>
    </row>
    <row r="67" spans="2:7" ht="15" customHeight="1" x14ac:dyDescent="0.25">
      <c r="B67" s="37" t="s">
        <v>123</v>
      </c>
      <c r="C67" s="38">
        <v>7.25</v>
      </c>
      <c r="D67" s="46">
        <f>80+60+35</f>
        <v>175</v>
      </c>
      <c r="E67" s="45"/>
      <c r="F67" s="45"/>
      <c r="G67" s="47">
        <f t="shared" si="1"/>
        <v>1268.75</v>
      </c>
    </row>
    <row r="68" spans="2:7" ht="15" customHeight="1" x14ac:dyDescent="0.25">
      <c r="B68" s="37" t="s">
        <v>124</v>
      </c>
      <c r="C68" s="38">
        <v>14.85</v>
      </c>
      <c r="D68" s="46">
        <v>32</v>
      </c>
      <c r="E68" s="45"/>
      <c r="F68" s="45"/>
      <c r="G68" s="47">
        <f t="shared" si="1"/>
        <v>475.2</v>
      </c>
    </row>
    <row r="69" spans="2:7" ht="15" customHeight="1" x14ac:dyDescent="0.25">
      <c r="B69" s="37" t="s">
        <v>125</v>
      </c>
      <c r="C69" s="38">
        <v>55</v>
      </c>
      <c r="D69" s="46">
        <v>8</v>
      </c>
      <c r="E69" s="45"/>
      <c r="F69" s="45"/>
      <c r="G69" s="47">
        <f t="shared" si="1"/>
        <v>440</v>
      </c>
    </row>
    <row r="70" spans="2:7" ht="15" customHeight="1" x14ac:dyDescent="0.25">
      <c r="B70" s="37" t="s">
        <v>126</v>
      </c>
      <c r="C70" s="38">
        <v>4.1500000000000004</v>
      </c>
      <c r="D70" s="46">
        <v>165</v>
      </c>
      <c r="E70" s="45"/>
      <c r="F70" s="45"/>
      <c r="G70" s="47">
        <f t="shared" si="1"/>
        <v>684.75000000000011</v>
      </c>
    </row>
    <row r="71" spans="2:7" ht="15" customHeight="1" x14ac:dyDescent="0.25">
      <c r="B71" s="37" t="s">
        <v>127</v>
      </c>
      <c r="C71" s="38">
        <v>20</v>
      </c>
      <c r="D71" s="46">
        <v>10</v>
      </c>
      <c r="E71" s="45"/>
      <c r="F71" s="45"/>
      <c r="G71" s="47">
        <f t="shared" si="1"/>
        <v>200</v>
      </c>
    </row>
    <row r="72" spans="2:7" ht="15" customHeight="1" x14ac:dyDescent="0.25">
      <c r="B72" s="37" t="s">
        <v>128</v>
      </c>
      <c r="C72" s="38">
        <v>250</v>
      </c>
      <c r="D72" s="46">
        <v>30</v>
      </c>
      <c r="E72" s="45"/>
      <c r="F72" s="45"/>
      <c r="G72" s="47">
        <f t="shared" si="1"/>
        <v>7500</v>
      </c>
    </row>
    <row r="73" spans="2:7" ht="15" customHeight="1" x14ac:dyDescent="0.25">
      <c r="B73" s="49" t="s">
        <v>129</v>
      </c>
      <c r="C73" s="50">
        <v>75</v>
      </c>
      <c r="D73" s="51">
        <v>5</v>
      </c>
      <c r="E73" s="52"/>
      <c r="F73" s="52"/>
      <c r="G73" s="53">
        <f t="shared" si="1"/>
        <v>375</v>
      </c>
    </row>
    <row r="74" spans="2:7" ht="15" customHeight="1" x14ac:dyDescent="0.25">
      <c r="B74" s="49" t="s">
        <v>205</v>
      </c>
      <c r="C74" s="50">
        <v>31</v>
      </c>
      <c r="D74" s="51">
        <v>15</v>
      </c>
      <c r="E74" s="52"/>
      <c r="F74" s="52"/>
      <c r="G74" s="53">
        <f t="shared" si="1"/>
        <v>465</v>
      </c>
    </row>
    <row r="75" spans="2:7" ht="15" customHeight="1" x14ac:dyDescent="0.25">
      <c r="B75" s="49" t="s">
        <v>206</v>
      </c>
      <c r="C75" s="50">
        <v>59</v>
      </c>
      <c r="D75" s="51">
        <v>15</v>
      </c>
      <c r="E75" s="52"/>
      <c r="F75" s="52"/>
      <c r="G75" s="53">
        <f t="shared" si="1"/>
        <v>885</v>
      </c>
    </row>
    <row r="76" spans="2:7" ht="15" customHeight="1" x14ac:dyDescent="0.25">
      <c r="B76" s="49" t="s">
        <v>207</v>
      </c>
      <c r="C76" s="50">
        <v>43</v>
      </c>
      <c r="D76" s="51">
        <v>25</v>
      </c>
      <c r="E76" s="52"/>
      <c r="F76" s="52"/>
      <c r="G76" s="53">
        <f t="shared" si="1"/>
        <v>1075</v>
      </c>
    </row>
    <row r="77" spans="2:7" ht="15" customHeight="1" x14ac:dyDescent="0.25">
      <c r="B77" s="49" t="s">
        <v>208</v>
      </c>
      <c r="C77" s="50">
        <v>23</v>
      </c>
      <c r="D77" s="51">
        <v>24</v>
      </c>
      <c r="E77" s="52"/>
      <c r="F77" s="52"/>
      <c r="G77" s="53">
        <f t="shared" si="1"/>
        <v>552</v>
      </c>
    </row>
    <row r="78" spans="2:7" ht="15" customHeight="1" x14ac:dyDescent="0.25">
      <c r="B78" s="49" t="s">
        <v>209</v>
      </c>
      <c r="C78" s="50">
        <v>41</v>
      </c>
      <c r="D78" s="51">
        <v>9</v>
      </c>
      <c r="E78" s="52"/>
      <c r="F78" s="52"/>
      <c r="G78" s="53">
        <f t="shared" si="1"/>
        <v>369</v>
      </c>
    </row>
    <row r="79" spans="2:7" ht="15" customHeight="1" x14ac:dyDescent="0.25">
      <c r="B79" s="49" t="s">
        <v>210</v>
      </c>
      <c r="C79" s="50">
        <v>260</v>
      </c>
      <c r="D79" s="51">
        <v>1</v>
      </c>
      <c r="E79" s="52"/>
      <c r="F79" s="52"/>
      <c r="G79" s="53">
        <f t="shared" si="1"/>
        <v>260</v>
      </c>
    </row>
    <row r="80" spans="2:7" ht="15" customHeight="1" x14ac:dyDescent="0.25">
      <c r="B80" s="49" t="s">
        <v>290</v>
      </c>
      <c r="C80" s="50">
        <v>500</v>
      </c>
      <c r="D80" s="51">
        <v>0.5</v>
      </c>
      <c r="E80" s="52"/>
      <c r="F80" s="52"/>
      <c r="G80" s="53">
        <f t="shared" si="1"/>
        <v>250</v>
      </c>
    </row>
    <row r="81" spans="2:7" ht="15" customHeight="1" x14ac:dyDescent="0.25">
      <c r="B81" s="49" t="s">
        <v>291</v>
      </c>
      <c r="C81" s="50">
        <v>45</v>
      </c>
      <c r="D81" s="51">
        <v>6</v>
      </c>
      <c r="E81" s="52"/>
      <c r="F81" s="52"/>
      <c r="G81" s="53">
        <f t="shared" si="1"/>
        <v>270</v>
      </c>
    </row>
    <row r="82" spans="2:7" ht="15" customHeight="1" x14ac:dyDescent="0.25">
      <c r="B82" s="49" t="s">
        <v>211</v>
      </c>
      <c r="C82" s="50">
        <v>70</v>
      </c>
      <c r="D82" s="51">
        <v>10</v>
      </c>
      <c r="E82" s="52"/>
      <c r="F82" s="52"/>
      <c r="G82" s="53">
        <f t="shared" si="1"/>
        <v>700</v>
      </c>
    </row>
    <row r="83" spans="2:7" ht="15" customHeight="1" x14ac:dyDescent="0.25">
      <c r="B83" s="49" t="s">
        <v>292</v>
      </c>
      <c r="C83" s="50">
        <v>80</v>
      </c>
      <c r="D83" s="51">
        <v>10</v>
      </c>
      <c r="E83" s="52"/>
      <c r="F83" s="52"/>
      <c r="G83" s="53">
        <f t="shared" si="1"/>
        <v>800</v>
      </c>
    </row>
    <row r="84" spans="2:7" ht="15" customHeight="1" x14ac:dyDescent="0.25">
      <c r="B84" s="49" t="s">
        <v>293</v>
      </c>
      <c r="C84" s="50">
        <v>600</v>
      </c>
      <c r="D84" s="51">
        <v>1</v>
      </c>
      <c r="E84" s="52"/>
      <c r="F84" s="52"/>
      <c r="G84" s="53">
        <f t="shared" si="1"/>
        <v>600</v>
      </c>
    </row>
    <row r="85" spans="2:7" ht="15" customHeight="1" x14ac:dyDescent="0.25">
      <c r="B85" s="49" t="s">
        <v>364</v>
      </c>
      <c r="C85" s="50">
        <v>32</v>
      </c>
      <c r="D85" s="51">
        <v>15</v>
      </c>
      <c r="E85" s="52"/>
      <c r="F85" s="52"/>
      <c r="G85" s="53">
        <f t="shared" si="1"/>
        <v>480</v>
      </c>
    </row>
    <row r="86" spans="2:7" ht="15" customHeight="1" x14ac:dyDescent="0.25">
      <c r="B86" s="49" t="s">
        <v>365</v>
      </c>
      <c r="C86" s="50">
        <v>19</v>
      </c>
      <c r="D86" s="51">
        <v>20</v>
      </c>
      <c r="E86" s="52"/>
      <c r="F86" s="52"/>
      <c r="G86" s="53">
        <f t="shared" si="1"/>
        <v>380</v>
      </c>
    </row>
    <row r="87" spans="2:7" ht="15" customHeight="1" x14ac:dyDescent="0.25">
      <c r="B87" s="49" t="s">
        <v>366</v>
      </c>
      <c r="C87" s="50">
        <v>1200</v>
      </c>
      <c r="D87" s="51">
        <v>1</v>
      </c>
      <c r="E87" s="52"/>
      <c r="F87" s="52"/>
      <c r="G87" s="53">
        <f t="shared" si="1"/>
        <v>1200</v>
      </c>
    </row>
    <row r="88" spans="2:7" ht="15" customHeight="1" x14ac:dyDescent="0.25">
      <c r="B88" s="49" t="s">
        <v>367</v>
      </c>
      <c r="C88" s="50">
        <v>142</v>
      </c>
      <c r="D88" s="51">
        <v>15</v>
      </c>
      <c r="E88" s="52"/>
      <c r="F88" s="52"/>
      <c r="G88" s="53">
        <f t="shared" si="1"/>
        <v>2130</v>
      </c>
    </row>
    <row r="89" spans="2:7" ht="15" customHeight="1" x14ac:dyDescent="0.25">
      <c r="B89" s="49" t="s">
        <v>294</v>
      </c>
      <c r="C89" s="50">
        <v>38</v>
      </c>
      <c r="D89" s="51">
        <v>30</v>
      </c>
      <c r="E89" s="52"/>
      <c r="F89" s="52"/>
      <c r="G89" s="53">
        <f t="shared" si="1"/>
        <v>1140</v>
      </c>
    </row>
    <row r="90" spans="2:7" ht="15" customHeight="1" x14ac:dyDescent="0.25">
      <c r="B90" s="49" t="s">
        <v>368</v>
      </c>
      <c r="C90" s="50">
        <v>48</v>
      </c>
      <c r="D90" s="51">
        <v>25</v>
      </c>
      <c r="E90" s="52"/>
      <c r="F90" s="52"/>
      <c r="G90" s="53">
        <f t="shared" si="1"/>
        <v>1200</v>
      </c>
    </row>
    <row r="91" spans="2:7" ht="15" customHeight="1" x14ac:dyDescent="0.25">
      <c r="B91" s="49" t="s">
        <v>369</v>
      </c>
      <c r="C91" s="50">
        <v>19</v>
      </c>
      <c r="D91" s="51">
        <v>15</v>
      </c>
      <c r="E91" s="52"/>
      <c r="F91" s="52"/>
      <c r="G91" s="53">
        <f t="shared" si="1"/>
        <v>285</v>
      </c>
    </row>
    <row r="92" spans="2:7" ht="15" customHeight="1" x14ac:dyDescent="0.25">
      <c r="B92" s="49" t="s">
        <v>370</v>
      </c>
      <c r="C92" s="50">
        <f>2*5.38</f>
        <v>10.76</v>
      </c>
      <c r="D92" s="51">
        <v>25</v>
      </c>
      <c r="E92" s="52"/>
      <c r="F92" s="52"/>
      <c r="G92" s="53">
        <f t="shared" si="1"/>
        <v>269</v>
      </c>
    </row>
    <row r="93" spans="2:7" ht="15" customHeight="1" x14ac:dyDescent="0.25">
      <c r="B93" s="49" t="s">
        <v>371</v>
      </c>
      <c r="C93" s="50">
        <v>39</v>
      </c>
      <c r="D93" s="51">
        <v>40</v>
      </c>
      <c r="E93" s="52"/>
      <c r="F93" s="52"/>
      <c r="G93" s="53">
        <f t="shared" si="1"/>
        <v>1560</v>
      </c>
    </row>
    <row r="94" spans="2:7" ht="15" customHeight="1" x14ac:dyDescent="0.25">
      <c r="B94" s="49" t="s">
        <v>372</v>
      </c>
      <c r="C94" s="50">
        <v>60</v>
      </c>
      <c r="D94" s="51">
        <v>25</v>
      </c>
      <c r="E94" s="52"/>
      <c r="F94" s="52"/>
      <c r="G94" s="53">
        <f t="shared" si="1"/>
        <v>1500</v>
      </c>
    </row>
    <row r="95" spans="2:7" ht="15" customHeight="1" x14ac:dyDescent="0.25">
      <c r="B95" s="49" t="s">
        <v>373</v>
      </c>
      <c r="C95" s="50">
        <v>835</v>
      </c>
      <c r="D95" s="51">
        <v>1</v>
      </c>
      <c r="E95" s="52"/>
      <c r="F95" s="52"/>
      <c r="G95" s="53">
        <f t="shared" si="1"/>
        <v>835</v>
      </c>
    </row>
    <row r="96" spans="2:7" ht="15" customHeight="1" x14ac:dyDescent="0.25">
      <c r="B96" s="49" t="s">
        <v>374</v>
      </c>
      <c r="C96" s="50">
        <v>45</v>
      </c>
      <c r="D96" s="51">
        <v>15</v>
      </c>
      <c r="E96" s="52"/>
      <c r="F96" s="52"/>
      <c r="G96" s="53">
        <f t="shared" si="1"/>
        <v>675</v>
      </c>
    </row>
    <row r="97" spans="2:7" ht="15.75" customHeight="1" x14ac:dyDescent="0.25">
      <c r="B97" s="37" t="s">
        <v>212</v>
      </c>
      <c r="C97" s="38">
        <v>225</v>
      </c>
      <c r="D97" s="46">
        <f>1</f>
        <v>1</v>
      </c>
      <c r="E97" s="45"/>
      <c r="F97" s="45"/>
      <c r="G97" s="47">
        <f t="shared" si="1"/>
        <v>225</v>
      </c>
    </row>
  </sheetData>
  <mergeCells count="3">
    <mergeCell ref="H2:Q2"/>
    <mergeCell ref="H17:Q17"/>
    <mergeCell ref="H31:Q31"/>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Undead</vt:lpstr>
      <vt:lpstr>Night Elf</vt:lpstr>
      <vt:lpstr>Human</vt:lpstr>
      <vt:lpstr>Orc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playdotu</dc:title>
  <dc:subject>phpMyAdmin 3.3.9 XLSX Dump</dc:subject>
  <dc:creator>phpMyAdmin 3.3.9</dc:creator>
  <cp:lastModifiedBy>Patrick</cp:lastModifiedBy>
  <cp:revision>0</cp:revision>
  <dcterms:created xsi:type="dcterms:W3CDTF">2012-02-17T08:32:22Z</dcterms:created>
  <dcterms:modified xsi:type="dcterms:W3CDTF">2014-03-26T09:08:16Z</dcterms:modified>
</cp:coreProperties>
</file>